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Om\SUFONAMA\Block_2\Economics\"/>
    </mc:Choice>
  </mc:AlternateContent>
  <xr:revisionPtr revIDLastSave="0" documentId="13_ncr:1_{543A48E0-AF64-4839-A43F-7BD35F56E98C}" xr6:coauthVersionLast="47" xr6:coauthVersionMax="47" xr10:uidLastSave="{00000000-0000-0000-0000-000000000000}"/>
  <bookViews>
    <workbookView xWindow="-96" yWindow="0" windowWidth="11712" windowHeight="12336" firstSheet="4" activeTab="5" xr2:uid="{00000000-000D-0000-FFFF-FFFF00000000}"/>
  </bookViews>
  <sheets>
    <sheet name="Growth &amp; yield data" sheetId="1" r:id="rId1"/>
    <sheet name="turnover balance" sheetId="4" r:id="rId2"/>
    <sheet name="Assortment distribution &amp; Price" sheetId="2" r:id="rId3"/>
    <sheet name="Establishment costs" sheetId="3" r:id="rId4"/>
    <sheet name="coppice" sheetId="5" r:id="rId5"/>
    <sheet name="cyclic beech" sheetId="6" r:id="rId6"/>
  </sheets>
  <definedNames>
    <definedName name="solver_adj" localSheetId="2" hidden="1">'Assortment distribution &amp; Price'!$E$28:$E$32</definedName>
    <definedName name="solver_cvg" localSheetId="2" hidden="1">0.0001</definedName>
    <definedName name="solver_drv" localSheetId="2" hidden="1">1</definedName>
    <definedName name="solver_eng" localSheetId="2" hidden="1">1</definedName>
    <definedName name="solver_eng" localSheetId="1" hidden="1">1</definedName>
    <definedName name="solver_est" localSheetId="2" hidden="1">1</definedName>
    <definedName name="solver_itr" localSheetId="2" hidden="1">2147483647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eg" localSheetId="1" hidden="1">1</definedName>
    <definedName name="solver_nod" localSheetId="2" hidden="1">2147483647</definedName>
    <definedName name="solver_num" localSheetId="2" hidden="1">0</definedName>
    <definedName name="solver_num" localSheetId="1" hidden="1">0</definedName>
    <definedName name="solver_nwt" localSheetId="2" hidden="1">1</definedName>
    <definedName name="solver_opt" localSheetId="2" hidden="1">'Assortment distribution &amp; Price'!$X$25</definedName>
    <definedName name="solver_opt" localSheetId="1" hidden="1">'turnover balance'!$K$17</definedName>
    <definedName name="solver_pre" localSheetId="2" hidden="1">0.000001</definedName>
    <definedName name="solver_rbv" localSheetId="2" hidden="1">1</definedName>
    <definedName name="solver_rlx" localSheetId="2" hidden="1">2</definedName>
    <definedName name="solver_rsd" localSheetId="2" hidden="1">0</definedName>
    <definedName name="solver_scl" localSheetId="2" hidden="1">1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2</definedName>
    <definedName name="solver_typ" localSheetId="1" hidden="1">1</definedName>
    <definedName name="solver_val" localSheetId="2" hidden="1">0</definedName>
    <definedName name="solver_val" localSheetId="1" hidden="1">0</definedName>
    <definedName name="solver_ver" localSheetId="2" hidden="1">3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" i="6" l="1"/>
  <c r="B16" i="6"/>
  <c r="B17" i="6"/>
  <c r="B18" i="6"/>
  <c r="B19" i="6"/>
  <c r="B20" i="6"/>
  <c r="B21" i="6"/>
  <c r="B22" i="6"/>
  <c r="B23" i="6"/>
  <c r="B14" i="6"/>
  <c r="B13" i="6"/>
  <c r="B12" i="6"/>
  <c r="B11" i="6"/>
  <c r="B10" i="6"/>
  <c r="B9" i="6"/>
  <c r="B6" i="6"/>
  <c r="B7" i="6"/>
  <c r="B8" i="6"/>
  <c r="B5" i="6"/>
  <c r="B4" i="6"/>
  <c r="B3" i="6"/>
  <c r="Z17" i="4" l="1"/>
  <c r="Z18" i="4"/>
  <c r="Z19" i="4"/>
  <c r="Z20" i="4"/>
  <c r="Z21" i="4"/>
  <c r="Z22" i="4"/>
  <c r="Z23" i="4"/>
  <c r="Z24" i="4"/>
  <c r="Z25" i="4"/>
  <c r="Z26" i="4"/>
  <c r="Z27" i="4"/>
  <c r="Z28" i="4"/>
  <c r="Z29" i="4"/>
  <c r="Z30" i="4"/>
  <c r="Z31" i="4"/>
  <c r="Z32" i="4"/>
  <c r="Z33" i="4"/>
  <c r="Z34" i="4"/>
  <c r="Z35" i="4"/>
  <c r="Z36" i="4"/>
  <c r="Z37" i="4"/>
  <c r="Z38" i="4"/>
  <c r="Z39" i="4"/>
  <c r="Z40" i="4"/>
  <c r="Z41" i="4"/>
  <c r="Z42" i="4"/>
  <c r="Z43" i="4"/>
  <c r="Z44" i="4"/>
  <c r="Z45" i="4"/>
  <c r="Z46" i="4"/>
  <c r="Z47" i="4"/>
  <c r="Z48" i="4"/>
  <c r="Z49" i="4"/>
  <c r="Z50" i="4"/>
  <c r="Z51" i="4"/>
  <c r="Z52" i="4"/>
  <c r="Z53" i="4"/>
  <c r="Z54" i="4"/>
  <c r="Z55" i="4"/>
  <c r="Z56" i="4"/>
  <c r="Z57" i="4"/>
  <c r="Z58" i="4"/>
  <c r="Z59" i="4"/>
  <c r="Z60" i="4"/>
  <c r="Z61" i="4"/>
  <c r="Z62" i="4"/>
  <c r="Z63" i="4"/>
  <c r="Z64" i="4"/>
  <c r="Z65" i="4"/>
  <c r="Z66" i="4"/>
  <c r="Z67" i="4"/>
  <c r="Z68" i="4"/>
  <c r="Z69" i="4"/>
  <c r="Z70" i="4"/>
  <c r="Z71" i="4"/>
  <c r="Z72" i="4"/>
  <c r="Z73" i="4"/>
  <c r="Z74" i="4"/>
  <c r="Z75" i="4"/>
  <c r="Z76" i="4"/>
  <c r="Z77" i="4"/>
  <c r="Z78" i="4"/>
  <c r="Z79" i="4"/>
  <c r="Z80" i="4"/>
  <c r="Z81" i="4"/>
  <c r="Z82" i="4"/>
  <c r="Z83" i="4"/>
  <c r="Z84" i="4"/>
  <c r="Z85" i="4"/>
  <c r="Z86" i="4"/>
  <c r="Z87" i="4"/>
  <c r="Z88" i="4"/>
  <c r="Z89" i="4"/>
  <c r="Z90" i="4"/>
  <c r="Z91" i="4"/>
  <c r="Z92" i="4"/>
  <c r="Z93" i="4"/>
  <c r="Z94" i="4"/>
  <c r="Z95" i="4"/>
  <c r="Z96" i="4"/>
  <c r="Z97" i="4"/>
  <c r="Z98" i="4"/>
  <c r="Z99" i="4"/>
  <c r="Z100" i="4"/>
  <c r="Z101" i="4"/>
  <c r="Z102" i="4"/>
  <c r="Z103" i="4"/>
  <c r="Z104" i="4"/>
  <c r="Z105" i="4"/>
  <c r="Z106" i="4"/>
  <c r="Z107" i="4"/>
  <c r="Z108" i="4"/>
  <c r="Z109" i="4"/>
  <c r="Z110" i="4"/>
  <c r="Z111" i="4"/>
  <c r="Z112" i="4"/>
  <c r="Z113" i="4"/>
  <c r="Z114" i="4"/>
  <c r="Z115" i="4"/>
  <c r="Z116" i="4"/>
  <c r="Z117" i="4"/>
  <c r="Z118" i="4"/>
  <c r="Z119" i="4"/>
  <c r="Z120" i="4"/>
  <c r="Z121" i="4"/>
  <c r="Z122" i="4"/>
  <c r="Z123" i="4"/>
  <c r="Z124" i="4"/>
  <c r="Z125" i="4"/>
  <c r="Z126" i="4"/>
  <c r="Z127" i="4"/>
  <c r="Z128" i="4"/>
  <c r="Z129" i="4"/>
  <c r="Z130" i="4"/>
  <c r="Z131" i="4"/>
  <c r="Z132" i="4"/>
  <c r="Z133" i="4"/>
  <c r="Z134" i="4"/>
  <c r="Z135" i="4"/>
  <c r="Z136" i="4"/>
  <c r="Z137" i="4"/>
  <c r="Z138" i="4"/>
  <c r="Z139" i="4"/>
  <c r="Z140" i="4"/>
  <c r="Z141" i="4"/>
  <c r="Z142" i="4"/>
  <c r="Z143" i="4"/>
  <c r="Z144" i="4"/>
  <c r="Z145" i="4"/>
  <c r="Z146" i="4"/>
  <c r="Z147" i="4"/>
  <c r="Z148" i="4"/>
  <c r="Z149" i="4"/>
  <c r="Z150" i="4"/>
  <c r="Z151" i="4"/>
  <c r="Z152" i="4"/>
  <c r="Z153" i="4"/>
  <c r="Z154" i="4"/>
  <c r="Z155" i="4"/>
  <c r="Z156" i="4"/>
  <c r="Z157" i="4"/>
  <c r="Z158" i="4"/>
  <c r="Z159" i="4"/>
  <c r="Z160" i="4"/>
  <c r="Z161" i="4"/>
  <c r="Z162" i="4"/>
  <c r="Z163" i="4"/>
  <c r="Z164" i="4"/>
  <c r="Z165" i="4"/>
  <c r="Z166" i="4"/>
  <c r="Z167" i="4"/>
  <c r="Z168" i="4"/>
  <c r="Z169" i="4"/>
  <c r="Z170" i="4"/>
  <c r="Z171" i="4"/>
  <c r="Z172" i="4"/>
  <c r="Z173" i="4"/>
  <c r="Z174" i="4"/>
  <c r="Z175" i="4"/>
  <c r="Z176" i="4"/>
  <c r="Z177" i="4"/>
  <c r="Z178" i="4"/>
  <c r="Z179" i="4"/>
  <c r="Z180" i="4"/>
  <c r="Z181" i="4"/>
  <c r="Z182" i="4"/>
  <c r="Z183" i="4"/>
  <c r="Z184" i="4"/>
  <c r="Z185" i="4"/>
  <c r="Z186" i="4"/>
  <c r="Z187" i="4"/>
  <c r="Z188" i="4"/>
  <c r="Z189" i="4"/>
  <c r="Z190" i="4"/>
  <c r="Z191" i="4"/>
  <c r="Z192" i="4"/>
  <c r="Z193" i="4"/>
  <c r="Z194" i="4"/>
  <c r="Z195" i="4"/>
  <c r="Z196" i="4"/>
  <c r="Z197" i="4"/>
  <c r="Z198" i="4"/>
  <c r="Z199" i="4"/>
  <c r="Z200" i="4"/>
  <c r="Z201" i="4"/>
  <c r="Z202" i="4"/>
  <c r="Z203" i="4"/>
  <c r="Z204" i="4"/>
  <c r="Z205" i="4"/>
  <c r="Z206" i="4"/>
  <c r="Z207" i="4"/>
  <c r="Z208" i="4"/>
  <c r="Z209" i="4"/>
  <c r="Z210" i="4"/>
  <c r="Z211" i="4"/>
  <c r="Z212" i="4"/>
  <c r="Z16" i="4"/>
  <c r="Y17" i="4"/>
  <c r="Y18" i="4"/>
  <c r="Y19" i="4"/>
  <c r="Y20" i="4"/>
  <c r="Y21" i="4"/>
  <c r="Y22" i="4"/>
  <c r="Y23" i="4"/>
  <c r="Y24" i="4"/>
  <c r="Y25" i="4"/>
  <c r="Y26" i="4"/>
  <c r="Y27" i="4"/>
  <c r="Y28" i="4"/>
  <c r="Y29" i="4"/>
  <c r="Y30" i="4"/>
  <c r="Y31" i="4"/>
  <c r="Y32" i="4"/>
  <c r="Y33" i="4"/>
  <c r="Y34" i="4"/>
  <c r="Y35" i="4"/>
  <c r="Y36" i="4"/>
  <c r="Y37" i="4"/>
  <c r="Y38" i="4"/>
  <c r="Y39" i="4"/>
  <c r="Y40" i="4"/>
  <c r="Y41" i="4"/>
  <c r="Y42" i="4"/>
  <c r="Y43" i="4"/>
  <c r="Y44" i="4"/>
  <c r="Y45" i="4"/>
  <c r="Y46" i="4"/>
  <c r="Y47" i="4"/>
  <c r="Y48" i="4"/>
  <c r="Y49" i="4"/>
  <c r="Y50" i="4"/>
  <c r="Y51" i="4"/>
  <c r="Y52" i="4"/>
  <c r="Y53" i="4"/>
  <c r="Y54" i="4"/>
  <c r="Y55" i="4"/>
  <c r="Y56" i="4"/>
  <c r="Y57" i="4"/>
  <c r="Y58" i="4"/>
  <c r="Y59" i="4"/>
  <c r="Y60" i="4"/>
  <c r="Y61" i="4"/>
  <c r="Y62" i="4"/>
  <c r="Y63" i="4"/>
  <c r="Y64" i="4"/>
  <c r="Y65" i="4"/>
  <c r="Y66" i="4"/>
  <c r="Y67" i="4"/>
  <c r="Y68" i="4"/>
  <c r="Y69" i="4"/>
  <c r="Y70" i="4"/>
  <c r="Y71" i="4"/>
  <c r="Y72" i="4"/>
  <c r="Y73" i="4"/>
  <c r="Y74" i="4"/>
  <c r="Y75" i="4"/>
  <c r="Y76" i="4"/>
  <c r="Y77" i="4"/>
  <c r="Y78" i="4"/>
  <c r="Y79" i="4"/>
  <c r="Y80" i="4"/>
  <c r="Y81" i="4"/>
  <c r="Y82" i="4"/>
  <c r="Y83" i="4"/>
  <c r="Y84" i="4"/>
  <c r="Y85" i="4"/>
  <c r="Y86" i="4"/>
  <c r="Y87" i="4"/>
  <c r="Y88" i="4"/>
  <c r="Y89" i="4"/>
  <c r="Y90" i="4"/>
  <c r="Y91" i="4"/>
  <c r="Y92" i="4"/>
  <c r="Y93" i="4"/>
  <c r="Y94" i="4"/>
  <c r="Y95" i="4"/>
  <c r="Y96" i="4"/>
  <c r="Y97" i="4"/>
  <c r="Y98" i="4"/>
  <c r="Y99" i="4"/>
  <c r="Y100" i="4"/>
  <c r="Y101" i="4"/>
  <c r="Y102" i="4"/>
  <c r="Y103" i="4"/>
  <c r="Y104" i="4"/>
  <c r="Y105" i="4"/>
  <c r="Y106" i="4"/>
  <c r="Y107" i="4"/>
  <c r="Y108" i="4"/>
  <c r="Y109" i="4"/>
  <c r="Y110" i="4"/>
  <c r="Y111" i="4"/>
  <c r="Y112" i="4"/>
  <c r="Y113" i="4"/>
  <c r="Y114" i="4"/>
  <c r="Y115" i="4"/>
  <c r="Y116" i="4"/>
  <c r="Y117" i="4"/>
  <c r="Y118" i="4"/>
  <c r="Y119" i="4"/>
  <c r="Y120" i="4"/>
  <c r="Y121" i="4"/>
  <c r="Y122" i="4"/>
  <c r="Y123" i="4"/>
  <c r="Y124" i="4"/>
  <c r="Y125" i="4"/>
  <c r="Y126" i="4"/>
  <c r="Y127" i="4"/>
  <c r="Y128" i="4"/>
  <c r="Y129" i="4"/>
  <c r="Y130" i="4"/>
  <c r="Y131" i="4"/>
  <c r="Y132" i="4"/>
  <c r="Y133" i="4"/>
  <c r="Y134" i="4"/>
  <c r="Y135" i="4"/>
  <c r="Y136" i="4"/>
  <c r="Y137" i="4"/>
  <c r="Y138" i="4"/>
  <c r="Y139" i="4"/>
  <c r="Y140" i="4"/>
  <c r="Y141" i="4"/>
  <c r="Y142" i="4"/>
  <c r="Y143" i="4"/>
  <c r="Y144" i="4"/>
  <c r="Y145" i="4"/>
  <c r="Y146" i="4"/>
  <c r="Y147" i="4"/>
  <c r="Y148" i="4"/>
  <c r="Y149" i="4"/>
  <c r="Y150" i="4"/>
  <c r="Y151" i="4"/>
  <c r="Y152" i="4"/>
  <c r="Y153" i="4"/>
  <c r="Y154" i="4"/>
  <c r="Y155" i="4"/>
  <c r="Y156" i="4"/>
  <c r="Y157" i="4"/>
  <c r="Y158" i="4"/>
  <c r="Y159" i="4"/>
  <c r="Y160" i="4"/>
  <c r="Y161" i="4"/>
  <c r="Y162" i="4"/>
  <c r="Y163" i="4"/>
  <c r="Y164" i="4"/>
  <c r="Y165" i="4"/>
  <c r="Y166" i="4"/>
  <c r="Y167" i="4"/>
  <c r="Y168" i="4"/>
  <c r="Y169" i="4"/>
  <c r="Y170" i="4"/>
  <c r="Y171" i="4"/>
  <c r="Y172" i="4"/>
  <c r="Y173" i="4"/>
  <c r="Y174" i="4"/>
  <c r="Y175" i="4"/>
  <c r="Y176" i="4"/>
  <c r="Y177" i="4"/>
  <c r="Y178" i="4"/>
  <c r="Y179" i="4"/>
  <c r="Y180" i="4"/>
  <c r="Y181" i="4"/>
  <c r="Y182" i="4"/>
  <c r="Y183" i="4"/>
  <c r="Y184" i="4"/>
  <c r="Y185" i="4"/>
  <c r="Y186" i="4"/>
  <c r="Y187" i="4"/>
  <c r="Y188" i="4"/>
  <c r="Y189" i="4"/>
  <c r="Y190" i="4"/>
  <c r="Y191" i="4"/>
  <c r="Y192" i="4"/>
  <c r="Y193" i="4"/>
  <c r="Y194" i="4"/>
  <c r="Y195" i="4"/>
  <c r="Y196" i="4"/>
  <c r="Y197" i="4"/>
  <c r="Y198" i="4"/>
  <c r="Y199" i="4"/>
  <c r="Y200" i="4"/>
  <c r="Y201" i="4"/>
  <c r="Y202" i="4"/>
  <c r="Y203" i="4"/>
  <c r="Y204" i="4"/>
  <c r="Y205" i="4"/>
  <c r="Y206" i="4"/>
  <c r="Y207" i="4"/>
  <c r="Y208" i="4"/>
  <c r="Y209" i="4"/>
  <c r="Y210" i="4"/>
  <c r="Y211" i="4"/>
  <c r="Y212" i="4"/>
  <c r="Y16" i="4"/>
  <c r="V125" i="4"/>
  <c r="V17" i="4"/>
  <c r="V18" i="4"/>
  <c r="V19" i="4"/>
  <c r="V20" i="4"/>
  <c r="X20" i="4" s="1"/>
  <c r="V21" i="4"/>
  <c r="V22" i="4"/>
  <c r="V23" i="4"/>
  <c r="V24" i="4"/>
  <c r="X24" i="4" s="1"/>
  <c r="V25" i="4"/>
  <c r="V26" i="4"/>
  <c r="V27" i="4"/>
  <c r="V28" i="4"/>
  <c r="X28" i="4" s="1"/>
  <c r="V29" i="4"/>
  <c r="V30" i="4"/>
  <c r="V31" i="4"/>
  <c r="V32" i="4"/>
  <c r="X32" i="4" s="1"/>
  <c r="V33" i="4"/>
  <c r="V34" i="4"/>
  <c r="V35" i="4"/>
  <c r="V36" i="4"/>
  <c r="X36" i="4" s="1"/>
  <c r="V37" i="4"/>
  <c r="V38" i="4"/>
  <c r="V39" i="4"/>
  <c r="V40" i="4"/>
  <c r="X40" i="4" s="1"/>
  <c r="V41" i="4"/>
  <c r="V42" i="4"/>
  <c r="V43" i="4"/>
  <c r="V44" i="4"/>
  <c r="X44" i="4" s="1"/>
  <c r="V45" i="4"/>
  <c r="V46" i="4"/>
  <c r="V47" i="4"/>
  <c r="V48" i="4"/>
  <c r="X48" i="4" s="1"/>
  <c r="V49" i="4"/>
  <c r="V50" i="4"/>
  <c r="V51" i="4"/>
  <c r="V52" i="4"/>
  <c r="X52" i="4" s="1"/>
  <c r="V53" i="4"/>
  <c r="V54" i="4"/>
  <c r="V55" i="4"/>
  <c r="V56" i="4"/>
  <c r="X56" i="4" s="1"/>
  <c r="V57" i="4"/>
  <c r="V58" i="4"/>
  <c r="V59" i="4"/>
  <c r="V60" i="4"/>
  <c r="X60" i="4" s="1"/>
  <c r="V61" i="4"/>
  <c r="V62" i="4"/>
  <c r="V63" i="4"/>
  <c r="V64" i="4"/>
  <c r="X64" i="4" s="1"/>
  <c r="V65" i="4"/>
  <c r="V66" i="4"/>
  <c r="V67" i="4"/>
  <c r="V68" i="4"/>
  <c r="X68" i="4" s="1"/>
  <c r="V69" i="4"/>
  <c r="V70" i="4"/>
  <c r="V71" i="4"/>
  <c r="V72" i="4"/>
  <c r="X72" i="4" s="1"/>
  <c r="V73" i="4"/>
  <c r="V74" i="4"/>
  <c r="V75" i="4"/>
  <c r="V76" i="4"/>
  <c r="X76" i="4" s="1"/>
  <c r="V77" i="4"/>
  <c r="V78" i="4"/>
  <c r="V79" i="4"/>
  <c r="V80" i="4"/>
  <c r="X80" i="4" s="1"/>
  <c r="V81" i="4"/>
  <c r="V82" i="4"/>
  <c r="V83" i="4"/>
  <c r="V84" i="4"/>
  <c r="X84" i="4" s="1"/>
  <c r="V85" i="4"/>
  <c r="V86" i="4"/>
  <c r="V87" i="4"/>
  <c r="V88" i="4"/>
  <c r="X88" i="4" s="1"/>
  <c r="V89" i="4"/>
  <c r="V90" i="4"/>
  <c r="V91" i="4"/>
  <c r="V92" i="4"/>
  <c r="X92" i="4" s="1"/>
  <c r="V93" i="4"/>
  <c r="V94" i="4"/>
  <c r="V95" i="4"/>
  <c r="V96" i="4"/>
  <c r="X96" i="4" s="1"/>
  <c r="V97" i="4"/>
  <c r="V98" i="4"/>
  <c r="V99" i="4"/>
  <c r="V100" i="4"/>
  <c r="X100" i="4" s="1"/>
  <c r="V101" i="4"/>
  <c r="V102" i="4"/>
  <c r="V103" i="4"/>
  <c r="V104" i="4"/>
  <c r="X104" i="4" s="1"/>
  <c r="V105" i="4"/>
  <c r="V106" i="4"/>
  <c r="V107" i="4"/>
  <c r="V108" i="4"/>
  <c r="X108" i="4" s="1"/>
  <c r="V109" i="4"/>
  <c r="V110" i="4"/>
  <c r="V111" i="4"/>
  <c r="V112" i="4"/>
  <c r="X112" i="4" s="1"/>
  <c r="V113" i="4"/>
  <c r="V114" i="4"/>
  <c r="V115" i="4"/>
  <c r="V116" i="4"/>
  <c r="X116" i="4" s="1"/>
  <c r="V117" i="4"/>
  <c r="V118" i="4"/>
  <c r="V119" i="4"/>
  <c r="V120" i="4"/>
  <c r="X120" i="4" s="1"/>
  <c r="V121" i="4"/>
  <c r="V122" i="4"/>
  <c r="V123" i="4"/>
  <c r="V124" i="4"/>
  <c r="X124" i="4" s="1"/>
  <c r="V126" i="4"/>
  <c r="V127" i="4"/>
  <c r="V128" i="4"/>
  <c r="X128" i="4" s="1"/>
  <c r="V129" i="4"/>
  <c r="V130" i="4"/>
  <c r="V131" i="4"/>
  <c r="V132" i="4"/>
  <c r="X132" i="4" s="1"/>
  <c r="V133" i="4"/>
  <c r="V134" i="4"/>
  <c r="V135" i="4"/>
  <c r="V136" i="4"/>
  <c r="X136" i="4" s="1"/>
  <c r="V137" i="4"/>
  <c r="V138" i="4"/>
  <c r="V139" i="4"/>
  <c r="V140" i="4"/>
  <c r="X140" i="4" s="1"/>
  <c r="V141" i="4"/>
  <c r="V142" i="4"/>
  <c r="V143" i="4"/>
  <c r="V144" i="4"/>
  <c r="X144" i="4" s="1"/>
  <c r="V145" i="4"/>
  <c r="V146" i="4"/>
  <c r="V147" i="4"/>
  <c r="V148" i="4"/>
  <c r="X148" i="4" s="1"/>
  <c r="V149" i="4"/>
  <c r="V150" i="4"/>
  <c r="V151" i="4"/>
  <c r="V152" i="4"/>
  <c r="X152" i="4" s="1"/>
  <c r="V153" i="4"/>
  <c r="V154" i="4"/>
  <c r="V155" i="4"/>
  <c r="V156" i="4"/>
  <c r="X156" i="4" s="1"/>
  <c r="V157" i="4"/>
  <c r="V158" i="4"/>
  <c r="V159" i="4"/>
  <c r="V160" i="4"/>
  <c r="X160" i="4" s="1"/>
  <c r="V161" i="4"/>
  <c r="V162" i="4"/>
  <c r="V163" i="4"/>
  <c r="V164" i="4"/>
  <c r="X164" i="4" s="1"/>
  <c r="V165" i="4"/>
  <c r="V166" i="4"/>
  <c r="V167" i="4"/>
  <c r="V168" i="4"/>
  <c r="X168" i="4" s="1"/>
  <c r="V169" i="4"/>
  <c r="V170" i="4"/>
  <c r="V171" i="4"/>
  <c r="V172" i="4"/>
  <c r="X172" i="4" s="1"/>
  <c r="V173" i="4"/>
  <c r="V174" i="4"/>
  <c r="V175" i="4"/>
  <c r="V176" i="4"/>
  <c r="X176" i="4" s="1"/>
  <c r="V177" i="4"/>
  <c r="V178" i="4"/>
  <c r="V179" i="4"/>
  <c r="V180" i="4"/>
  <c r="X180" i="4" s="1"/>
  <c r="V181" i="4"/>
  <c r="V182" i="4"/>
  <c r="V183" i="4"/>
  <c r="V184" i="4"/>
  <c r="X184" i="4" s="1"/>
  <c r="V185" i="4"/>
  <c r="V186" i="4"/>
  <c r="V187" i="4"/>
  <c r="V188" i="4"/>
  <c r="X188" i="4" s="1"/>
  <c r="V189" i="4"/>
  <c r="V190" i="4"/>
  <c r="V191" i="4"/>
  <c r="V192" i="4"/>
  <c r="X192" i="4" s="1"/>
  <c r="V193" i="4"/>
  <c r="V194" i="4"/>
  <c r="V195" i="4"/>
  <c r="V196" i="4"/>
  <c r="X196" i="4" s="1"/>
  <c r="V197" i="4"/>
  <c r="V198" i="4"/>
  <c r="V199" i="4"/>
  <c r="V200" i="4"/>
  <c r="X200" i="4" s="1"/>
  <c r="V201" i="4"/>
  <c r="V202" i="4"/>
  <c r="V203" i="4"/>
  <c r="V204" i="4"/>
  <c r="X204" i="4" s="1"/>
  <c r="V205" i="4"/>
  <c r="V206" i="4"/>
  <c r="V207" i="4"/>
  <c r="V208" i="4"/>
  <c r="X208" i="4" s="1"/>
  <c r="V209" i="4"/>
  <c r="V210" i="4"/>
  <c r="V211" i="4"/>
  <c r="V212" i="4"/>
  <c r="X212" i="4" s="1"/>
  <c r="V16" i="4"/>
  <c r="X16" i="4"/>
  <c r="X17" i="4"/>
  <c r="X18" i="4"/>
  <c r="X19" i="4"/>
  <c r="X21" i="4"/>
  <c r="X22" i="4"/>
  <c r="X23" i="4"/>
  <c r="X25" i="4"/>
  <c r="X26" i="4"/>
  <c r="X27" i="4"/>
  <c r="X29" i="4"/>
  <c r="X30" i="4"/>
  <c r="X31" i="4"/>
  <c r="X33" i="4"/>
  <c r="X34" i="4"/>
  <c r="X35" i="4"/>
  <c r="X37" i="4"/>
  <c r="X38" i="4"/>
  <c r="X39" i="4"/>
  <c r="X41" i="4"/>
  <c r="X42" i="4"/>
  <c r="X43" i="4"/>
  <c r="X45" i="4"/>
  <c r="X46" i="4"/>
  <c r="X47" i="4"/>
  <c r="X49" i="4"/>
  <c r="X50" i="4"/>
  <c r="X51" i="4"/>
  <c r="X53" i="4"/>
  <c r="X54" i="4"/>
  <c r="X55" i="4"/>
  <c r="X57" i="4"/>
  <c r="X58" i="4"/>
  <c r="X59" i="4"/>
  <c r="X61" i="4"/>
  <c r="X62" i="4"/>
  <c r="X63" i="4"/>
  <c r="X65" i="4"/>
  <c r="X66" i="4"/>
  <c r="X67" i="4"/>
  <c r="X69" i="4"/>
  <c r="X70" i="4"/>
  <c r="X71" i="4"/>
  <c r="X73" i="4"/>
  <c r="X74" i="4"/>
  <c r="X75" i="4"/>
  <c r="X77" i="4"/>
  <c r="X78" i="4"/>
  <c r="X79" i="4"/>
  <c r="X81" i="4"/>
  <c r="X82" i="4"/>
  <c r="X83" i="4"/>
  <c r="X85" i="4"/>
  <c r="X86" i="4"/>
  <c r="X87" i="4"/>
  <c r="X89" i="4"/>
  <c r="X90" i="4"/>
  <c r="X91" i="4"/>
  <c r="X93" i="4"/>
  <c r="X94" i="4"/>
  <c r="X95" i="4"/>
  <c r="X97" i="4"/>
  <c r="X98" i="4"/>
  <c r="X99" i="4"/>
  <c r="X101" i="4"/>
  <c r="X102" i="4"/>
  <c r="X103" i="4"/>
  <c r="X105" i="4"/>
  <c r="X106" i="4"/>
  <c r="X107" i="4"/>
  <c r="X109" i="4"/>
  <c r="X110" i="4"/>
  <c r="X111" i="4"/>
  <c r="X113" i="4"/>
  <c r="X114" i="4"/>
  <c r="X115" i="4"/>
  <c r="X117" i="4"/>
  <c r="X118" i="4"/>
  <c r="X119" i="4"/>
  <c r="X121" i="4"/>
  <c r="X122" i="4"/>
  <c r="X123" i="4"/>
  <c r="X125" i="4"/>
  <c r="X126" i="4"/>
  <c r="X127" i="4"/>
  <c r="X129" i="4"/>
  <c r="X130" i="4"/>
  <c r="X131" i="4"/>
  <c r="X133" i="4"/>
  <c r="X134" i="4"/>
  <c r="X135" i="4"/>
  <c r="X137" i="4"/>
  <c r="X138" i="4"/>
  <c r="X139" i="4"/>
  <c r="X141" i="4"/>
  <c r="X142" i="4"/>
  <c r="X143" i="4"/>
  <c r="X145" i="4"/>
  <c r="X146" i="4"/>
  <c r="X147" i="4"/>
  <c r="X149" i="4"/>
  <c r="X150" i="4"/>
  <c r="X151" i="4"/>
  <c r="X153" i="4"/>
  <c r="X154" i="4"/>
  <c r="X155" i="4"/>
  <c r="X157" i="4"/>
  <c r="X158" i="4"/>
  <c r="X159" i="4"/>
  <c r="X161" i="4"/>
  <c r="X162" i="4"/>
  <c r="X163" i="4"/>
  <c r="X165" i="4"/>
  <c r="X166" i="4"/>
  <c r="X167" i="4"/>
  <c r="X169" i="4"/>
  <c r="X170" i="4"/>
  <c r="X171" i="4"/>
  <c r="X173" i="4"/>
  <c r="X174" i="4"/>
  <c r="X175" i="4"/>
  <c r="X177" i="4"/>
  <c r="X178" i="4"/>
  <c r="X179" i="4"/>
  <c r="X181" i="4"/>
  <c r="X182" i="4"/>
  <c r="X183" i="4"/>
  <c r="X185" i="4"/>
  <c r="X186" i="4"/>
  <c r="X187" i="4"/>
  <c r="X189" i="4"/>
  <c r="X190" i="4"/>
  <c r="X191" i="4"/>
  <c r="X193" i="4"/>
  <c r="X194" i="4"/>
  <c r="X195" i="4"/>
  <c r="X197" i="4"/>
  <c r="X198" i="4"/>
  <c r="X199" i="4"/>
  <c r="X201" i="4"/>
  <c r="X202" i="4"/>
  <c r="X203" i="4"/>
  <c r="X205" i="4"/>
  <c r="X206" i="4"/>
  <c r="X207" i="4"/>
  <c r="X209" i="4"/>
  <c r="X210" i="4"/>
  <c r="X211" i="4"/>
  <c r="W17" i="4"/>
  <c r="W18" i="4"/>
  <c r="W19" i="4"/>
  <c r="W20" i="4"/>
  <c r="W21" i="4"/>
  <c r="W22" i="4"/>
  <c r="W23" i="4"/>
  <c r="W24" i="4"/>
  <c r="W25" i="4"/>
  <c r="W26" i="4"/>
  <c r="W27" i="4"/>
  <c r="W28" i="4"/>
  <c r="W29" i="4"/>
  <c r="W30" i="4"/>
  <c r="W31" i="4"/>
  <c r="W32" i="4"/>
  <c r="W33" i="4"/>
  <c r="W34" i="4"/>
  <c r="W35" i="4"/>
  <c r="W36" i="4"/>
  <c r="W37" i="4"/>
  <c r="W38" i="4"/>
  <c r="W39" i="4"/>
  <c r="W40" i="4"/>
  <c r="W41" i="4"/>
  <c r="W42" i="4"/>
  <c r="W43" i="4"/>
  <c r="W44" i="4"/>
  <c r="W45" i="4"/>
  <c r="W46" i="4"/>
  <c r="W47" i="4"/>
  <c r="W48" i="4"/>
  <c r="W49" i="4"/>
  <c r="W50" i="4"/>
  <c r="W51" i="4"/>
  <c r="W52" i="4"/>
  <c r="W53" i="4"/>
  <c r="W54" i="4"/>
  <c r="W55" i="4"/>
  <c r="W56" i="4"/>
  <c r="W57" i="4"/>
  <c r="W58" i="4"/>
  <c r="W59" i="4"/>
  <c r="W60" i="4"/>
  <c r="W61" i="4"/>
  <c r="W62" i="4"/>
  <c r="W63" i="4"/>
  <c r="W64" i="4"/>
  <c r="W65" i="4"/>
  <c r="W66" i="4"/>
  <c r="W67" i="4"/>
  <c r="W68" i="4"/>
  <c r="W69" i="4"/>
  <c r="W70" i="4"/>
  <c r="W71" i="4"/>
  <c r="W72" i="4"/>
  <c r="W73" i="4"/>
  <c r="W74" i="4"/>
  <c r="W75" i="4"/>
  <c r="W76" i="4"/>
  <c r="W77" i="4"/>
  <c r="W78" i="4"/>
  <c r="W79" i="4"/>
  <c r="W80" i="4"/>
  <c r="W81" i="4"/>
  <c r="W82" i="4"/>
  <c r="W83" i="4"/>
  <c r="W84" i="4"/>
  <c r="W85" i="4"/>
  <c r="W86" i="4"/>
  <c r="W87" i="4"/>
  <c r="W88" i="4"/>
  <c r="W89" i="4"/>
  <c r="W90" i="4"/>
  <c r="W91" i="4"/>
  <c r="W92" i="4"/>
  <c r="W93" i="4"/>
  <c r="W94" i="4"/>
  <c r="W95" i="4"/>
  <c r="W96" i="4"/>
  <c r="W97" i="4"/>
  <c r="W98" i="4"/>
  <c r="W99" i="4"/>
  <c r="W100" i="4"/>
  <c r="W101" i="4"/>
  <c r="W102" i="4"/>
  <c r="W103" i="4"/>
  <c r="W104" i="4"/>
  <c r="W105" i="4"/>
  <c r="W106" i="4"/>
  <c r="W107" i="4"/>
  <c r="W108" i="4"/>
  <c r="W109" i="4"/>
  <c r="W110" i="4"/>
  <c r="W111" i="4"/>
  <c r="W112" i="4"/>
  <c r="W113" i="4"/>
  <c r="W114" i="4"/>
  <c r="W115" i="4"/>
  <c r="W116" i="4"/>
  <c r="W117" i="4"/>
  <c r="W118" i="4"/>
  <c r="W119" i="4"/>
  <c r="W120" i="4"/>
  <c r="W121" i="4"/>
  <c r="W122" i="4"/>
  <c r="W123" i="4"/>
  <c r="W124" i="4"/>
  <c r="W125" i="4"/>
  <c r="W126" i="4"/>
  <c r="W127" i="4"/>
  <c r="W128" i="4"/>
  <c r="W129" i="4"/>
  <c r="W130" i="4"/>
  <c r="W131" i="4"/>
  <c r="W132" i="4"/>
  <c r="W133" i="4"/>
  <c r="W134" i="4"/>
  <c r="W135" i="4"/>
  <c r="W136" i="4"/>
  <c r="W137" i="4"/>
  <c r="W138" i="4"/>
  <c r="W139" i="4"/>
  <c r="W140" i="4"/>
  <c r="W141" i="4"/>
  <c r="W142" i="4"/>
  <c r="W143" i="4"/>
  <c r="W144" i="4"/>
  <c r="W145" i="4"/>
  <c r="W146" i="4"/>
  <c r="W147" i="4"/>
  <c r="W148" i="4"/>
  <c r="W149" i="4"/>
  <c r="W150" i="4"/>
  <c r="W151" i="4"/>
  <c r="W152" i="4"/>
  <c r="W153" i="4"/>
  <c r="W154" i="4"/>
  <c r="W155" i="4"/>
  <c r="W156" i="4"/>
  <c r="W157" i="4"/>
  <c r="W158" i="4"/>
  <c r="W159" i="4"/>
  <c r="W160" i="4"/>
  <c r="W161" i="4"/>
  <c r="W162" i="4"/>
  <c r="W163" i="4"/>
  <c r="W164" i="4"/>
  <c r="W165" i="4"/>
  <c r="W166" i="4"/>
  <c r="W167" i="4"/>
  <c r="W168" i="4"/>
  <c r="W169" i="4"/>
  <c r="W170" i="4"/>
  <c r="W171" i="4"/>
  <c r="W172" i="4"/>
  <c r="W173" i="4"/>
  <c r="W174" i="4"/>
  <c r="W175" i="4"/>
  <c r="W176" i="4"/>
  <c r="W177" i="4"/>
  <c r="W178" i="4"/>
  <c r="W179" i="4"/>
  <c r="W180" i="4"/>
  <c r="W181" i="4"/>
  <c r="W182" i="4"/>
  <c r="W183" i="4"/>
  <c r="W184" i="4"/>
  <c r="W185" i="4"/>
  <c r="W186" i="4"/>
  <c r="W187" i="4"/>
  <c r="W188" i="4"/>
  <c r="W189" i="4"/>
  <c r="W190" i="4"/>
  <c r="W191" i="4"/>
  <c r="W192" i="4"/>
  <c r="W193" i="4"/>
  <c r="W194" i="4"/>
  <c r="W195" i="4"/>
  <c r="W196" i="4"/>
  <c r="W197" i="4"/>
  <c r="W198" i="4"/>
  <c r="W199" i="4"/>
  <c r="W200" i="4"/>
  <c r="W201" i="4"/>
  <c r="W202" i="4"/>
  <c r="W203" i="4"/>
  <c r="W204" i="4"/>
  <c r="W205" i="4"/>
  <c r="W206" i="4"/>
  <c r="W207" i="4"/>
  <c r="W208" i="4"/>
  <c r="W209" i="4"/>
  <c r="W210" i="4"/>
  <c r="W211" i="4"/>
  <c r="W212" i="4"/>
  <c r="W16" i="4"/>
  <c r="F6" i="5"/>
  <c r="D10" i="5" s="1"/>
  <c r="D11" i="5" s="1"/>
  <c r="D12" i="5" s="1"/>
  <c r="D13" i="5" s="1"/>
  <c r="D14" i="5" s="1"/>
  <c r="D15" i="5" s="1"/>
  <c r="D16" i="5" s="1"/>
  <c r="D17" i="5" s="1"/>
  <c r="D18" i="5" s="1"/>
  <c r="D19" i="5" s="1"/>
  <c r="D20" i="5" s="1"/>
  <c r="D21" i="5" s="1"/>
  <c r="D22" i="5" s="1"/>
  <c r="D23" i="5" s="1"/>
  <c r="D24" i="5" s="1"/>
  <c r="D25" i="5" s="1"/>
  <c r="D26" i="5" s="1"/>
  <c r="F5" i="5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E4" i="5"/>
  <c r="F4" i="5" s="1"/>
  <c r="D29" i="4"/>
  <c r="F7" i="4"/>
  <c r="F8" i="4"/>
  <c r="F9" i="4"/>
  <c r="F10" i="4"/>
  <c r="F6" i="4"/>
  <c r="C24" i="2"/>
  <c r="V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C23" i="2"/>
  <c r="K25" i="4"/>
  <c r="K23" i="4"/>
  <c r="K22" i="4"/>
  <c r="K21" i="4"/>
  <c r="K20" i="4"/>
  <c r="K18" i="4"/>
  <c r="K19" i="4"/>
  <c r="K17" i="4"/>
  <c r="K16" i="4"/>
  <c r="K15" i="4"/>
  <c r="G6" i="3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8" i="2"/>
  <c r="H213" i="4"/>
  <c r="H212" i="4"/>
  <c r="H211" i="4"/>
  <c r="H210" i="4"/>
  <c r="H209" i="4"/>
  <c r="H208" i="4"/>
  <c r="H207" i="4"/>
  <c r="H206" i="4"/>
  <c r="H205" i="4"/>
  <c r="H204" i="4"/>
  <c r="H203" i="4"/>
  <c r="H202" i="4"/>
  <c r="H201" i="4"/>
  <c r="H200" i="4"/>
  <c r="H199" i="4"/>
  <c r="H198" i="4"/>
  <c r="H197" i="4"/>
  <c r="H196" i="4"/>
  <c r="H195" i="4"/>
  <c r="H194" i="4"/>
  <c r="H193" i="4"/>
  <c r="H192" i="4"/>
  <c r="H191" i="4"/>
  <c r="H190" i="4"/>
  <c r="H189" i="4"/>
  <c r="H188" i="4"/>
  <c r="H187" i="4"/>
  <c r="H186" i="4"/>
  <c r="H185" i="4"/>
  <c r="H184" i="4"/>
  <c r="H183" i="4"/>
  <c r="H182" i="4"/>
  <c r="H181" i="4"/>
  <c r="H180" i="4"/>
  <c r="H179" i="4"/>
  <c r="H178" i="4"/>
  <c r="H177" i="4"/>
  <c r="H176" i="4"/>
  <c r="H175" i="4"/>
  <c r="H174" i="4"/>
  <c r="H173" i="4"/>
  <c r="H172" i="4"/>
  <c r="H171" i="4"/>
  <c r="H170" i="4"/>
  <c r="H169" i="4"/>
  <c r="H168" i="4"/>
  <c r="H167" i="4"/>
  <c r="H166" i="4"/>
  <c r="H165" i="4"/>
  <c r="H164" i="4"/>
  <c r="H163" i="4"/>
  <c r="H162" i="4"/>
  <c r="H161" i="4"/>
  <c r="H160" i="4"/>
  <c r="H159" i="4"/>
  <c r="H158" i="4"/>
  <c r="H157" i="4"/>
  <c r="H156" i="4"/>
  <c r="H155" i="4"/>
  <c r="H154" i="4"/>
  <c r="H153" i="4"/>
  <c r="H152" i="4"/>
  <c r="H151" i="4"/>
  <c r="H150" i="4"/>
  <c r="H149" i="4"/>
  <c r="H148" i="4"/>
  <c r="H147" i="4"/>
  <c r="H146" i="4"/>
  <c r="H145" i="4"/>
  <c r="H144" i="4"/>
  <c r="H143" i="4"/>
  <c r="H142" i="4"/>
  <c r="H141" i="4"/>
  <c r="H140" i="4"/>
  <c r="H139" i="4"/>
  <c r="H138" i="4"/>
  <c r="H137" i="4"/>
  <c r="H136" i="4"/>
  <c r="H135" i="4"/>
  <c r="H134" i="4"/>
  <c r="H133" i="4"/>
  <c r="H132" i="4"/>
  <c r="H131" i="4"/>
  <c r="H130" i="4"/>
  <c r="H129" i="4"/>
  <c r="H128" i="4"/>
  <c r="H127" i="4"/>
  <c r="H126" i="4"/>
  <c r="H125" i="4"/>
  <c r="H124" i="4"/>
  <c r="H123" i="4"/>
  <c r="H122" i="4"/>
  <c r="H121" i="4"/>
  <c r="H120" i="4"/>
  <c r="H119" i="4"/>
  <c r="H118" i="4"/>
  <c r="H117" i="4"/>
  <c r="H116" i="4"/>
  <c r="H115" i="4"/>
  <c r="H114" i="4"/>
  <c r="H113" i="4"/>
  <c r="H112" i="4"/>
  <c r="H111" i="4"/>
  <c r="H110" i="4"/>
  <c r="H109" i="4"/>
  <c r="H108" i="4"/>
  <c r="H107" i="4"/>
  <c r="H106" i="4"/>
  <c r="H105" i="4"/>
  <c r="H104" i="4"/>
  <c r="H103" i="4"/>
  <c r="H102" i="4"/>
  <c r="H101" i="4"/>
  <c r="H100" i="4"/>
  <c r="H99" i="4"/>
  <c r="H98" i="4"/>
  <c r="H97" i="4"/>
  <c r="H96" i="4"/>
  <c r="H95" i="4"/>
  <c r="H94" i="4"/>
  <c r="H93" i="4"/>
  <c r="H92" i="4"/>
  <c r="H91" i="4"/>
  <c r="H90" i="4"/>
  <c r="H89" i="4"/>
  <c r="H88" i="4"/>
  <c r="H87" i="4"/>
  <c r="H86" i="4"/>
  <c r="H85" i="4"/>
  <c r="H84" i="4"/>
  <c r="H83" i="4"/>
  <c r="H82" i="4"/>
  <c r="H81" i="4"/>
  <c r="H80" i="4"/>
  <c r="H79" i="4"/>
  <c r="H78" i="4"/>
  <c r="H77" i="4"/>
  <c r="H76" i="4"/>
  <c r="H75" i="4"/>
  <c r="H74" i="4"/>
  <c r="H73" i="4"/>
  <c r="H72" i="4"/>
  <c r="H71" i="4"/>
  <c r="H70" i="4"/>
  <c r="H69" i="4"/>
  <c r="H68" i="4"/>
  <c r="H67" i="4"/>
  <c r="H66" i="4"/>
  <c r="H65" i="4"/>
  <c r="H64" i="4"/>
  <c r="H63" i="4"/>
  <c r="H62" i="4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J28" i="4" s="1"/>
  <c r="N28" i="4" s="1"/>
  <c r="H27" i="4"/>
  <c r="J27" i="4" s="1"/>
  <c r="N27" i="4" s="1"/>
  <c r="H26" i="4"/>
  <c r="J26" i="4" s="1"/>
  <c r="N26" i="4" s="1"/>
  <c r="H25" i="4"/>
  <c r="J25" i="4" s="1"/>
  <c r="N25" i="4" s="1"/>
  <c r="H24" i="4"/>
  <c r="J24" i="4" s="1"/>
  <c r="N24" i="4" s="1"/>
  <c r="H23" i="4"/>
  <c r="J23" i="4" s="1"/>
  <c r="H22" i="4"/>
  <c r="J22" i="4" s="1"/>
  <c r="H21" i="4"/>
  <c r="J21" i="4" s="1"/>
  <c r="H20" i="4"/>
  <c r="J20" i="4" s="1"/>
  <c r="N20" i="4" s="1"/>
  <c r="H19" i="4"/>
  <c r="J19" i="4" s="1"/>
  <c r="H18" i="4"/>
  <c r="J18" i="4" s="1"/>
  <c r="H17" i="4"/>
  <c r="J17" i="4" s="1"/>
  <c r="H16" i="4"/>
  <c r="J16" i="4" s="1"/>
  <c r="N16" i="4" s="1"/>
  <c r="H15" i="4"/>
  <c r="J15" i="4" s="1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15" i="4"/>
  <c r="D16" i="4"/>
  <c r="F16" i="4" s="1"/>
  <c r="D17" i="4"/>
  <c r="F17" i="4" s="1"/>
  <c r="L17" i="4" s="1"/>
  <c r="M17" i="4" s="1"/>
  <c r="D18" i="4"/>
  <c r="F18" i="4" s="1"/>
  <c r="D19" i="4"/>
  <c r="F19" i="4" s="1"/>
  <c r="L19" i="4" s="1"/>
  <c r="M19" i="4" s="1"/>
  <c r="D20" i="4"/>
  <c r="F20" i="4" s="1"/>
  <c r="L20" i="4" s="1"/>
  <c r="M20" i="4" s="1"/>
  <c r="D21" i="4"/>
  <c r="F21" i="4" s="1"/>
  <c r="L21" i="4" s="1"/>
  <c r="M21" i="4" s="1"/>
  <c r="D22" i="4"/>
  <c r="F22" i="4" s="1"/>
  <c r="D23" i="4"/>
  <c r="F23" i="4" s="1"/>
  <c r="D24" i="4"/>
  <c r="F24" i="4" s="1"/>
  <c r="L24" i="4" s="1"/>
  <c r="M24" i="4" s="1"/>
  <c r="D25" i="4"/>
  <c r="F25" i="4" s="1"/>
  <c r="L25" i="4" s="1"/>
  <c r="M25" i="4" s="1"/>
  <c r="D26" i="4"/>
  <c r="F26" i="4" s="1"/>
  <c r="L26" i="4" s="1"/>
  <c r="M26" i="4" s="1"/>
  <c r="D27" i="4"/>
  <c r="F27" i="4" s="1"/>
  <c r="L27" i="4" s="1"/>
  <c r="M27" i="4" s="1"/>
  <c r="D28" i="4"/>
  <c r="F28" i="4" s="1"/>
  <c r="L28" i="4" s="1"/>
  <c r="M28" i="4" s="1"/>
  <c r="D30" i="4"/>
  <c r="F30" i="4" s="1"/>
  <c r="L30" i="4" s="1"/>
  <c r="M30" i="4" s="1"/>
  <c r="D31" i="4"/>
  <c r="F31" i="4" s="1"/>
  <c r="L31" i="4" s="1"/>
  <c r="M31" i="4" s="1"/>
  <c r="D32" i="4"/>
  <c r="F32" i="4" s="1"/>
  <c r="L32" i="4" s="1"/>
  <c r="M32" i="4" s="1"/>
  <c r="D33" i="4"/>
  <c r="F33" i="4" s="1"/>
  <c r="L33" i="4" s="1"/>
  <c r="M33" i="4" s="1"/>
  <c r="D34" i="4"/>
  <c r="D35" i="4"/>
  <c r="F35" i="4" s="1"/>
  <c r="L35" i="4" s="1"/>
  <c r="M35" i="4" s="1"/>
  <c r="D36" i="4"/>
  <c r="F36" i="4" s="1"/>
  <c r="L36" i="4" s="1"/>
  <c r="M36" i="4" s="1"/>
  <c r="D37" i="4"/>
  <c r="F37" i="4" s="1"/>
  <c r="L37" i="4" s="1"/>
  <c r="M37" i="4" s="1"/>
  <c r="D38" i="4"/>
  <c r="F38" i="4" s="1"/>
  <c r="L38" i="4" s="1"/>
  <c r="M38" i="4" s="1"/>
  <c r="D39" i="4"/>
  <c r="D40" i="4"/>
  <c r="F40" i="4" s="1"/>
  <c r="L40" i="4" s="1"/>
  <c r="M40" i="4" s="1"/>
  <c r="D41" i="4"/>
  <c r="F41" i="4" s="1"/>
  <c r="L41" i="4" s="1"/>
  <c r="M41" i="4" s="1"/>
  <c r="D42" i="4"/>
  <c r="F42" i="4" s="1"/>
  <c r="L42" i="4" s="1"/>
  <c r="M42" i="4" s="1"/>
  <c r="D43" i="4"/>
  <c r="F43" i="4" s="1"/>
  <c r="L43" i="4" s="1"/>
  <c r="M43" i="4" s="1"/>
  <c r="D44" i="4"/>
  <c r="D45" i="4"/>
  <c r="F45" i="4" s="1"/>
  <c r="L45" i="4" s="1"/>
  <c r="M45" i="4" s="1"/>
  <c r="D46" i="4"/>
  <c r="F46" i="4" s="1"/>
  <c r="L46" i="4" s="1"/>
  <c r="M46" i="4" s="1"/>
  <c r="D47" i="4"/>
  <c r="F47" i="4" s="1"/>
  <c r="L47" i="4" s="1"/>
  <c r="M47" i="4" s="1"/>
  <c r="D48" i="4"/>
  <c r="F48" i="4" s="1"/>
  <c r="L48" i="4" s="1"/>
  <c r="M48" i="4" s="1"/>
  <c r="D49" i="4"/>
  <c r="D50" i="4"/>
  <c r="F50" i="4" s="1"/>
  <c r="L50" i="4" s="1"/>
  <c r="M50" i="4" s="1"/>
  <c r="D51" i="4"/>
  <c r="F51" i="4" s="1"/>
  <c r="L51" i="4" s="1"/>
  <c r="M51" i="4" s="1"/>
  <c r="D52" i="4"/>
  <c r="F52" i="4" s="1"/>
  <c r="L52" i="4" s="1"/>
  <c r="M52" i="4" s="1"/>
  <c r="D53" i="4"/>
  <c r="F53" i="4" s="1"/>
  <c r="L53" i="4" s="1"/>
  <c r="M53" i="4" s="1"/>
  <c r="D54" i="4"/>
  <c r="D55" i="4"/>
  <c r="F55" i="4" s="1"/>
  <c r="L55" i="4" s="1"/>
  <c r="M55" i="4" s="1"/>
  <c r="D56" i="4"/>
  <c r="F56" i="4" s="1"/>
  <c r="L56" i="4" s="1"/>
  <c r="M56" i="4" s="1"/>
  <c r="D57" i="4"/>
  <c r="F57" i="4" s="1"/>
  <c r="L57" i="4" s="1"/>
  <c r="M57" i="4" s="1"/>
  <c r="D58" i="4"/>
  <c r="F58" i="4" s="1"/>
  <c r="L58" i="4" s="1"/>
  <c r="M58" i="4" s="1"/>
  <c r="D59" i="4"/>
  <c r="F59" i="4" s="1"/>
  <c r="L59" i="4" s="1"/>
  <c r="M59" i="4" s="1"/>
  <c r="D60" i="4"/>
  <c r="D61" i="4"/>
  <c r="F61" i="4" s="1"/>
  <c r="L61" i="4" s="1"/>
  <c r="M61" i="4" s="1"/>
  <c r="D62" i="4"/>
  <c r="F62" i="4" s="1"/>
  <c r="L62" i="4" s="1"/>
  <c r="M62" i="4" s="1"/>
  <c r="D63" i="4"/>
  <c r="F63" i="4" s="1"/>
  <c r="L63" i="4" s="1"/>
  <c r="M63" i="4" s="1"/>
  <c r="D64" i="4"/>
  <c r="F64" i="4" s="1"/>
  <c r="L64" i="4" s="1"/>
  <c r="M64" i="4" s="1"/>
  <c r="D65" i="4"/>
  <c r="F65" i="4" s="1"/>
  <c r="L65" i="4" s="1"/>
  <c r="M65" i="4" s="1"/>
  <c r="D66" i="4"/>
  <c r="D67" i="4"/>
  <c r="F67" i="4" s="1"/>
  <c r="L67" i="4" s="1"/>
  <c r="M67" i="4" s="1"/>
  <c r="D68" i="4"/>
  <c r="F68" i="4" s="1"/>
  <c r="L68" i="4" s="1"/>
  <c r="M68" i="4" s="1"/>
  <c r="D69" i="4"/>
  <c r="F69" i="4" s="1"/>
  <c r="L69" i="4" s="1"/>
  <c r="M69" i="4" s="1"/>
  <c r="D70" i="4"/>
  <c r="F70" i="4" s="1"/>
  <c r="L70" i="4" s="1"/>
  <c r="M70" i="4" s="1"/>
  <c r="D71" i="4"/>
  <c r="F71" i="4" s="1"/>
  <c r="L71" i="4" s="1"/>
  <c r="M71" i="4" s="1"/>
  <c r="D72" i="4"/>
  <c r="F72" i="4" s="1"/>
  <c r="L72" i="4" s="1"/>
  <c r="M72" i="4" s="1"/>
  <c r="D73" i="4"/>
  <c r="D74" i="4"/>
  <c r="F74" i="4" s="1"/>
  <c r="L74" i="4" s="1"/>
  <c r="M74" i="4" s="1"/>
  <c r="D75" i="4"/>
  <c r="F75" i="4" s="1"/>
  <c r="L75" i="4" s="1"/>
  <c r="M75" i="4" s="1"/>
  <c r="D76" i="4"/>
  <c r="F76" i="4" s="1"/>
  <c r="L76" i="4" s="1"/>
  <c r="M76" i="4" s="1"/>
  <c r="D77" i="4"/>
  <c r="F77" i="4" s="1"/>
  <c r="L77" i="4" s="1"/>
  <c r="M77" i="4" s="1"/>
  <c r="D78" i="4"/>
  <c r="F78" i="4" s="1"/>
  <c r="L78" i="4" s="1"/>
  <c r="M78" i="4" s="1"/>
  <c r="D79" i="4"/>
  <c r="F79" i="4" s="1"/>
  <c r="L79" i="4" s="1"/>
  <c r="M79" i="4" s="1"/>
  <c r="D80" i="4"/>
  <c r="D81" i="4"/>
  <c r="F81" i="4" s="1"/>
  <c r="L81" i="4" s="1"/>
  <c r="M81" i="4" s="1"/>
  <c r="D82" i="4"/>
  <c r="F82" i="4" s="1"/>
  <c r="L82" i="4" s="1"/>
  <c r="M82" i="4" s="1"/>
  <c r="D83" i="4"/>
  <c r="F83" i="4" s="1"/>
  <c r="L83" i="4" s="1"/>
  <c r="M83" i="4" s="1"/>
  <c r="D84" i="4"/>
  <c r="F84" i="4" s="1"/>
  <c r="L84" i="4" s="1"/>
  <c r="M84" i="4" s="1"/>
  <c r="D85" i="4"/>
  <c r="F85" i="4" s="1"/>
  <c r="L85" i="4" s="1"/>
  <c r="M85" i="4" s="1"/>
  <c r="D86" i="4"/>
  <c r="F86" i="4" s="1"/>
  <c r="L86" i="4" s="1"/>
  <c r="M86" i="4" s="1"/>
  <c r="D87" i="4"/>
  <c r="D88" i="4"/>
  <c r="F88" i="4" s="1"/>
  <c r="L88" i="4" s="1"/>
  <c r="M88" i="4" s="1"/>
  <c r="D89" i="4"/>
  <c r="F89" i="4" s="1"/>
  <c r="L89" i="4" s="1"/>
  <c r="M89" i="4" s="1"/>
  <c r="D90" i="4"/>
  <c r="F90" i="4" s="1"/>
  <c r="L90" i="4" s="1"/>
  <c r="M90" i="4" s="1"/>
  <c r="D91" i="4"/>
  <c r="F91" i="4" s="1"/>
  <c r="L91" i="4" s="1"/>
  <c r="M91" i="4" s="1"/>
  <c r="D92" i="4"/>
  <c r="F92" i="4" s="1"/>
  <c r="L92" i="4" s="1"/>
  <c r="M92" i="4" s="1"/>
  <c r="D93" i="4"/>
  <c r="F93" i="4" s="1"/>
  <c r="L93" i="4" s="1"/>
  <c r="M93" i="4" s="1"/>
  <c r="D94" i="4"/>
  <c r="D95" i="4"/>
  <c r="F95" i="4" s="1"/>
  <c r="L95" i="4" s="1"/>
  <c r="M95" i="4" s="1"/>
  <c r="D96" i="4"/>
  <c r="F96" i="4" s="1"/>
  <c r="L96" i="4" s="1"/>
  <c r="M96" i="4" s="1"/>
  <c r="D97" i="4"/>
  <c r="F97" i="4" s="1"/>
  <c r="L97" i="4" s="1"/>
  <c r="M97" i="4" s="1"/>
  <c r="D98" i="4"/>
  <c r="F98" i="4" s="1"/>
  <c r="L98" i="4" s="1"/>
  <c r="M98" i="4" s="1"/>
  <c r="D99" i="4"/>
  <c r="F99" i="4" s="1"/>
  <c r="L99" i="4" s="1"/>
  <c r="M99" i="4" s="1"/>
  <c r="D100" i="4"/>
  <c r="F100" i="4" s="1"/>
  <c r="L100" i="4" s="1"/>
  <c r="M100" i="4" s="1"/>
  <c r="D101" i="4"/>
  <c r="F101" i="4" s="1"/>
  <c r="L101" i="4" s="1"/>
  <c r="M101" i="4" s="1"/>
  <c r="D102" i="4"/>
  <c r="D103" i="4"/>
  <c r="F103" i="4" s="1"/>
  <c r="L103" i="4" s="1"/>
  <c r="M103" i="4" s="1"/>
  <c r="D104" i="4"/>
  <c r="F104" i="4" s="1"/>
  <c r="L104" i="4" s="1"/>
  <c r="M104" i="4" s="1"/>
  <c r="D105" i="4"/>
  <c r="F105" i="4" s="1"/>
  <c r="L105" i="4" s="1"/>
  <c r="M105" i="4" s="1"/>
  <c r="D106" i="4"/>
  <c r="F106" i="4" s="1"/>
  <c r="L106" i="4" s="1"/>
  <c r="M106" i="4" s="1"/>
  <c r="D107" i="4"/>
  <c r="F107" i="4" s="1"/>
  <c r="L107" i="4" s="1"/>
  <c r="M107" i="4" s="1"/>
  <c r="D108" i="4"/>
  <c r="F108" i="4" s="1"/>
  <c r="L108" i="4" s="1"/>
  <c r="M108" i="4" s="1"/>
  <c r="D109" i="4"/>
  <c r="F109" i="4" s="1"/>
  <c r="L109" i="4" s="1"/>
  <c r="M109" i="4" s="1"/>
  <c r="D110" i="4"/>
  <c r="F110" i="4" s="1"/>
  <c r="L110" i="4" s="1"/>
  <c r="M110" i="4" s="1"/>
  <c r="D111" i="4"/>
  <c r="D112" i="4"/>
  <c r="F112" i="4" s="1"/>
  <c r="L112" i="4" s="1"/>
  <c r="M112" i="4" s="1"/>
  <c r="D113" i="4"/>
  <c r="F113" i="4" s="1"/>
  <c r="L113" i="4" s="1"/>
  <c r="M113" i="4" s="1"/>
  <c r="D114" i="4"/>
  <c r="F114" i="4" s="1"/>
  <c r="L114" i="4" s="1"/>
  <c r="M114" i="4" s="1"/>
  <c r="D115" i="4"/>
  <c r="F115" i="4" s="1"/>
  <c r="L115" i="4" s="1"/>
  <c r="M115" i="4" s="1"/>
  <c r="D116" i="4"/>
  <c r="F116" i="4" s="1"/>
  <c r="L116" i="4" s="1"/>
  <c r="M116" i="4" s="1"/>
  <c r="D117" i="4"/>
  <c r="F117" i="4" s="1"/>
  <c r="L117" i="4" s="1"/>
  <c r="M117" i="4" s="1"/>
  <c r="D118" i="4"/>
  <c r="F118" i="4" s="1"/>
  <c r="L118" i="4" s="1"/>
  <c r="M118" i="4" s="1"/>
  <c r="D119" i="4"/>
  <c r="F119" i="4" s="1"/>
  <c r="L119" i="4" s="1"/>
  <c r="M119" i="4" s="1"/>
  <c r="D120" i="4"/>
  <c r="D121" i="4"/>
  <c r="F121" i="4" s="1"/>
  <c r="L121" i="4" s="1"/>
  <c r="M121" i="4" s="1"/>
  <c r="D122" i="4"/>
  <c r="F122" i="4" s="1"/>
  <c r="L122" i="4" s="1"/>
  <c r="M122" i="4" s="1"/>
  <c r="D123" i="4"/>
  <c r="F123" i="4" s="1"/>
  <c r="L123" i="4" s="1"/>
  <c r="M123" i="4" s="1"/>
  <c r="D124" i="4"/>
  <c r="F124" i="4" s="1"/>
  <c r="L124" i="4" s="1"/>
  <c r="M124" i="4" s="1"/>
  <c r="D125" i="4"/>
  <c r="F125" i="4" s="1"/>
  <c r="L125" i="4" s="1"/>
  <c r="M125" i="4" s="1"/>
  <c r="D126" i="4"/>
  <c r="F126" i="4" s="1"/>
  <c r="L126" i="4" s="1"/>
  <c r="M126" i="4" s="1"/>
  <c r="D127" i="4"/>
  <c r="F127" i="4" s="1"/>
  <c r="L127" i="4" s="1"/>
  <c r="M127" i="4" s="1"/>
  <c r="D128" i="4"/>
  <c r="F128" i="4" s="1"/>
  <c r="L128" i="4" s="1"/>
  <c r="M128" i="4" s="1"/>
  <c r="D129" i="4"/>
  <c r="D130" i="4"/>
  <c r="F130" i="4" s="1"/>
  <c r="L130" i="4" s="1"/>
  <c r="M130" i="4" s="1"/>
  <c r="D131" i="4"/>
  <c r="F131" i="4" s="1"/>
  <c r="L131" i="4" s="1"/>
  <c r="M131" i="4" s="1"/>
  <c r="D132" i="4"/>
  <c r="F132" i="4" s="1"/>
  <c r="L132" i="4" s="1"/>
  <c r="M132" i="4" s="1"/>
  <c r="D133" i="4"/>
  <c r="F133" i="4" s="1"/>
  <c r="L133" i="4" s="1"/>
  <c r="M133" i="4" s="1"/>
  <c r="D134" i="4"/>
  <c r="F134" i="4" s="1"/>
  <c r="L134" i="4" s="1"/>
  <c r="M134" i="4" s="1"/>
  <c r="D135" i="4"/>
  <c r="F135" i="4" s="1"/>
  <c r="L135" i="4" s="1"/>
  <c r="M135" i="4" s="1"/>
  <c r="D136" i="4"/>
  <c r="F136" i="4" s="1"/>
  <c r="L136" i="4" s="1"/>
  <c r="M136" i="4" s="1"/>
  <c r="D137" i="4"/>
  <c r="F137" i="4" s="1"/>
  <c r="L137" i="4" s="1"/>
  <c r="M137" i="4" s="1"/>
  <c r="D138" i="4"/>
  <c r="D139" i="4"/>
  <c r="F139" i="4" s="1"/>
  <c r="L139" i="4" s="1"/>
  <c r="M139" i="4" s="1"/>
  <c r="D140" i="4"/>
  <c r="F140" i="4" s="1"/>
  <c r="L140" i="4" s="1"/>
  <c r="M140" i="4" s="1"/>
  <c r="D141" i="4"/>
  <c r="F141" i="4" s="1"/>
  <c r="L141" i="4" s="1"/>
  <c r="M141" i="4" s="1"/>
  <c r="D142" i="4"/>
  <c r="F142" i="4" s="1"/>
  <c r="L142" i="4" s="1"/>
  <c r="M142" i="4" s="1"/>
  <c r="D143" i="4"/>
  <c r="F143" i="4" s="1"/>
  <c r="L143" i="4" s="1"/>
  <c r="M143" i="4" s="1"/>
  <c r="D144" i="4"/>
  <c r="F144" i="4" s="1"/>
  <c r="L144" i="4" s="1"/>
  <c r="M144" i="4" s="1"/>
  <c r="D145" i="4"/>
  <c r="F145" i="4" s="1"/>
  <c r="L145" i="4" s="1"/>
  <c r="M145" i="4" s="1"/>
  <c r="D146" i="4"/>
  <c r="F146" i="4" s="1"/>
  <c r="L146" i="4" s="1"/>
  <c r="M146" i="4" s="1"/>
  <c r="D147" i="4"/>
  <c r="F147" i="4" s="1"/>
  <c r="L147" i="4" s="1"/>
  <c r="M147" i="4" s="1"/>
  <c r="D148" i="4"/>
  <c r="D149" i="4"/>
  <c r="F149" i="4" s="1"/>
  <c r="L149" i="4" s="1"/>
  <c r="M149" i="4" s="1"/>
  <c r="D150" i="4"/>
  <c r="F150" i="4" s="1"/>
  <c r="L150" i="4" s="1"/>
  <c r="M150" i="4" s="1"/>
  <c r="D151" i="4"/>
  <c r="F151" i="4" s="1"/>
  <c r="L151" i="4" s="1"/>
  <c r="M151" i="4" s="1"/>
  <c r="D152" i="4"/>
  <c r="F152" i="4" s="1"/>
  <c r="L152" i="4" s="1"/>
  <c r="M152" i="4" s="1"/>
  <c r="D153" i="4"/>
  <c r="F153" i="4" s="1"/>
  <c r="L153" i="4" s="1"/>
  <c r="M153" i="4" s="1"/>
  <c r="D154" i="4"/>
  <c r="F154" i="4" s="1"/>
  <c r="L154" i="4" s="1"/>
  <c r="M154" i="4" s="1"/>
  <c r="D155" i="4"/>
  <c r="F155" i="4" s="1"/>
  <c r="L155" i="4" s="1"/>
  <c r="M155" i="4" s="1"/>
  <c r="D156" i="4"/>
  <c r="F156" i="4" s="1"/>
  <c r="L156" i="4" s="1"/>
  <c r="M156" i="4" s="1"/>
  <c r="D157" i="4"/>
  <c r="F157" i="4" s="1"/>
  <c r="L157" i="4" s="1"/>
  <c r="M157" i="4" s="1"/>
  <c r="D158" i="4"/>
  <c r="F158" i="4" s="1"/>
  <c r="L158" i="4" s="1"/>
  <c r="M158" i="4" s="1"/>
  <c r="D159" i="4"/>
  <c r="F159" i="4" s="1"/>
  <c r="L159" i="4" s="1"/>
  <c r="M159" i="4" s="1"/>
  <c r="D160" i="4"/>
  <c r="F160" i="4" s="1"/>
  <c r="L160" i="4" s="1"/>
  <c r="M160" i="4" s="1"/>
  <c r="D161" i="4"/>
  <c r="F161" i="4" s="1"/>
  <c r="L161" i="4" s="1"/>
  <c r="M161" i="4" s="1"/>
  <c r="D162" i="4"/>
  <c r="F162" i="4" s="1"/>
  <c r="L162" i="4" s="1"/>
  <c r="M162" i="4" s="1"/>
  <c r="D163" i="4"/>
  <c r="D164" i="4"/>
  <c r="F164" i="4" s="1"/>
  <c r="L164" i="4" s="1"/>
  <c r="M164" i="4" s="1"/>
  <c r="D165" i="4"/>
  <c r="F165" i="4" s="1"/>
  <c r="L165" i="4" s="1"/>
  <c r="M165" i="4" s="1"/>
  <c r="D166" i="4"/>
  <c r="F166" i="4" s="1"/>
  <c r="L166" i="4" s="1"/>
  <c r="M166" i="4" s="1"/>
  <c r="D167" i="4"/>
  <c r="F167" i="4" s="1"/>
  <c r="L167" i="4" s="1"/>
  <c r="M167" i="4" s="1"/>
  <c r="D168" i="4"/>
  <c r="F168" i="4" s="1"/>
  <c r="L168" i="4" s="1"/>
  <c r="M168" i="4" s="1"/>
  <c r="D169" i="4"/>
  <c r="F169" i="4" s="1"/>
  <c r="L169" i="4" s="1"/>
  <c r="M169" i="4" s="1"/>
  <c r="D170" i="4"/>
  <c r="F170" i="4" s="1"/>
  <c r="L170" i="4" s="1"/>
  <c r="M170" i="4" s="1"/>
  <c r="D171" i="4"/>
  <c r="F171" i="4" s="1"/>
  <c r="L171" i="4" s="1"/>
  <c r="M171" i="4" s="1"/>
  <c r="D172" i="4"/>
  <c r="F172" i="4" s="1"/>
  <c r="L172" i="4" s="1"/>
  <c r="M172" i="4" s="1"/>
  <c r="D173" i="4"/>
  <c r="F173" i="4" s="1"/>
  <c r="L173" i="4" s="1"/>
  <c r="M173" i="4" s="1"/>
  <c r="D174" i="4"/>
  <c r="F174" i="4" s="1"/>
  <c r="L174" i="4" s="1"/>
  <c r="M174" i="4" s="1"/>
  <c r="D175" i="4"/>
  <c r="F175" i="4" s="1"/>
  <c r="L175" i="4" s="1"/>
  <c r="M175" i="4" s="1"/>
  <c r="D176" i="4"/>
  <c r="F176" i="4" s="1"/>
  <c r="L176" i="4" s="1"/>
  <c r="M176" i="4" s="1"/>
  <c r="D177" i="4"/>
  <c r="F177" i="4" s="1"/>
  <c r="L177" i="4" s="1"/>
  <c r="M177" i="4" s="1"/>
  <c r="D178" i="4"/>
  <c r="D179" i="4"/>
  <c r="F179" i="4" s="1"/>
  <c r="L179" i="4" s="1"/>
  <c r="M179" i="4" s="1"/>
  <c r="D180" i="4"/>
  <c r="F180" i="4" s="1"/>
  <c r="L180" i="4" s="1"/>
  <c r="M180" i="4" s="1"/>
  <c r="D181" i="4"/>
  <c r="F181" i="4" s="1"/>
  <c r="L181" i="4" s="1"/>
  <c r="M181" i="4" s="1"/>
  <c r="D182" i="4"/>
  <c r="F182" i="4" s="1"/>
  <c r="L182" i="4" s="1"/>
  <c r="M182" i="4" s="1"/>
  <c r="D183" i="4"/>
  <c r="F183" i="4" s="1"/>
  <c r="L183" i="4" s="1"/>
  <c r="M183" i="4" s="1"/>
  <c r="D184" i="4"/>
  <c r="F184" i="4" s="1"/>
  <c r="L184" i="4" s="1"/>
  <c r="M184" i="4" s="1"/>
  <c r="D185" i="4"/>
  <c r="F185" i="4" s="1"/>
  <c r="L185" i="4" s="1"/>
  <c r="M185" i="4" s="1"/>
  <c r="D186" i="4"/>
  <c r="F186" i="4" s="1"/>
  <c r="L186" i="4" s="1"/>
  <c r="M186" i="4" s="1"/>
  <c r="D187" i="4"/>
  <c r="F187" i="4" s="1"/>
  <c r="L187" i="4" s="1"/>
  <c r="M187" i="4" s="1"/>
  <c r="D188" i="4"/>
  <c r="F188" i="4" s="1"/>
  <c r="L188" i="4" s="1"/>
  <c r="M188" i="4" s="1"/>
  <c r="D189" i="4"/>
  <c r="F189" i="4" s="1"/>
  <c r="L189" i="4" s="1"/>
  <c r="M189" i="4" s="1"/>
  <c r="D190" i="4"/>
  <c r="F190" i="4" s="1"/>
  <c r="L190" i="4" s="1"/>
  <c r="M190" i="4" s="1"/>
  <c r="D191" i="4"/>
  <c r="F191" i="4" s="1"/>
  <c r="L191" i="4" s="1"/>
  <c r="M191" i="4" s="1"/>
  <c r="D192" i="4"/>
  <c r="F192" i="4" s="1"/>
  <c r="L192" i="4" s="1"/>
  <c r="M192" i="4" s="1"/>
  <c r="D193" i="4"/>
  <c r="D194" i="4"/>
  <c r="F194" i="4" s="1"/>
  <c r="L194" i="4" s="1"/>
  <c r="M194" i="4" s="1"/>
  <c r="D195" i="4"/>
  <c r="F195" i="4" s="1"/>
  <c r="L195" i="4" s="1"/>
  <c r="M195" i="4" s="1"/>
  <c r="D196" i="4"/>
  <c r="F196" i="4" s="1"/>
  <c r="L196" i="4" s="1"/>
  <c r="M196" i="4" s="1"/>
  <c r="D197" i="4"/>
  <c r="F197" i="4" s="1"/>
  <c r="L197" i="4" s="1"/>
  <c r="M197" i="4" s="1"/>
  <c r="D198" i="4"/>
  <c r="F198" i="4" s="1"/>
  <c r="L198" i="4" s="1"/>
  <c r="M198" i="4" s="1"/>
  <c r="D199" i="4"/>
  <c r="F199" i="4" s="1"/>
  <c r="L199" i="4" s="1"/>
  <c r="M199" i="4" s="1"/>
  <c r="D200" i="4"/>
  <c r="F200" i="4" s="1"/>
  <c r="L200" i="4" s="1"/>
  <c r="M200" i="4" s="1"/>
  <c r="D201" i="4"/>
  <c r="F201" i="4" s="1"/>
  <c r="L201" i="4" s="1"/>
  <c r="M201" i="4" s="1"/>
  <c r="D202" i="4"/>
  <c r="F202" i="4" s="1"/>
  <c r="L202" i="4" s="1"/>
  <c r="M202" i="4" s="1"/>
  <c r="D203" i="4"/>
  <c r="F203" i="4" s="1"/>
  <c r="L203" i="4" s="1"/>
  <c r="M203" i="4" s="1"/>
  <c r="D204" i="4"/>
  <c r="F204" i="4" s="1"/>
  <c r="L204" i="4" s="1"/>
  <c r="M204" i="4" s="1"/>
  <c r="D205" i="4"/>
  <c r="F205" i="4" s="1"/>
  <c r="L205" i="4" s="1"/>
  <c r="M205" i="4" s="1"/>
  <c r="D206" i="4"/>
  <c r="F206" i="4" s="1"/>
  <c r="L206" i="4" s="1"/>
  <c r="M206" i="4" s="1"/>
  <c r="D207" i="4"/>
  <c r="F207" i="4" s="1"/>
  <c r="L207" i="4" s="1"/>
  <c r="M207" i="4" s="1"/>
  <c r="D208" i="4"/>
  <c r="D209" i="4"/>
  <c r="F209" i="4" s="1"/>
  <c r="L209" i="4" s="1"/>
  <c r="M209" i="4" s="1"/>
  <c r="D210" i="4"/>
  <c r="F210" i="4" s="1"/>
  <c r="L210" i="4" s="1"/>
  <c r="M210" i="4" s="1"/>
  <c r="D211" i="4"/>
  <c r="F211" i="4" s="1"/>
  <c r="L211" i="4" s="1"/>
  <c r="M211" i="4" s="1"/>
  <c r="D212" i="4"/>
  <c r="F212" i="4" s="1"/>
  <c r="L212" i="4" s="1"/>
  <c r="M212" i="4" s="1"/>
  <c r="D213" i="4"/>
  <c r="F213" i="4" s="1"/>
  <c r="L213" i="4" s="1"/>
  <c r="M213" i="4" s="1"/>
  <c r="D15" i="4"/>
  <c r="F15" i="4" s="1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15" i="4"/>
  <c r="AC7" i="4"/>
  <c r="I75" i="4" l="1"/>
  <c r="J75" i="4" s="1"/>
  <c r="N75" i="4" s="1"/>
  <c r="U118" i="4"/>
  <c r="U110" i="4"/>
  <c r="N17" i="4"/>
  <c r="U101" i="4"/>
  <c r="U117" i="4"/>
  <c r="U109" i="4"/>
  <c r="U122" i="4"/>
  <c r="U114" i="4"/>
  <c r="U106" i="4"/>
  <c r="U121" i="4"/>
  <c r="U113" i="4"/>
  <c r="U105" i="4"/>
  <c r="B10" i="5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N18" i="4"/>
  <c r="N22" i="4"/>
  <c r="U124" i="4"/>
  <c r="U116" i="4"/>
  <c r="U112" i="4"/>
  <c r="U108" i="4"/>
  <c r="U104" i="4"/>
  <c r="E208" i="4"/>
  <c r="F208" i="4" s="1"/>
  <c r="L208" i="4" s="1"/>
  <c r="M208" i="4" s="1"/>
  <c r="E148" i="4"/>
  <c r="F148" i="4" s="1"/>
  <c r="L148" i="4" s="1"/>
  <c r="M148" i="4" s="1"/>
  <c r="L22" i="4"/>
  <c r="M22" i="4" s="1"/>
  <c r="I205" i="4"/>
  <c r="J205" i="4" s="1"/>
  <c r="N205" i="4" s="1"/>
  <c r="I189" i="4"/>
  <c r="J189" i="4" s="1"/>
  <c r="N189" i="4" s="1"/>
  <c r="I177" i="4"/>
  <c r="J177" i="4" s="1"/>
  <c r="N177" i="4" s="1"/>
  <c r="I173" i="4"/>
  <c r="J173" i="4" s="1"/>
  <c r="N173" i="4" s="1"/>
  <c r="I157" i="4"/>
  <c r="J157" i="4" s="1"/>
  <c r="N157" i="4" s="1"/>
  <c r="I141" i="4"/>
  <c r="J141" i="4" s="1"/>
  <c r="N141" i="4" s="1"/>
  <c r="I125" i="4"/>
  <c r="J125" i="4" s="1"/>
  <c r="N125" i="4" s="1"/>
  <c r="U125" i="4" s="1"/>
  <c r="I113" i="4"/>
  <c r="J113" i="4" s="1"/>
  <c r="N113" i="4" s="1"/>
  <c r="I109" i="4"/>
  <c r="J109" i="4" s="1"/>
  <c r="N109" i="4" s="1"/>
  <c r="I97" i="4"/>
  <c r="J97" i="4" s="1"/>
  <c r="N97" i="4" s="1"/>
  <c r="I93" i="4"/>
  <c r="J93" i="4" s="1"/>
  <c r="N93" i="4" s="1"/>
  <c r="I77" i="4"/>
  <c r="J77" i="4" s="1"/>
  <c r="N77" i="4" s="1"/>
  <c r="I61" i="4"/>
  <c r="J61" i="4" s="1"/>
  <c r="N61" i="4" s="1"/>
  <c r="I49" i="4"/>
  <c r="J49" i="4" s="1"/>
  <c r="N49" i="4" s="1"/>
  <c r="I45" i="4"/>
  <c r="J45" i="4" s="1"/>
  <c r="N45" i="4" s="1"/>
  <c r="I33" i="4"/>
  <c r="J33" i="4" s="1"/>
  <c r="N33" i="4" s="1"/>
  <c r="N15" i="4"/>
  <c r="O15" i="4" s="1"/>
  <c r="N19" i="4"/>
  <c r="N23" i="4"/>
  <c r="U123" i="4"/>
  <c r="U119" i="4"/>
  <c r="U115" i="4"/>
  <c r="U107" i="4"/>
  <c r="U103" i="4"/>
  <c r="I161" i="4"/>
  <c r="J161" i="4" s="1"/>
  <c r="N161" i="4" s="1"/>
  <c r="I118" i="4"/>
  <c r="J118" i="4" s="1"/>
  <c r="N118" i="4" s="1"/>
  <c r="I139" i="4"/>
  <c r="J139" i="4" s="1"/>
  <c r="N139" i="4" s="1"/>
  <c r="N21" i="4"/>
  <c r="I38" i="4"/>
  <c r="J38" i="4" s="1"/>
  <c r="N38" i="4" s="1"/>
  <c r="E94" i="4"/>
  <c r="I54" i="4"/>
  <c r="I203" i="4"/>
  <c r="J203" i="4" s="1"/>
  <c r="N203" i="4" s="1"/>
  <c r="I70" i="4"/>
  <c r="J70" i="4" s="1"/>
  <c r="N70" i="4" s="1"/>
  <c r="I155" i="4"/>
  <c r="J155" i="4" s="1"/>
  <c r="N155" i="4" s="1"/>
  <c r="I91" i="4"/>
  <c r="J91" i="4" s="1"/>
  <c r="N91" i="4" s="1"/>
  <c r="I134" i="4"/>
  <c r="J134" i="4" s="1"/>
  <c r="N134" i="4" s="1"/>
  <c r="I198" i="4"/>
  <c r="J198" i="4" s="1"/>
  <c r="N198" i="4" s="1"/>
  <c r="I182" i="4"/>
  <c r="J182" i="4" s="1"/>
  <c r="N182" i="4" s="1"/>
  <c r="E111" i="4"/>
  <c r="F111" i="4" s="1"/>
  <c r="L111" i="4" s="1"/>
  <c r="E39" i="4"/>
  <c r="F39" i="4" s="1"/>
  <c r="L39" i="4" s="1"/>
  <c r="M39" i="4" s="1"/>
  <c r="E34" i="4"/>
  <c r="I29" i="4"/>
  <c r="J29" i="4" s="1"/>
  <c r="N29" i="4" s="1"/>
  <c r="I193" i="4"/>
  <c r="J193" i="4" s="1"/>
  <c r="N193" i="4" s="1"/>
  <c r="I171" i="4"/>
  <c r="J171" i="4" s="1"/>
  <c r="N171" i="4" s="1"/>
  <c r="I150" i="4"/>
  <c r="J150" i="4" s="1"/>
  <c r="N150" i="4" s="1"/>
  <c r="I129" i="4"/>
  <c r="J129" i="4" s="1"/>
  <c r="N129" i="4" s="1"/>
  <c r="I107" i="4"/>
  <c r="J107" i="4" s="1"/>
  <c r="N107" i="4" s="1"/>
  <c r="I86" i="4"/>
  <c r="J86" i="4" s="1"/>
  <c r="I65" i="4"/>
  <c r="J65" i="4" s="1"/>
  <c r="N65" i="4" s="1"/>
  <c r="I43" i="4"/>
  <c r="J43" i="4" s="1"/>
  <c r="N43" i="4" s="1"/>
  <c r="E163" i="4"/>
  <c r="E87" i="4"/>
  <c r="F87" i="4" s="1"/>
  <c r="L87" i="4" s="1"/>
  <c r="M87" i="4" s="1"/>
  <c r="L15" i="4"/>
  <c r="M15" i="4" s="1"/>
  <c r="L16" i="4"/>
  <c r="M16" i="4" s="1"/>
  <c r="E129" i="4"/>
  <c r="F129" i="4" s="1"/>
  <c r="L129" i="4" s="1"/>
  <c r="M129" i="4" s="1"/>
  <c r="L23" i="4"/>
  <c r="M23" i="4" s="1"/>
  <c r="I210" i="4"/>
  <c r="J210" i="4" s="1"/>
  <c r="N210" i="4" s="1"/>
  <c r="I206" i="4"/>
  <c r="J206" i="4" s="1"/>
  <c r="N206" i="4" s="1"/>
  <c r="I194" i="4"/>
  <c r="J194" i="4" s="1"/>
  <c r="I190" i="4"/>
  <c r="J190" i="4" s="1"/>
  <c r="N190" i="4" s="1"/>
  <c r="I178" i="4"/>
  <c r="J178" i="4" s="1"/>
  <c r="I174" i="4"/>
  <c r="J174" i="4" s="1"/>
  <c r="I162" i="4"/>
  <c r="J162" i="4" s="1"/>
  <c r="I158" i="4"/>
  <c r="J158" i="4" s="1"/>
  <c r="N158" i="4" s="1"/>
  <c r="I146" i="4"/>
  <c r="J146" i="4" s="1"/>
  <c r="N146" i="4" s="1"/>
  <c r="I142" i="4"/>
  <c r="J142" i="4" s="1"/>
  <c r="N142" i="4" s="1"/>
  <c r="I130" i="4"/>
  <c r="J130" i="4" s="1"/>
  <c r="I126" i="4"/>
  <c r="J126" i="4" s="1"/>
  <c r="N126" i="4" s="1"/>
  <c r="I114" i="4"/>
  <c r="J114" i="4" s="1"/>
  <c r="I110" i="4"/>
  <c r="J110" i="4" s="1"/>
  <c r="I98" i="4"/>
  <c r="J98" i="4" s="1"/>
  <c r="I94" i="4"/>
  <c r="J94" i="4" s="1"/>
  <c r="N94" i="4" s="1"/>
  <c r="I82" i="4"/>
  <c r="J82" i="4" s="1"/>
  <c r="N82" i="4" s="1"/>
  <c r="I78" i="4"/>
  <c r="J78" i="4" s="1"/>
  <c r="N78" i="4" s="1"/>
  <c r="I66" i="4"/>
  <c r="J66" i="4" s="1"/>
  <c r="I62" i="4"/>
  <c r="J62" i="4" s="1"/>
  <c r="N62" i="4" s="1"/>
  <c r="I50" i="4"/>
  <c r="J50" i="4" s="1"/>
  <c r="I46" i="4"/>
  <c r="J46" i="4" s="1"/>
  <c r="I34" i="4"/>
  <c r="J34" i="4" s="1"/>
  <c r="I30" i="4"/>
  <c r="J30" i="4" s="1"/>
  <c r="N30" i="4" s="1"/>
  <c r="I39" i="4"/>
  <c r="J39" i="4" s="1"/>
  <c r="E60" i="4"/>
  <c r="F60" i="4" s="1"/>
  <c r="L60" i="4" s="1"/>
  <c r="M60" i="4" s="1"/>
  <c r="I209" i="4"/>
  <c r="J209" i="4" s="1"/>
  <c r="N209" i="4" s="1"/>
  <c r="I187" i="4"/>
  <c r="J187" i="4" s="1"/>
  <c r="N187" i="4" s="1"/>
  <c r="I166" i="4"/>
  <c r="J166" i="4" s="1"/>
  <c r="I145" i="4"/>
  <c r="J145" i="4" s="1"/>
  <c r="N145" i="4" s="1"/>
  <c r="I123" i="4"/>
  <c r="J123" i="4" s="1"/>
  <c r="N123" i="4" s="1"/>
  <c r="I102" i="4"/>
  <c r="J102" i="4" s="1"/>
  <c r="N102" i="4" s="1"/>
  <c r="I81" i="4"/>
  <c r="J81" i="4" s="1"/>
  <c r="N81" i="4" s="1"/>
  <c r="I59" i="4"/>
  <c r="J59" i="4" s="1"/>
  <c r="N59" i="4" s="1"/>
  <c r="F163" i="4"/>
  <c r="L163" i="4" s="1"/>
  <c r="M163" i="4" s="1"/>
  <c r="J54" i="4"/>
  <c r="N54" i="4" s="1"/>
  <c r="I213" i="4"/>
  <c r="J213" i="4" s="1"/>
  <c r="N213" i="4" s="1"/>
  <c r="I202" i="4"/>
  <c r="J202" i="4" s="1"/>
  <c r="I191" i="4"/>
  <c r="J191" i="4" s="1"/>
  <c r="I181" i="4"/>
  <c r="J181" i="4" s="1"/>
  <c r="N181" i="4" s="1"/>
  <c r="I170" i="4"/>
  <c r="J170" i="4" s="1"/>
  <c r="N170" i="4" s="1"/>
  <c r="I159" i="4"/>
  <c r="J159" i="4" s="1"/>
  <c r="I143" i="4"/>
  <c r="J143" i="4" s="1"/>
  <c r="I133" i="4"/>
  <c r="J133" i="4" s="1"/>
  <c r="N133" i="4" s="1"/>
  <c r="I122" i="4"/>
  <c r="J122" i="4" s="1"/>
  <c r="I111" i="4"/>
  <c r="J111" i="4" s="1"/>
  <c r="N111" i="4" s="1"/>
  <c r="I101" i="4"/>
  <c r="J101" i="4" s="1"/>
  <c r="N101" i="4" s="1"/>
  <c r="I90" i="4"/>
  <c r="J90" i="4" s="1"/>
  <c r="N90" i="4" s="1"/>
  <c r="I79" i="4"/>
  <c r="J79" i="4" s="1"/>
  <c r="N79" i="4" s="1"/>
  <c r="I63" i="4"/>
  <c r="J63" i="4" s="1"/>
  <c r="I53" i="4"/>
  <c r="J53" i="4" s="1"/>
  <c r="I47" i="4"/>
  <c r="J47" i="4" s="1"/>
  <c r="I31" i="4"/>
  <c r="J31" i="4" s="1"/>
  <c r="I32" i="4"/>
  <c r="J32" i="4" s="1"/>
  <c r="F34" i="4"/>
  <c r="L34" i="4" s="1"/>
  <c r="M34" i="4" s="1"/>
  <c r="F94" i="4"/>
  <c r="L94" i="4" s="1"/>
  <c r="M94" i="4" s="1"/>
  <c r="E66" i="4"/>
  <c r="F66" i="4" s="1"/>
  <c r="L66" i="4" s="1"/>
  <c r="M66" i="4" s="1"/>
  <c r="I207" i="4"/>
  <c r="J207" i="4" s="1"/>
  <c r="N207" i="4" s="1"/>
  <c r="I197" i="4"/>
  <c r="J197" i="4" s="1"/>
  <c r="I186" i="4"/>
  <c r="J186" i="4" s="1"/>
  <c r="N186" i="4" s="1"/>
  <c r="I175" i="4"/>
  <c r="J175" i="4" s="1"/>
  <c r="N175" i="4" s="1"/>
  <c r="I165" i="4"/>
  <c r="J165" i="4" s="1"/>
  <c r="N165" i="4" s="1"/>
  <c r="I154" i="4"/>
  <c r="J154" i="4" s="1"/>
  <c r="I149" i="4"/>
  <c r="J149" i="4" s="1"/>
  <c r="I138" i="4"/>
  <c r="J138" i="4" s="1"/>
  <c r="N138" i="4" s="1"/>
  <c r="I127" i="4"/>
  <c r="J127" i="4" s="1"/>
  <c r="I117" i="4"/>
  <c r="J117" i="4" s="1"/>
  <c r="N117" i="4" s="1"/>
  <c r="I106" i="4"/>
  <c r="J106" i="4" s="1"/>
  <c r="N106" i="4" s="1"/>
  <c r="I95" i="4"/>
  <c r="J95" i="4" s="1"/>
  <c r="I85" i="4"/>
  <c r="J85" i="4" s="1"/>
  <c r="N85" i="4" s="1"/>
  <c r="I74" i="4"/>
  <c r="J74" i="4" s="1"/>
  <c r="I69" i="4"/>
  <c r="J69" i="4" s="1"/>
  <c r="N69" i="4" s="1"/>
  <c r="I58" i="4"/>
  <c r="J58" i="4" s="1"/>
  <c r="N58" i="4" s="1"/>
  <c r="I42" i="4"/>
  <c r="J42" i="4" s="1"/>
  <c r="N42" i="4" s="1"/>
  <c r="I37" i="4"/>
  <c r="J37" i="4" s="1"/>
  <c r="N37" i="4" s="1"/>
  <c r="E44" i="4"/>
  <c r="E80" i="4"/>
  <c r="E120" i="4"/>
  <c r="E178" i="4"/>
  <c r="F178" i="4" s="1"/>
  <c r="L178" i="4" s="1"/>
  <c r="M178" i="4" s="1"/>
  <c r="I211" i="4"/>
  <c r="J211" i="4" s="1"/>
  <c r="I201" i="4"/>
  <c r="J201" i="4" s="1"/>
  <c r="N201" i="4" s="1"/>
  <c r="I195" i="4"/>
  <c r="J195" i="4" s="1"/>
  <c r="N195" i="4" s="1"/>
  <c r="I185" i="4"/>
  <c r="J185" i="4" s="1"/>
  <c r="N185" i="4" s="1"/>
  <c r="I179" i="4"/>
  <c r="J179" i="4" s="1"/>
  <c r="I169" i="4"/>
  <c r="J169" i="4" s="1"/>
  <c r="N169" i="4" s="1"/>
  <c r="I163" i="4"/>
  <c r="J163" i="4" s="1"/>
  <c r="N163" i="4" s="1"/>
  <c r="I153" i="4"/>
  <c r="J153" i="4" s="1"/>
  <c r="I147" i="4"/>
  <c r="J147" i="4" s="1"/>
  <c r="I137" i="4"/>
  <c r="J137" i="4" s="1"/>
  <c r="N137" i="4" s="1"/>
  <c r="I131" i="4"/>
  <c r="J131" i="4" s="1"/>
  <c r="N131" i="4" s="1"/>
  <c r="I121" i="4"/>
  <c r="J121" i="4" s="1"/>
  <c r="I115" i="4"/>
  <c r="J115" i="4" s="1"/>
  <c r="I105" i="4"/>
  <c r="J105" i="4" s="1"/>
  <c r="N105" i="4" s="1"/>
  <c r="I99" i="4"/>
  <c r="J99" i="4" s="1"/>
  <c r="N99" i="4" s="1"/>
  <c r="I89" i="4"/>
  <c r="J89" i="4" s="1"/>
  <c r="N89" i="4" s="1"/>
  <c r="I83" i="4"/>
  <c r="J83" i="4" s="1"/>
  <c r="I73" i="4"/>
  <c r="J73" i="4" s="1"/>
  <c r="N73" i="4" s="1"/>
  <c r="I67" i="4"/>
  <c r="J67" i="4" s="1"/>
  <c r="N67" i="4" s="1"/>
  <c r="I57" i="4"/>
  <c r="J57" i="4" s="1"/>
  <c r="I51" i="4"/>
  <c r="J51" i="4" s="1"/>
  <c r="I41" i="4"/>
  <c r="J41" i="4" s="1"/>
  <c r="N41" i="4" s="1"/>
  <c r="I35" i="4"/>
  <c r="J35" i="4" s="1"/>
  <c r="N35" i="4" s="1"/>
  <c r="L18" i="4"/>
  <c r="M18" i="4" s="1"/>
  <c r="E54" i="4"/>
  <c r="F54" i="4" s="1"/>
  <c r="L54" i="4" s="1"/>
  <c r="M54" i="4" s="1"/>
  <c r="I199" i="4"/>
  <c r="J199" i="4" s="1"/>
  <c r="N199" i="4" s="1"/>
  <c r="I183" i="4"/>
  <c r="J183" i="4" s="1"/>
  <c r="I167" i="4"/>
  <c r="J167" i="4" s="1"/>
  <c r="N167" i="4" s="1"/>
  <c r="I151" i="4"/>
  <c r="J151" i="4" s="1"/>
  <c r="N151" i="4" s="1"/>
  <c r="I135" i="4"/>
  <c r="J135" i="4" s="1"/>
  <c r="N135" i="4" s="1"/>
  <c r="I119" i="4"/>
  <c r="J119" i="4" s="1"/>
  <c r="I103" i="4"/>
  <c r="J103" i="4" s="1"/>
  <c r="N103" i="4" s="1"/>
  <c r="I87" i="4"/>
  <c r="J87" i="4" s="1"/>
  <c r="N87" i="4" s="1"/>
  <c r="I71" i="4"/>
  <c r="J71" i="4" s="1"/>
  <c r="N71" i="4" s="1"/>
  <c r="I55" i="4"/>
  <c r="J55" i="4" s="1"/>
  <c r="E29" i="4"/>
  <c r="F29" i="4" s="1"/>
  <c r="L29" i="4" s="1"/>
  <c r="M29" i="4" s="1"/>
  <c r="E49" i="4"/>
  <c r="E73" i="4"/>
  <c r="E102" i="4"/>
  <c r="E138" i="4"/>
  <c r="E193" i="4"/>
  <c r="F193" i="4" s="1"/>
  <c r="L193" i="4" s="1"/>
  <c r="M193" i="4" s="1"/>
  <c r="I212" i="4"/>
  <c r="J212" i="4" s="1"/>
  <c r="N212" i="4" s="1"/>
  <c r="I208" i="4"/>
  <c r="J208" i="4" s="1"/>
  <c r="I204" i="4"/>
  <c r="J204" i="4" s="1"/>
  <c r="I200" i="4"/>
  <c r="J200" i="4" s="1"/>
  <c r="I196" i="4"/>
  <c r="J196" i="4" s="1"/>
  <c r="N196" i="4" s="1"/>
  <c r="I192" i="4"/>
  <c r="J192" i="4" s="1"/>
  <c r="I188" i="4"/>
  <c r="J188" i="4" s="1"/>
  <c r="I184" i="4"/>
  <c r="J184" i="4" s="1"/>
  <c r="N184" i="4" s="1"/>
  <c r="I180" i="4"/>
  <c r="J180" i="4" s="1"/>
  <c r="N180" i="4" s="1"/>
  <c r="I176" i="4"/>
  <c r="J176" i="4" s="1"/>
  <c r="I172" i="4"/>
  <c r="J172" i="4" s="1"/>
  <c r="I168" i="4"/>
  <c r="J168" i="4" s="1"/>
  <c r="I164" i="4"/>
  <c r="J164" i="4" s="1"/>
  <c r="I160" i="4"/>
  <c r="J160" i="4" s="1"/>
  <c r="I156" i="4"/>
  <c r="J156" i="4" s="1"/>
  <c r="I152" i="4"/>
  <c r="J152" i="4" s="1"/>
  <c r="I148" i="4"/>
  <c r="J148" i="4" s="1"/>
  <c r="N148" i="4" s="1"/>
  <c r="I144" i="4"/>
  <c r="J144" i="4" s="1"/>
  <c r="I140" i="4"/>
  <c r="J140" i="4" s="1"/>
  <c r="I136" i="4"/>
  <c r="J136" i="4" s="1"/>
  <c r="I132" i="4"/>
  <c r="J132" i="4" s="1"/>
  <c r="N132" i="4" s="1"/>
  <c r="I128" i="4"/>
  <c r="J128" i="4" s="1"/>
  <c r="I124" i="4"/>
  <c r="J124" i="4" s="1"/>
  <c r="I120" i="4"/>
  <c r="J120" i="4" s="1"/>
  <c r="N120" i="4" s="1"/>
  <c r="I116" i="4"/>
  <c r="J116" i="4" s="1"/>
  <c r="N116" i="4" s="1"/>
  <c r="I112" i="4"/>
  <c r="J112" i="4" s="1"/>
  <c r="I108" i="4"/>
  <c r="J108" i="4" s="1"/>
  <c r="I104" i="4"/>
  <c r="J104" i="4" s="1"/>
  <c r="I100" i="4"/>
  <c r="J100" i="4" s="1"/>
  <c r="N100" i="4" s="1"/>
  <c r="I96" i="4"/>
  <c r="J96" i="4" s="1"/>
  <c r="I92" i="4"/>
  <c r="J92" i="4" s="1"/>
  <c r="I88" i="4"/>
  <c r="J88" i="4" s="1"/>
  <c r="I84" i="4"/>
  <c r="J84" i="4" s="1"/>
  <c r="I80" i="4"/>
  <c r="J80" i="4" s="1"/>
  <c r="N80" i="4" s="1"/>
  <c r="I76" i="4"/>
  <c r="J76" i="4" s="1"/>
  <c r="I72" i="4"/>
  <c r="J72" i="4" s="1"/>
  <c r="I68" i="4"/>
  <c r="J68" i="4" s="1"/>
  <c r="N68" i="4" s="1"/>
  <c r="I64" i="4"/>
  <c r="J64" i="4" s="1"/>
  <c r="I60" i="4"/>
  <c r="J60" i="4" s="1"/>
  <c r="I56" i="4"/>
  <c r="J56" i="4" s="1"/>
  <c r="N56" i="4" s="1"/>
  <c r="I52" i="4"/>
  <c r="J52" i="4" s="1"/>
  <c r="N52" i="4" s="1"/>
  <c r="I48" i="4"/>
  <c r="J48" i="4" s="1"/>
  <c r="I44" i="4"/>
  <c r="J44" i="4" s="1"/>
  <c r="I40" i="4"/>
  <c r="J40" i="4" s="1"/>
  <c r="I36" i="4"/>
  <c r="J36" i="4" s="1"/>
  <c r="N36" i="4" s="1"/>
  <c r="F73" i="4"/>
  <c r="L73" i="4" s="1"/>
  <c r="M73" i="4" s="1"/>
  <c r="X24" i="6"/>
  <c r="W23" i="6"/>
  <c r="W24" i="6" s="1"/>
  <c r="Y22" i="6"/>
  <c r="O21" i="6"/>
  <c r="U21" i="6" s="1"/>
  <c r="Y21" i="6" s="1"/>
  <c r="U20" i="6"/>
  <c r="Y20" i="6" s="1"/>
  <c r="Y19" i="6"/>
  <c r="Y18" i="6"/>
  <c r="U17" i="6"/>
  <c r="Y17" i="6" s="1"/>
  <c r="U16" i="6"/>
  <c r="Y16" i="6" s="1"/>
  <c r="Y15" i="6"/>
  <c r="Y14" i="6"/>
  <c r="Y12" i="6"/>
  <c r="U11" i="6"/>
  <c r="Y11" i="6" s="1"/>
  <c r="Y10" i="6"/>
  <c r="U9" i="6"/>
  <c r="Y8" i="6"/>
  <c r="Y7" i="6"/>
  <c r="M111" i="4" l="1"/>
  <c r="U111" i="4"/>
  <c r="N44" i="4"/>
  <c r="O44" i="4" s="1"/>
  <c r="P44" i="4" s="1"/>
  <c r="N108" i="4"/>
  <c r="N140" i="4"/>
  <c r="N188" i="4"/>
  <c r="N48" i="4"/>
  <c r="N64" i="4"/>
  <c r="N96" i="4"/>
  <c r="N112" i="4"/>
  <c r="N128" i="4"/>
  <c r="N144" i="4"/>
  <c r="N160" i="4"/>
  <c r="N176" i="4"/>
  <c r="N192" i="4"/>
  <c r="N208" i="4"/>
  <c r="N55" i="4"/>
  <c r="N119" i="4"/>
  <c r="N183" i="4"/>
  <c r="N127" i="4"/>
  <c r="N47" i="4"/>
  <c r="N86" i="4"/>
  <c r="N40" i="4"/>
  <c r="O40" i="4" s="1"/>
  <c r="P40" i="4" s="1"/>
  <c r="N60" i="4"/>
  <c r="N92" i="4"/>
  <c r="N156" i="4"/>
  <c r="N204" i="4"/>
  <c r="N84" i="4"/>
  <c r="N164" i="4"/>
  <c r="N95" i="4"/>
  <c r="N53" i="4"/>
  <c r="N143" i="4"/>
  <c r="N191" i="4"/>
  <c r="N34" i="4"/>
  <c r="O34" i="4" s="1"/>
  <c r="P34" i="4" s="1"/>
  <c r="N66" i="4"/>
  <c r="N98" i="4"/>
  <c r="N130" i="4"/>
  <c r="N162" i="4"/>
  <c r="N194" i="4"/>
  <c r="N72" i="4"/>
  <c r="N88" i="4"/>
  <c r="N104" i="4"/>
  <c r="N136" i="4"/>
  <c r="N152" i="4"/>
  <c r="N168" i="4"/>
  <c r="N200" i="4"/>
  <c r="N51" i="4"/>
  <c r="N83" i="4"/>
  <c r="N115" i="4"/>
  <c r="N147" i="4"/>
  <c r="N179" i="4"/>
  <c r="N211" i="4"/>
  <c r="N149" i="4"/>
  <c r="N32" i="4"/>
  <c r="O32" i="4" s="1"/>
  <c r="P32" i="4" s="1"/>
  <c r="N63" i="4"/>
  <c r="N159" i="4"/>
  <c r="N202" i="4"/>
  <c r="N166" i="4"/>
  <c r="N39" i="4"/>
  <c r="O39" i="4" s="1"/>
  <c r="P39" i="4" s="1"/>
  <c r="N46" i="4"/>
  <c r="N110" i="4"/>
  <c r="N174" i="4"/>
  <c r="N76" i="4"/>
  <c r="N124" i="4"/>
  <c r="N172" i="4"/>
  <c r="N57" i="4"/>
  <c r="N121" i="4"/>
  <c r="N153" i="4"/>
  <c r="N74" i="4"/>
  <c r="N154" i="4"/>
  <c r="N197" i="4"/>
  <c r="N31" i="4"/>
  <c r="N122" i="4"/>
  <c r="N50" i="4"/>
  <c r="N114" i="4"/>
  <c r="N178" i="4"/>
  <c r="O20" i="4"/>
  <c r="P20" i="4" s="1"/>
  <c r="O24" i="4"/>
  <c r="P24" i="4" s="1"/>
  <c r="O28" i="4"/>
  <c r="P28" i="4" s="1"/>
  <c r="O36" i="4"/>
  <c r="P36" i="4" s="1"/>
  <c r="O17" i="4"/>
  <c r="P17" i="4" s="1"/>
  <c r="O21" i="4"/>
  <c r="P21" i="4" s="1"/>
  <c r="O25" i="4"/>
  <c r="P25" i="4" s="1"/>
  <c r="O29" i="4"/>
  <c r="P29" i="4" s="1"/>
  <c r="O33" i="4"/>
  <c r="P33" i="4" s="1"/>
  <c r="O37" i="4"/>
  <c r="P37" i="4" s="1"/>
  <c r="O41" i="4"/>
  <c r="P41" i="4" s="1"/>
  <c r="O18" i="4"/>
  <c r="P18" i="4" s="1"/>
  <c r="O22" i="4"/>
  <c r="P22" i="4" s="1"/>
  <c r="O26" i="4"/>
  <c r="P26" i="4" s="1"/>
  <c r="O30" i="4"/>
  <c r="P30" i="4" s="1"/>
  <c r="O38" i="4"/>
  <c r="P38" i="4" s="1"/>
  <c r="O42" i="4"/>
  <c r="P42" i="4" s="1"/>
  <c r="O16" i="4"/>
  <c r="P16" i="4" s="1"/>
  <c r="O31" i="4"/>
  <c r="P31" i="4" s="1"/>
  <c r="O19" i="4"/>
  <c r="P19" i="4" s="1"/>
  <c r="O35" i="4"/>
  <c r="P35" i="4" s="1"/>
  <c r="O23" i="4"/>
  <c r="P23" i="4" s="1"/>
  <c r="O27" i="4"/>
  <c r="P27" i="4" s="1"/>
  <c r="O43" i="4"/>
  <c r="P43" i="4" s="1"/>
  <c r="P15" i="4"/>
  <c r="F44" i="4"/>
  <c r="L44" i="4" s="1"/>
  <c r="M44" i="4" s="1"/>
  <c r="O77" i="4" s="1"/>
  <c r="P77" i="4" s="1"/>
  <c r="F120" i="4"/>
  <c r="L120" i="4" s="1"/>
  <c r="F102" i="4"/>
  <c r="L102" i="4" s="1"/>
  <c r="F138" i="4"/>
  <c r="L138" i="4" s="1"/>
  <c r="M138" i="4" s="1"/>
  <c r="F49" i="4"/>
  <c r="L49" i="4" s="1"/>
  <c r="M49" i="4" s="1"/>
  <c r="F80" i="4"/>
  <c r="L80" i="4" s="1"/>
  <c r="M80" i="4" s="1"/>
  <c r="Y9" i="6"/>
  <c r="V23" i="6"/>
  <c r="Y23" i="6" s="1"/>
  <c r="U13" i="6"/>
  <c r="O81" i="4" l="1"/>
  <c r="P81" i="4" s="1"/>
  <c r="O74" i="4"/>
  <c r="P74" i="4" s="1"/>
  <c r="O55" i="4"/>
  <c r="P55" i="4" s="1"/>
  <c r="O54" i="4"/>
  <c r="P54" i="4" s="1"/>
  <c r="O52" i="4"/>
  <c r="P52" i="4" s="1"/>
  <c r="O75" i="4"/>
  <c r="P75" i="4" s="1"/>
  <c r="O49" i="4"/>
  <c r="P49" i="4" s="1"/>
  <c r="O86" i="4"/>
  <c r="P86" i="4" s="1"/>
  <c r="O45" i="4"/>
  <c r="P45" i="4" s="1"/>
  <c r="M102" i="4"/>
  <c r="U102" i="4"/>
  <c r="O59" i="4"/>
  <c r="P59" i="4" s="1"/>
  <c r="O83" i="4"/>
  <c r="P83" i="4" s="1"/>
  <c r="O95" i="4"/>
  <c r="P95" i="4" s="1"/>
  <c r="O102" i="4"/>
  <c r="P102" i="4" s="1"/>
  <c r="O70" i="4"/>
  <c r="P70" i="4" s="1"/>
  <c r="O97" i="4"/>
  <c r="P97" i="4" s="1"/>
  <c r="O65" i="4"/>
  <c r="P65" i="4" s="1"/>
  <c r="M120" i="4"/>
  <c r="O194" i="4" s="1"/>
  <c r="P194" i="4" s="1"/>
  <c r="U120" i="4"/>
  <c r="O100" i="4"/>
  <c r="P100" i="4" s="1"/>
  <c r="O71" i="4"/>
  <c r="P71" i="4" s="1"/>
  <c r="O67" i="4"/>
  <c r="P67" i="4" s="1"/>
  <c r="O79" i="4"/>
  <c r="P79" i="4" s="1"/>
  <c r="O90" i="4"/>
  <c r="P90" i="4" s="1"/>
  <c r="O58" i="4"/>
  <c r="P58" i="4" s="1"/>
  <c r="O93" i="4"/>
  <c r="P93" i="4" s="1"/>
  <c r="O61" i="4"/>
  <c r="P61" i="4" s="1"/>
  <c r="O103" i="4"/>
  <c r="P103" i="4" s="1"/>
  <c r="O51" i="4"/>
  <c r="P51" i="4" s="1"/>
  <c r="O63" i="4"/>
  <c r="P63" i="4" s="1"/>
  <c r="O98" i="4"/>
  <c r="P98" i="4" s="1"/>
  <c r="O82" i="4"/>
  <c r="P82" i="4" s="1"/>
  <c r="O66" i="4"/>
  <c r="P66" i="4" s="1"/>
  <c r="O50" i="4"/>
  <c r="P50" i="4" s="1"/>
  <c r="O105" i="4"/>
  <c r="P105" i="4" s="1"/>
  <c r="O89" i="4"/>
  <c r="P89" i="4" s="1"/>
  <c r="O73" i="4"/>
  <c r="P73" i="4" s="1"/>
  <c r="O57" i="4"/>
  <c r="P57" i="4" s="1"/>
  <c r="O96" i="4"/>
  <c r="P96" i="4" s="1"/>
  <c r="O80" i="4"/>
  <c r="P80" i="4" s="1"/>
  <c r="O64" i="4"/>
  <c r="P64" i="4" s="1"/>
  <c r="O48" i="4"/>
  <c r="P48" i="4" s="1"/>
  <c r="O91" i="4"/>
  <c r="P91" i="4" s="1"/>
  <c r="O87" i="4"/>
  <c r="P87" i="4" s="1"/>
  <c r="O99" i="4"/>
  <c r="P99" i="4" s="1"/>
  <c r="O111" i="4"/>
  <c r="P111" i="4" s="1"/>
  <c r="O47" i="4"/>
  <c r="P47" i="4" s="1"/>
  <c r="O110" i="4"/>
  <c r="P110" i="4" s="1"/>
  <c r="O94" i="4"/>
  <c r="P94" i="4" s="1"/>
  <c r="O78" i="4"/>
  <c r="P78" i="4" s="1"/>
  <c r="O62" i="4"/>
  <c r="P62" i="4" s="1"/>
  <c r="O46" i="4"/>
  <c r="P46" i="4" s="1"/>
  <c r="O101" i="4"/>
  <c r="P101" i="4" s="1"/>
  <c r="O85" i="4"/>
  <c r="P85" i="4" s="1"/>
  <c r="O69" i="4"/>
  <c r="P69" i="4" s="1"/>
  <c r="O53" i="4"/>
  <c r="P53" i="4" s="1"/>
  <c r="O92" i="4"/>
  <c r="P92" i="4" s="1"/>
  <c r="O76" i="4"/>
  <c r="P76" i="4" s="1"/>
  <c r="O60" i="4"/>
  <c r="P60" i="4" s="1"/>
  <c r="O88" i="4"/>
  <c r="P88" i="4" s="1"/>
  <c r="O72" i="4"/>
  <c r="P72" i="4" s="1"/>
  <c r="O56" i="4"/>
  <c r="P56" i="4" s="1"/>
  <c r="O84" i="4"/>
  <c r="P84" i="4" s="1"/>
  <c r="O68" i="4"/>
  <c r="P68" i="4" s="1"/>
  <c r="V13" i="6"/>
  <c r="V24" i="6" s="1"/>
  <c r="U24" i="6"/>
  <c r="O212" i="4" l="1"/>
  <c r="P212" i="4" s="1"/>
  <c r="O200" i="4"/>
  <c r="P200" i="4" s="1"/>
  <c r="O165" i="4"/>
  <c r="P165" i="4" s="1"/>
  <c r="O208" i="4"/>
  <c r="P208" i="4" s="1"/>
  <c r="O196" i="4"/>
  <c r="P196" i="4" s="1"/>
  <c r="O177" i="4"/>
  <c r="P177" i="4" s="1"/>
  <c r="O198" i="4"/>
  <c r="P198" i="4" s="1"/>
  <c r="O169" i="4"/>
  <c r="P169" i="4" s="1"/>
  <c r="O191" i="4"/>
  <c r="P191" i="4" s="1"/>
  <c r="O166" i="4"/>
  <c r="P166" i="4" s="1"/>
  <c r="O148" i="4"/>
  <c r="P148" i="4" s="1"/>
  <c r="O170" i="4"/>
  <c r="P170" i="4" s="1"/>
  <c r="O140" i="4"/>
  <c r="P140" i="4" s="1"/>
  <c r="O174" i="4"/>
  <c r="P174" i="4" s="1"/>
  <c r="O202" i="4"/>
  <c r="P202" i="4" s="1"/>
  <c r="O130" i="4"/>
  <c r="P130" i="4" s="1"/>
  <c r="O211" i="4"/>
  <c r="P211" i="4" s="1"/>
  <c r="O182" i="4"/>
  <c r="P182" i="4" s="1"/>
  <c r="O136" i="4"/>
  <c r="P136" i="4" s="1"/>
  <c r="O204" i="4"/>
  <c r="P204" i="4" s="1"/>
  <c r="O144" i="4"/>
  <c r="P144" i="4" s="1"/>
  <c r="O113" i="4"/>
  <c r="P113" i="4" s="1"/>
  <c r="O118" i="4"/>
  <c r="P118" i="4" s="1"/>
  <c r="O164" i="4"/>
  <c r="P164" i="4" s="1"/>
  <c r="O183" i="4"/>
  <c r="P183" i="4" s="1"/>
  <c r="O129" i="4"/>
  <c r="P129" i="4" s="1"/>
  <c r="O190" i="4"/>
  <c r="P190" i="4" s="1"/>
  <c r="O141" i="4"/>
  <c r="P141" i="4" s="1"/>
  <c r="O210" i="4"/>
  <c r="P210" i="4" s="1"/>
  <c r="O167" i="4"/>
  <c r="P167" i="4" s="1"/>
  <c r="O125" i="4"/>
  <c r="P125" i="4" s="1"/>
  <c r="U9" i="4" s="1"/>
  <c r="O139" i="4"/>
  <c r="P139" i="4" s="1"/>
  <c r="O109" i="4"/>
  <c r="P109" i="4" s="1"/>
  <c r="O187" i="4"/>
  <c r="P187" i="4" s="1"/>
  <c r="O168" i="4"/>
  <c r="P168" i="4" s="1"/>
  <c r="O209" i="4"/>
  <c r="P209" i="4" s="1"/>
  <c r="O108" i="4"/>
  <c r="P108" i="4" s="1"/>
  <c r="O197" i="4"/>
  <c r="P197" i="4" s="1"/>
  <c r="O142" i="4"/>
  <c r="P142" i="4" s="1"/>
  <c r="O173" i="4"/>
  <c r="P173" i="4" s="1"/>
  <c r="O131" i="4"/>
  <c r="P131" i="4" s="1"/>
  <c r="O112" i="4"/>
  <c r="P112" i="4" s="1"/>
  <c r="O176" i="4"/>
  <c r="P176" i="4" s="1"/>
  <c r="O137" i="4"/>
  <c r="P137" i="4" s="1"/>
  <c r="O201" i="4"/>
  <c r="P201" i="4" s="1"/>
  <c r="O189" i="4"/>
  <c r="P189" i="4" s="1"/>
  <c r="O138" i="4"/>
  <c r="P138" i="4" s="1"/>
  <c r="O147" i="4"/>
  <c r="P147" i="4" s="1"/>
  <c r="O152" i="4"/>
  <c r="P152" i="4" s="1"/>
  <c r="O193" i="4"/>
  <c r="P193" i="4" s="1"/>
  <c r="O159" i="4"/>
  <c r="P159" i="4" s="1"/>
  <c r="O156" i="4"/>
  <c r="P156" i="4" s="1"/>
  <c r="O117" i="4"/>
  <c r="P117" i="4" s="1"/>
  <c r="O181" i="4"/>
  <c r="P181" i="4" s="1"/>
  <c r="O126" i="4"/>
  <c r="P126" i="4" s="1"/>
  <c r="O175" i="4"/>
  <c r="P175" i="4" s="1"/>
  <c r="O151" i="4"/>
  <c r="P151" i="4" s="1"/>
  <c r="O143" i="4"/>
  <c r="P143" i="4" s="1"/>
  <c r="O203" i="4"/>
  <c r="P203" i="4" s="1"/>
  <c r="O160" i="4"/>
  <c r="P160" i="4" s="1"/>
  <c r="O121" i="4"/>
  <c r="P121" i="4" s="1"/>
  <c r="O185" i="4"/>
  <c r="P185" i="4" s="1"/>
  <c r="O146" i="4"/>
  <c r="P146" i="4" s="1"/>
  <c r="O207" i="4"/>
  <c r="P207" i="4" s="1"/>
  <c r="O180" i="4"/>
  <c r="P180" i="4" s="1"/>
  <c r="O119" i="4"/>
  <c r="P119" i="4" s="1"/>
  <c r="O116" i="4"/>
  <c r="P116" i="4" s="1"/>
  <c r="O157" i="4"/>
  <c r="P157" i="4" s="1"/>
  <c r="O104" i="4"/>
  <c r="P104" i="4" s="1"/>
  <c r="T125" i="4" s="1"/>
  <c r="S125" i="4" s="1"/>
  <c r="T124" i="4" s="1"/>
  <c r="S124" i="4" s="1"/>
  <c r="T123" i="4" s="1"/>
  <c r="S123" i="4" s="1"/>
  <c r="T122" i="4" s="1"/>
  <c r="S122" i="4" s="1"/>
  <c r="T121" i="4" s="1"/>
  <c r="S121" i="4" s="1"/>
  <c r="T120" i="4" s="1"/>
  <c r="S120" i="4" s="1"/>
  <c r="T119" i="4" s="1"/>
  <c r="S119" i="4" s="1"/>
  <c r="T118" i="4" s="1"/>
  <c r="S118" i="4" s="1"/>
  <c r="T117" i="4" s="1"/>
  <c r="S117" i="4" s="1"/>
  <c r="T116" i="4" s="1"/>
  <c r="S116" i="4" s="1"/>
  <c r="T115" i="4" s="1"/>
  <c r="S115" i="4" s="1"/>
  <c r="T114" i="4" s="1"/>
  <c r="S114" i="4" s="1"/>
  <c r="T113" i="4" s="1"/>
  <c r="S113" i="4" s="1"/>
  <c r="T112" i="4" s="1"/>
  <c r="S112" i="4" s="1"/>
  <c r="T111" i="4" s="1"/>
  <c r="S111" i="4" s="1"/>
  <c r="T110" i="4" s="1"/>
  <c r="S110" i="4" s="1"/>
  <c r="T109" i="4" s="1"/>
  <c r="S109" i="4" s="1"/>
  <c r="T108" i="4" s="1"/>
  <c r="S108" i="4" s="1"/>
  <c r="T107" i="4" s="1"/>
  <c r="S107" i="4" s="1"/>
  <c r="T106" i="4" s="1"/>
  <c r="S106" i="4" s="1"/>
  <c r="T105" i="4" s="1"/>
  <c r="S105" i="4" s="1"/>
  <c r="T104" i="4" s="1"/>
  <c r="S104" i="4" s="1"/>
  <c r="T103" i="4" s="1"/>
  <c r="S103" i="4" s="1"/>
  <c r="T102" i="4" s="1"/>
  <c r="S102" i="4" s="1"/>
  <c r="T101" i="4" s="1"/>
  <c r="S101" i="4" s="1"/>
  <c r="T100" i="4" s="1"/>
  <c r="S100" i="4" s="1"/>
  <c r="T99" i="4" s="1"/>
  <c r="S99" i="4" s="1"/>
  <c r="T98" i="4" s="1"/>
  <c r="S98" i="4" s="1"/>
  <c r="T97" i="4" s="1"/>
  <c r="S97" i="4" s="1"/>
  <c r="T96" i="4" s="1"/>
  <c r="S96" i="4" s="1"/>
  <c r="T95" i="4" s="1"/>
  <c r="S95" i="4" s="1"/>
  <c r="T94" i="4" s="1"/>
  <c r="S94" i="4" s="1"/>
  <c r="T93" i="4" s="1"/>
  <c r="S93" i="4" s="1"/>
  <c r="T92" i="4" s="1"/>
  <c r="S92" i="4" s="1"/>
  <c r="T91" i="4" s="1"/>
  <c r="S91" i="4" s="1"/>
  <c r="T90" i="4" s="1"/>
  <c r="S90" i="4" s="1"/>
  <c r="T89" i="4" s="1"/>
  <c r="S89" i="4" s="1"/>
  <c r="T88" i="4" s="1"/>
  <c r="S88" i="4" s="1"/>
  <c r="T87" i="4" s="1"/>
  <c r="S87" i="4" s="1"/>
  <c r="T86" i="4" s="1"/>
  <c r="S86" i="4" s="1"/>
  <c r="T85" i="4" s="1"/>
  <c r="S85" i="4" s="1"/>
  <c r="T84" i="4" s="1"/>
  <c r="S84" i="4" s="1"/>
  <c r="T83" i="4" s="1"/>
  <c r="S83" i="4" s="1"/>
  <c r="T82" i="4" s="1"/>
  <c r="S82" i="4" s="1"/>
  <c r="T81" i="4" s="1"/>
  <c r="S81" i="4" s="1"/>
  <c r="T80" i="4" s="1"/>
  <c r="S80" i="4" s="1"/>
  <c r="T79" i="4" s="1"/>
  <c r="S79" i="4" s="1"/>
  <c r="T78" i="4" s="1"/>
  <c r="S78" i="4" s="1"/>
  <c r="T77" i="4" s="1"/>
  <c r="S77" i="4" s="1"/>
  <c r="T76" i="4" s="1"/>
  <c r="S76" i="4" s="1"/>
  <c r="T75" i="4" s="1"/>
  <c r="S75" i="4" s="1"/>
  <c r="T74" i="4" s="1"/>
  <c r="S74" i="4" s="1"/>
  <c r="T73" i="4" s="1"/>
  <c r="S73" i="4" s="1"/>
  <c r="T72" i="4" s="1"/>
  <c r="S72" i="4" s="1"/>
  <c r="T71" i="4" s="1"/>
  <c r="S71" i="4" s="1"/>
  <c r="T70" i="4" s="1"/>
  <c r="S70" i="4" s="1"/>
  <c r="T69" i="4" s="1"/>
  <c r="S69" i="4" s="1"/>
  <c r="T68" i="4" s="1"/>
  <c r="S68" i="4" s="1"/>
  <c r="T67" i="4" s="1"/>
  <c r="S67" i="4" s="1"/>
  <c r="T66" i="4" s="1"/>
  <c r="S66" i="4" s="1"/>
  <c r="T65" i="4" s="1"/>
  <c r="S65" i="4" s="1"/>
  <c r="T64" i="4" s="1"/>
  <c r="S64" i="4" s="1"/>
  <c r="T63" i="4" s="1"/>
  <c r="S63" i="4" s="1"/>
  <c r="T62" i="4" s="1"/>
  <c r="S62" i="4" s="1"/>
  <c r="T61" i="4" s="1"/>
  <c r="S61" i="4" s="1"/>
  <c r="T60" i="4" s="1"/>
  <c r="S60" i="4" s="1"/>
  <c r="T59" i="4" s="1"/>
  <c r="S59" i="4" s="1"/>
  <c r="T58" i="4" s="1"/>
  <c r="S58" i="4" s="1"/>
  <c r="T57" i="4" s="1"/>
  <c r="S57" i="4" s="1"/>
  <c r="T56" i="4" s="1"/>
  <c r="S56" i="4" s="1"/>
  <c r="T55" i="4" s="1"/>
  <c r="S55" i="4" s="1"/>
  <c r="T54" i="4" s="1"/>
  <c r="S54" i="4" s="1"/>
  <c r="T53" i="4" s="1"/>
  <c r="S53" i="4" s="1"/>
  <c r="T52" i="4" s="1"/>
  <c r="S52" i="4" s="1"/>
  <c r="T51" i="4" s="1"/>
  <c r="S51" i="4" s="1"/>
  <c r="T50" i="4" s="1"/>
  <c r="S50" i="4" s="1"/>
  <c r="T49" i="4" s="1"/>
  <c r="S49" i="4" s="1"/>
  <c r="T48" i="4" s="1"/>
  <c r="S48" i="4" s="1"/>
  <c r="T47" i="4" s="1"/>
  <c r="S47" i="4" s="1"/>
  <c r="T46" i="4" s="1"/>
  <c r="S46" i="4" s="1"/>
  <c r="T45" i="4" s="1"/>
  <c r="S45" i="4" s="1"/>
  <c r="T44" i="4" s="1"/>
  <c r="S44" i="4" s="1"/>
  <c r="T43" i="4" s="1"/>
  <c r="S43" i="4" s="1"/>
  <c r="T42" i="4" s="1"/>
  <c r="S42" i="4" s="1"/>
  <c r="T41" i="4" s="1"/>
  <c r="S41" i="4" s="1"/>
  <c r="T40" i="4" s="1"/>
  <c r="S40" i="4" s="1"/>
  <c r="T39" i="4" s="1"/>
  <c r="S39" i="4" s="1"/>
  <c r="T38" i="4" s="1"/>
  <c r="S38" i="4" s="1"/>
  <c r="T37" i="4" s="1"/>
  <c r="S37" i="4" s="1"/>
  <c r="T36" i="4" s="1"/>
  <c r="S36" i="4" s="1"/>
  <c r="T35" i="4" s="1"/>
  <c r="S35" i="4" s="1"/>
  <c r="T34" i="4" s="1"/>
  <c r="S34" i="4" s="1"/>
  <c r="T33" i="4" s="1"/>
  <c r="S33" i="4" s="1"/>
  <c r="T32" i="4" s="1"/>
  <c r="S32" i="4" s="1"/>
  <c r="T31" i="4" s="1"/>
  <c r="S31" i="4" s="1"/>
  <c r="T30" i="4" s="1"/>
  <c r="S30" i="4" s="1"/>
  <c r="T29" i="4" s="1"/>
  <c r="S29" i="4" s="1"/>
  <c r="T28" i="4" s="1"/>
  <c r="S28" i="4" s="1"/>
  <c r="T27" i="4" s="1"/>
  <c r="S27" i="4" s="1"/>
  <c r="T26" i="4" s="1"/>
  <c r="S26" i="4" s="1"/>
  <c r="T25" i="4" s="1"/>
  <c r="S25" i="4" s="1"/>
  <c r="T24" i="4" s="1"/>
  <c r="S24" i="4" s="1"/>
  <c r="T23" i="4" s="1"/>
  <c r="S23" i="4" s="1"/>
  <c r="T22" i="4" s="1"/>
  <c r="S22" i="4" s="1"/>
  <c r="T21" i="4" s="1"/>
  <c r="S21" i="4" s="1"/>
  <c r="T20" i="4" s="1"/>
  <c r="S20" i="4" s="1"/>
  <c r="T19" i="4" s="1"/>
  <c r="S19" i="4" s="1"/>
  <c r="T18" i="4" s="1"/>
  <c r="S18" i="4" s="1"/>
  <c r="T17" i="4" s="1"/>
  <c r="S17" i="4" s="1"/>
  <c r="T16" i="4" s="1"/>
  <c r="S16" i="4" s="1"/>
  <c r="T15" i="4" s="1"/>
  <c r="S15" i="4" s="1"/>
  <c r="O145" i="4"/>
  <c r="P145" i="4" s="1"/>
  <c r="O199" i="4"/>
  <c r="P199" i="4" s="1"/>
  <c r="O172" i="4"/>
  <c r="P172" i="4" s="1"/>
  <c r="O133" i="4"/>
  <c r="P133" i="4" s="1"/>
  <c r="O206" i="4"/>
  <c r="P206" i="4" s="1"/>
  <c r="O162" i="4"/>
  <c r="P162" i="4" s="1"/>
  <c r="O115" i="4"/>
  <c r="P115" i="4" s="1"/>
  <c r="O107" i="4"/>
  <c r="P107" i="4" s="1"/>
  <c r="O195" i="4"/>
  <c r="P195" i="4" s="1"/>
  <c r="O122" i="4"/>
  <c r="P122" i="4" s="1"/>
  <c r="O132" i="4"/>
  <c r="P132" i="4" s="1"/>
  <c r="O205" i="4"/>
  <c r="P205" i="4" s="1"/>
  <c r="O120" i="4"/>
  <c r="P120" i="4" s="1"/>
  <c r="O184" i="4"/>
  <c r="P184" i="4" s="1"/>
  <c r="O161" i="4"/>
  <c r="P161" i="4" s="1"/>
  <c r="O154" i="4"/>
  <c r="P154" i="4" s="1"/>
  <c r="O124" i="4"/>
  <c r="P124" i="4" s="1"/>
  <c r="O188" i="4"/>
  <c r="P188" i="4" s="1"/>
  <c r="O149" i="4"/>
  <c r="P149" i="4" s="1"/>
  <c r="O213" i="4"/>
  <c r="P213" i="4" s="1"/>
  <c r="O158" i="4"/>
  <c r="P158" i="4" s="1"/>
  <c r="O163" i="4"/>
  <c r="P163" i="4" s="1"/>
  <c r="O155" i="4"/>
  <c r="P155" i="4" s="1"/>
  <c r="O150" i="4"/>
  <c r="P150" i="4" s="1"/>
  <c r="O123" i="4"/>
  <c r="P123" i="4" s="1"/>
  <c r="O128" i="4"/>
  <c r="P128" i="4" s="1"/>
  <c r="O192" i="4"/>
  <c r="P192" i="4" s="1"/>
  <c r="O153" i="4"/>
  <c r="P153" i="4" s="1"/>
  <c r="O114" i="4"/>
  <c r="P114" i="4" s="1"/>
  <c r="O178" i="4"/>
  <c r="P178" i="4" s="1"/>
  <c r="O127" i="4"/>
  <c r="P127" i="4" s="1"/>
  <c r="O179" i="4"/>
  <c r="P179" i="4" s="1"/>
  <c r="O171" i="4"/>
  <c r="P171" i="4" s="1"/>
  <c r="O134" i="4"/>
  <c r="P134" i="4" s="1"/>
  <c r="O186" i="4"/>
  <c r="P186" i="4" s="1"/>
  <c r="O135" i="4"/>
  <c r="P135" i="4" s="1"/>
  <c r="O106" i="4"/>
  <c r="P106" i="4" s="1"/>
  <c r="Y13" i="6"/>
  <c r="Y24" i="6" s="1"/>
  <c r="Q15" i="4" l="1"/>
  <c r="R15" i="4" s="1"/>
  <c r="Q16" i="4" s="1"/>
  <c r="R16" i="4" s="1"/>
  <c r="Q17" i="4" s="1"/>
  <c r="R17" i="4" s="1"/>
  <c r="Q18" i="4" s="1"/>
  <c r="R18" i="4" s="1"/>
  <c r="Q19" i="4" s="1"/>
  <c r="R19" i="4" s="1"/>
  <c r="Q20" i="4" s="1"/>
  <c r="R20" i="4" s="1"/>
  <c r="Q21" i="4" s="1"/>
  <c r="R21" i="4" s="1"/>
  <c r="Q22" i="4" s="1"/>
  <c r="R22" i="4" s="1"/>
  <c r="Q23" i="4" s="1"/>
  <c r="R23" i="4" s="1"/>
  <c r="Q24" i="4" s="1"/>
  <c r="R24" i="4" s="1"/>
  <c r="Q25" i="4" s="1"/>
  <c r="R25" i="4" s="1"/>
  <c r="Q26" i="4" s="1"/>
  <c r="R26" i="4" s="1"/>
  <c r="Q27" i="4" s="1"/>
  <c r="R27" i="4" s="1"/>
  <c r="Q28" i="4" s="1"/>
  <c r="R28" i="4" s="1"/>
  <c r="Q29" i="4" s="1"/>
  <c r="R29" i="4" s="1"/>
  <c r="Q30" i="4" s="1"/>
  <c r="R30" i="4" s="1"/>
  <c r="Q31" i="4" s="1"/>
  <c r="R31" i="4" s="1"/>
  <c r="Q32" i="4" s="1"/>
  <c r="R32" i="4" s="1"/>
  <c r="Q33" i="4" s="1"/>
  <c r="R33" i="4" s="1"/>
  <c r="Q34" i="4" s="1"/>
  <c r="R34" i="4" s="1"/>
  <c r="Q35" i="4" s="1"/>
  <c r="R35" i="4" s="1"/>
  <c r="Q36" i="4" s="1"/>
  <c r="R36" i="4" s="1"/>
  <c r="Q37" i="4" s="1"/>
  <c r="R37" i="4" s="1"/>
  <c r="Q38" i="4" s="1"/>
  <c r="R38" i="4" s="1"/>
  <c r="Q39" i="4" s="1"/>
  <c r="R39" i="4" s="1"/>
  <c r="Q40" i="4" s="1"/>
  <c r="R40" i="4" s="1"/>
  <c r="Q41" i="4" s="1"/>
  <c r="R41" i="4" s="1"/>
  <c r="Q42" i="4" s="1"/>
  <c r="R42" i="4" s="1"/>
  <c r="Q43" i="4" s="1"/>
  <c r="R43" i="4" s="1"/>
  <c r="Q44" i="4" s="1"/>
  <c r="R44" i="4" s="1"/>
  <c r="Q45" i="4" s="1"/>
  <c r="R45" i="4" s="1"/>
  <c r="Q46" i="4" s="1"/>
  <c r="R46" i="4" s="1"/>
  <c r="Q47" i="4" s="1"/>
  <c r="R47" i="4" s="1"/>
  <c r="Q48" i="4" s="1"/>
  <c r="R48" i="4" s="1"/>
  <c r="Q49" i="4" s="1"/>
  <c r="R49" i="4" s="1"/>
  <c r="Q50" i="4" s="1"/>
  <c r="R50" i="4" s="1"/>
  <c r="Q51" i="4" s="1"/>
  <c r="R51" i="4" s="1"/>
  <c r="Q52" i="4" s="1"/>
  <c r="R52" i="4" s="1"/>
  <c r="Q53" i="4" s="1"/>
  <c r="R53" i="4" s="1"/>
  <c r="Q54" i="4" s="1"/>
  <c r="R54" i="4" s="1"/>
  <c r="Q55" i="4" s="1"/>
  <c r="R55" i="4" s="1"/>
  <c r="Q56" i="4" s="1"/>
  <c r="R56" i="4" s="1"/>
  <c r="Q57" i="4" s="1"/>
  <c r="R57" i="4" s="1"/>
  <c r="Q58" i="4" s="1"/>
  <c r="R58" i="4" s="1"/>
  <c r="Q59" i="4" s="1"/>
  <c r="R59" i="4" s="1"/>
  <c r="Q60" i="4" s="1"/>
  <c r="R60" i="4" s="1"/>
  <c r="Q61" i="4" s="1"/>
  <c r="R61" i="4" s="1"/>
  <c r="Q62" i="4" s="1"/>
  <c r="R62" i="4" s="1"/>
  <c r="Q63" i="4" s="1"/>
  <c r="R63" i="4" s="1"/>
  <c r="Q64" i="4" s="1"/>
  <c r="R64" i="4" s="1"/>
  <c r="Q65" i="4" s="1"/>
  <c r="R65" i="4" s="1"/>
  <c r="Q66" i="4" s="1"/>
  <c r="R66" i="4" s="1"/>
  <c r="Q67" i="4" s="1"/>
  <c r="R67" i="4" s="1"/>
  <c r="Q68" i="4" s="1"/>
  <c r="R68" i="4" s="1"/>
  <c r="Q69" i="4" s="1"/>
  <c r="R69" i="4" s="1"/>
  <c r="Q70" i="4" s="1"/>
  <c r="R70" i="4" s="1"/>
  <c r="Q71" i="4" s="1"/>
  <c r="R71" i="4" s="1"/>
  <c r="Q72" i="4" s="1"/>
  <c r="R72" i="4" s="1"/>
  <c r="Q73" i="4" s="1"/>
  <c r="R73" i="4" s="1"/>
  <c r="Q74" i="4" s="1"/>
  <c r="R74" i="4" s="1"/>
  <c r="Q75" i="4" s="1"/>
  <c r="R75" i="4" s="1"/>
  <c r="Q76" i="4" s="1"/>
  <c r="R76" i="4" s="1"/>
  <c r="Q77" i="4" s="1"/>
  <c r="R77" i="4" s="1"/>
  <c r="Q78" i="4" s="1"/>
  <c r="R78" i="4" s="1"/>
  <c r="Q79" i="4" s="1"/>
  <c r="R79" i="4" s="1"/>
  <c r="Q80" i="4" s="1"/>
  <c r="R80" i="4" s="1"/>
  <c r="Q81" i="4" s="1"/>
  <c r="R81" i="4" s="1"/>
  <c r="Q82" i="4" s="1"/>
  <c r="R82" i="4" s="1"/>
  <c r="Q83" i="4" s="1"/>
  <c r="R83" i="4" s="1"/>
  <c r="Q84" i="4" s="1"/>
  <c r="R84" i="4" s="1"/>
  <c r="Q85" i="4" s="1"/>
  <c r="R85" i="4" s="1"/>
  <c r="Q86" i="4" s="1"/>
  <c r="R86" i="4" s="1"/>
  <c r="Q87" i="4" s="1"/>
  <c r="R87" i="4" s="1"/>
  <c r="Q88" i="4" s="1"/>
  <c r="R88" i="4" s="1"/>
  <c r="Q89" i="4" s="1"/>
  <c r="R89" i="4" s="1"/>
  <c r="Q90" i="4" s="1"/>
  <c r="R90" i="4" s="1"/>
  <c r="Q91" i="4" s="1"/>
  <c r="R91" i="4" s="1"/>
  <c r="Q92" i="4" s="1"/>
  <c r="R92" i="4" s="1"/>
  <c r="Q93" i="4" s="1"/>
  <c r="R93" i="4" s="1"/>
  <c r="Q94" i="4" s="1"/>
  <c r="R94" i="4" s="1"/>
  <c r="Q95" i="4" s="1"/>
  <c r="R95" i="4" s="1"/>
  <c r="Q96" i="4" s="1"/>
  <c r="R96" i="4" s="1"/>
  <c r="Q97" i="4" s="1"/>
  <c r="R97" i="4" s="1"/>
  <c r="Q98" i="4" s="1"/>
  <c r="R98" i="4" s="1"/>
  <c r="Q99" i="4" s="1"/>
  <c r="R99" i="4" s="1"/>
  <c r="Q100" i="4" s="1"/>
  <c r="R100" i="4" s="1"/>
  <c r="Q101" i="4" s="1"/>
  <c r="R101" i="4" s="1"/>
  <c r="Q102" i="4" s="1"/>
  <c r="R102" i="4" s="1"/>
  <c r="Q103" i="4" s="1"/>
  <c r="R103" i="4" s="1"/>
  <c r="Q104" i="4" s="1"/>
  <c r="R104" i="4" s="1"/>
  <c r="Q105" i="4" s="1"/>
  <c r="R105" i="4" s="1"/>
  <c r="Q106" i="4" s="1"/>
  <c r="R106" i="4" s="1"/>
  <c r="Q107" i="4" s="1"/>
  <c r="R107" i="4" s="1"/>
  <c r="Q108" i="4" s="1"/>
  <c r="R108" i="4" s="1"/>
  <c r="Q109" i="4" s="1"/>
  <c r="R109" i="4" s="1"/>
  <c r="Q110" i="4" s="1"/>
  <c r="R110" i="4" s="1"/>
  <c r="Q111" i="4" s="1"/>
  <c r="R111" i="4" s="1"/>
  <c r="Q112" i="4" s="1"/>
  <c r="R112" i="4" s="1"/>
  <c r="Q113" i="4" s="1"/>
  <c r="R113" i="4" s="1"/>
  <c r="Q114" i="4" s="1"/>
  <c r="R114" i="4" s="1"/>
  <c r="Q115" i="4" s="1"/>
  <c r="R115" i="4" s="1"/>
  <c r="Q116" i="4" s="1"/>
  <c r="R116" i="4" s="1"/>
  <c r="Q117" i="4" s="1"/>
  <c r="R117" i="4" s="1"/>
  <c r="Q118" i="4" s="1"/>
  <c r="R118" i="4" s="1"/>
  <c r="Q119" i="4" s="1"/>
  <c r="R119" i="4" s="1"/>
  <c r="Q120" i="4" s="1"/>
  <c r="R120" i="4" s="1"/>
  <c r="Q121" i="4" s="1"/>
  <c r="R121" i="4" s="1"/>
  <c r="Q122" i="4" s="1"/>
  <c r="R122" i="4" s="1"/>
  <c r="Q123" i="4" s="1"/>
  <c r="R123" i="4" s="1"/>
  <c r="Q124" i="4" s="1"/>
  <c r="R124" i="4" s="1"/>
  <c r="Q125" i="4" s="1"/>
  <c r="R125" i="4" s="1"/>
  <c r="P214" i="4"/>
  <c r="G23" i="3"/>
  <c r="K23" i="3" s="1"/>
  <c r="G22" i="3"/>
  <c r="K22" i="3" s="1"/>
  <c r="G20" i="3"/>
  <c r="K20" i="3" s="1"/>
  <c r="G19" i="3"/>
  <c r="K19" i="3" s="1"/>
  <c r="G16" i="3"/>
  <c r="K16" i="3" s="1"/>
  <c r="G15" i="3"/>
  <c r="K15" i="3" s="1"/>
  <c r="H12" i="3"/>
  <c r="H26" i="3" s="1"/>
  <c r="G12" i="3"/>
  <c r="G10" i="3"/>
  <c r="K10" i="3" s="1"/>
  <c r="G8" i="3"/>
  <c r="K6" i="3"/>
  <c r="C15" i="3"/>
  <c r="A16" i="3"/>
  <c r="A15" i="3"/>
  <c r="K25" i="3"/>
  <c r="K13" i="3"/>
  <c r="J26" i="3"/>
  <c r="I26" i="3"/>
  <c r="K3" i="3"/>
  <c r="K12" i="3" l="1"/>
  <c r="G26" i="3"/>
  <c r="K8" i="3"/>
  <c r="K26" i="3" l="1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</calcChain>
</file>

<file path=xl/sharedStrings.xml><?xml version="1.0" encoding="utf-8"?>
<sst xmlns="http://schemas.openxmlformats.org/spreadsheetml/2006/main" count="359" uniqueCount="216">
  <si>
    <t>Data</t>
  </si>
  <si>
    <t>H</t>
  </si>
  <si>
    <t>Height</t>
  </si>
  <si>
    <t>Before harvest</t>
  </si>
  <si>
    <t>G</t>
  </si>
  <si>
    <t>Basal area</t>
  </si>
  <si>
    <t>thinning/harvest</t>
  </si>
  <si>
    <t>V</t>
  </si>
  <si>
    <t>Volume</t>
  </si>
  <si>
    <t>after harvest</t>
  </si>
  <si>
    <t>D</t>
  </si>
  <si>
    <t>diameter</t>
  </si>
  <si>
    <t>Hg1</t>
  </si>
  <si>
    <t>D1</t>
  </si>
  <si>
    <t>N1</t>
  </si>
  <si>
    <t>G1</t>
  </si>
  <si>
    <t>V1</t>
  </si>
  <si>
    <t>D2</t>
  </si>
  <si>
    <t>N2</t>
  </si>
  <si>
    <t>G2</t>
  </si>
  <si>
    <t>V2</t>
  </si>
  <si>
    <t>Hg3</t>
  </si>
  <si>
    <t>D3</t>
  </si>
  <si>
    <t>N3</t>
  </si>
  <si>
    <t>G3</t>
  </si>
  <si>
    <t>V3</t>
  </si>
  <si>
    <t>[Years]</t>
  </si>
  <si>
    <t>[m]</t>
  </si>
  <si>
    <t>[cm]</t>
  </si>
  <si>
    <t>[/ha]</t>
  </si>
  <si>
    <t>[m2/ha]</t>
  </si>
  <si>
    <t>[m3/ha]</t>
  </si>
  <si>
    <t>BEFORE harvest</t>
  </si>
  <si>
    <t xml:space="preserve">Thinning </t>
  </si>
  <si>
    <t>AFTER harvest (thinning)</t>
  </si>
  <si>
    <t/>
  </si>
  <si>
    <t>Assortment distribution</t>
  </si>
  <si>
    <t>Eastern Denmark, beech. Based on Meilby, H (2023): Sortimentsfordelinger til skovøkonomiske beregninger baseret på Naturstyrelsens data (2013-2021). [Assortment distributions to forest economic calculus based on dat from the Nature Agency 2013-2021]</t>
  </si>
  <si>
    <t>Smoothened assortment distribution (percentages)</t>
  </si>
  <si>
    <t>Asssortment</t>
  </si>
  <si>
    <t>Other</t>
  </si>
  <si>
    <t>Fuel wood</t>
  </si>
  <si>
    <t>Cellulose</t>
  </si>
  <si>
    <t>Energy</t>
  </si>
  <si>
    <t>Wood chips</t>
  </si>
  <si>
    <t>Floor wood</t>
  </si>
  <si>
    <t>Industrial wood</t>
  </si>
  <si>
    <t>Log A</t>
  </si>
  <si>
    <t>Log B</t>
  </si>
  <si>
    <t>Log C</t>
  </si>
  <si>
    <t>Log D</t>
  </si>
  <si>
    <t>Unspecified logs</t>
  </si>
  <si>
    <t>Self-harvesters</t>
  </si>
  <si>
    <t>Special assortments</t>
  </si>
  <si>
    <t>Diameter class (mid point, cm)</t>
  </si>
  <si>
    <t>Age</t>
  </si>
  <si>
    <t>Time</t>
  </si>
  <si>
    <t>Thinning</t>
  </si>
  <si>
    <t>Diameter</t>
  </si>
  <si>
    <t>Revenue</t>
  </si>
  <si>
    <t>Return if final harvest</t>
  </si>
  <si>
    <t>Price</t>
  </si>
  <si>
    <t xml:space="preserve">Price </t>
  </si>
  <si>
    <t>Silvicultural cost</t>
  </si>
  <si>
    <t>DKK/m3</t>
  </si>
  <si>
    <t>Harvesting cost and social costs</t>
  </si>
  <si>
    <t>Net price</t>
  </si>
  <si>
    <t>Price at roadside</t>
  </si>
  <si>
    <t>Price estimate using polynomium</t>
  </si>
  <si>
    <t>Parameters for polynomium</t>
  </si>
  <si>
    <t>a</t>
  </si>
  <si>
    <t>b</t>
  </si>
  <si>
    <t>c</t>
  </si>
  <si>
    <t>d</t>
  </si>
  <si>
    <t>e</t>
  </si>
  <si>
    <t>Cashflow intermediary activities</t>
  </si>
  <si>
    <t>Cashflow if harvested</t>
  </si>
  <si>
    <t>interest rate</t>
  </si>
  <si>
    <t>Basic assumptions</t>
  </si>
  <si>
    <t>NPV</t>
  </si>
  <si>
    <t>SEV</t>
  </si>
  <si>
    <t>N</t>
  </si>
  <si>
    <t>Stem number</t>
  </si>
  <si>
    <t>Beech, growth class 2</t>
  </si>
  <si>
    <t>Abbreviations used</t>
  </si>
  <si>
    <t>EV before</t>
  </si>
  <si>
    <t>EV after</t>
  </si>
  <si>
    <t>Calculated backwards</t>
  </si>
  <si>
    <t>Calculated forwards</t>
  </si>
  <si>
    <t>20+</t>
  </si>
  <si>
    <t>kr./L</t>
  </si>
  <si>
    <t>Cost type and costs per hectare</t>
  </si>
  <si>
    <t>All monetary units in 2022 DKK level</t>
  </si>
  <si>
    <t>Time 0-5</t>
  </si>
  <si>
    <t>Time 6-10</t>
  </si>
  <si>
    <t>Time 11-20</t>
  </si>
  <si>
    <t>Total</t>
  </si>
  <si>
    <t>Planting, manually by spade, year 0</t>
  </si>
  <si>
    <t>Fence</t>
  </si>
  <si>
    <t>DKK/meter</t>
  </si>
  <si>
    <t>DKK/year</t>
  </si>
  <si>
    <t>Removing fence year 8</t>
  </si>
  <si>
    <t>re-planting, year 1</t>
  </si>
  <si>
    <t>DKK/plant</t>
  </si>
  <si>
    <t>Reparing and maintenance of fence. Time 1-7</t>
  </si>
  <si>
    <t>Weeding</t>
  </si>
  <si>
    <t>Prepatory herbicide</t>
  </si>
  <si>
    <t>DKK/hour</t>
  </si>
  <si>
    <t>DKK/L</t>
  </si>
  <si>
    <t>Backpack sprayer with herbicide</t>
  </si>
  <si>
    <t>Precommercial thinning with chainsaw or scrubber</t>
  </si>
  <si>
    <t>DKK total</t>
  </si>
  <si>
    <t>plants of</t>
  </si>
  <si>
    <t>m of</t>
  </si>
  <si>
    <t>years of</t>
  </si>
  <si>
    <t>plantings of</t>
  </si>
  <si>
    <t>hour of</t>
  </si>
  <si>
    <t>L herbicide of</t>
  </si>
  <si>
    <t>distributions of</t>
  </si>
  <si>
    <t>hours of</t>
  </si>
  <si>
    <t>Prices</t>
  </si>
  <si>
    <t>Guyard &amp; Lundhede, 2023. Beregninger for værdien af enkelttræer. 2022 price levels</t>
  </si>
  <si>
    <t>Parameters in price polynomium</t>
  </si>
  <si>
    <t>Discounted intermediary cashflow</t>
  </si>
  <si>
    <t>Exercise 2</t>
  </si>
  <si>
    <t>Growth and yield is modelled by Meilby et al 2023a. Largely reflect standard harvesting practice for yield class 2 (fairly good)</t>
  </si>
  <si>
    <t>MSY</t>
  </si>
  <si>
    <t>Marginal opportunity costs</t>
  </si>
  <si>
    <t>value increment (marginal)</t>
  </si>
  <si>
    <t>For a specific rotation age</t>
  </si>
  <si>
    <t>Age understorey</t>
  </si>
  <si>
    <t>År 0-5</t>
  </si>
  <si>
    <t>År 6-10</t>
  </si>
  <si>
    <t>År 11-20</t>
  </si>
  <si>
    <t>I alt</t>
  </si>
  <si>
    <t>Kr. i alt</t>
  </si>
  <si>
    <t>Beech, natural regeneration, clay soils</t>
  </si>
  <si>
    <t>Activity and cost DKK/ha</t>
  </si>
  <si>
    <t>Soil preparation</t>
  </si>
  <si>
    <t>harrow before and after seed drops</t>
  </si>
  <si>
    <t>Fennce mantainance</t>
  </si>
  <si>
    <t>Removing of fence year 8</t>
  </si>
  <si>
    <t>Replanting year 1</t>
  </si>
  <si>
    <t>DKK/pc</t>
  </si>
  <si>
    <t>DKK/m</t>
  </si>
  <si>
    <t>DKK/hr</t>
  </si>
  <si>
    <t>Herbicide</t>
  </si>
  <si>
    <t>times</t>
  </si>
  <si>
    <t>times of</t>
  </si>
  <si>
    <t>L herbicid of</t>
  </si>
  <si>
    <t>Precommercial thinning of other species, etc</t>
  </si>
  <si>
    <t>Exercise 3</t>
  </si>
  <si>
    <t>Exercise 4</t>
  </si>
  <si>
    <t>Exercise 7</t>
  </si>
  <si>
    <t>Carbon</t>
  </si>
  <si>
    <r>
      <rPr>
        <sz val="11"/>
        <color theme="1"/>
        <rFont val="Calibri"/>
        <family val="2"/>
        <scheme val="minor"/>
      </rPr>
      <t>Including carbon sequestration and emission</t>
    </r>
    <r>
      <rPr>
        <b/>
        <sz val="11"/>
        <color theme="1"/>
        <rFont val="Calibri"/>
        <family val="2"/>
        <scheme val="minor"/>
      </rPr>
      <t xml:space="preserve"> in the forest only - pauyment for changes in stock</t>
    </r>
  </si>
  <si>
    <t>Including payment for stocks in the forest only</t>
  </si>
  <si>
    <r>
      <t>Including both carbon sequestration and emission</t>
    </r>
    <r>
      <rPr>
        <b/>
        <sz val="11"/>
        <color theme="1"/>
        <rFont val="Calibri"/>
        <family val="2"/>
        <scheme val="minor"/>
      </rPr>
      <t xml:space="preserve"> in the forest and in HWP</t>
    </r>
  </si>
  <si>
    <t>Carbon sequestration</t>
  </si>
  <si>
    <t>Carbon content thinnings</t>
  </si>
  <si>
    <t>Carbon content final harvest if harvested</t>
  </si>
  <si>
    <t>Carbon entering into wood products from thinnings</t>
  </si>
  <si>
    <t>Carbon entering into wood products from final harvest</t>
  </si>
  <si>
    <t>Carbon from thinnings not entering into products</t>
  </si>
  <si>
    <t>Carbon from final harvest not entering into products</t>
  </si>
  <si>
    <t>Carbon cashflow from sequestration (growth)</t>
  </si>
  <si>
    <t>Carbon cashflow from thinning</t>
  </si>
  <si>
    <t>carbon cashflow from final harvest</t>
  </si>
  <si>
    <t>discounted carbon cashflow from sequestration</t>
  </si>
  <si>
    <t>discounted carbon cashflow from thinning</t>
  </si>
  <si>
    <t>discounted carbon cashflow from final harvest</t>
  </si>
  <si>
    <t>"SEV" for carbon. Only in the forest</t>
  </si>
  <si>
    <t>SEV for carbon and timber only in the forest</t>
  </si>
  <si>
    <t>carbon cashflow</t>
  </si>
  <si>
    <t>discounted carbon cashflow</t>
  </si>
  <si>
    <t>"SEV" for carbon stock. Only in the forest</t>
  </si>
  <si>
    <t>SEV for carbon stock and timber only in the forest</t>
  </si>
  <si>
    <t>Correction factor for HWP thinnings</t>
  </si>
  <si>
    <t>Correction factor for HWP final harvest</t>
  </si>
  <si>
    <t>PV(time of harvest) of carbon emission from thinnings, incl HWP</t>
  </si>
  <si>
    <t>PV(time of harvest) of carbon emission from final harvest, incl HWP</t>
  </si>
  <si>
    <t xml:space="preserve">discounted carbon cashflow thinning's HWP </t>
  </si>
  <si>
    <t>discounted carbon cashflow from final harvest's HWP</t>
  </si>
  <si>
    <t>"SEV" for carbon in the forest and incl HWP</t>
  </si>
  <si>
    <t>SEV for carbon and timber and HWP</t>
  </si>
  <si>
    <t>carbon content per m3</t>
  </si>
  <si>
    <t>Schou et al 2015</t>
  </si>
  <si>
    <t>root expansion factor</t>
  </si>
  <si>
    <t>forest statistics</t>
  </si>
  <si>
    <t>C conversion factor from V1,V2,V3 to sawnwood (Mg C/m3)</t>
  </si>
  <si>
    <t>utilisation rate (from roundwood to sawnwood</t>
  </si>
  <si>
    <t>CO2 price</t>
  </si>
  <si>
    <t>carbon price</t>
  </si>
  <si>
    <t>Data for carbon</t>
  </si>
  <si>
    <t>Total Units</t>
  </si>
  <si>
    <t>Cash Flow (DKK/m3)</t>
  </si>
  <si>
    <t>Cleaning space, time 0</t>
  </si>
  <si>
    <t>Plant purchase, time 0</t>
  </si>
  <si>
    <t>Avg. SEV</t>
  </si>
  <si>
    <t>EV at t = 86</t>
  </si>
  <si>
    <t>Q6</t>
  </si>
  <si>
    <t>Disc. Interm. Cashflow</t>
  </si>
  <si>
    <t>Interest Rates</t>
  </si>
  <si>
    <t>Costs</t>
  </si>
  <si>
    <t>Benefits</t>
  </si>
  <si>
    <t>Cashflow</t>
  </si>
  <si>
    <t>1% RoI</t>
  </si>
  <si>
    <t>3% RoI</t>
  </si>
  <si>
    <t>5% RoI</t>
  </si>
  <si>
    <t>EV</t>
  </si>
  <si>
    <t>NPV (T)</t>
  </si>
  <si>
    <t>15 + 0</t>
  </si>
  <si>
    <t>Inequality</t>
  </si>
  <si>
    <t>MAE (accumulated biomass production per year)</t>
  </si>
  <si>
    <t>CAI (Current annual increment)</t>
  </si>
  <si>
    <t>Silvicultural Costs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</si>
</sst>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4"/>
      <color rgb="FF000000"/>
      <name val="Calibri"/>
      <family val="2"/>
    </font>
    <font>
      <sz val="11"/>
      <color theme="1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sz val="8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E7E6E6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theme="2"/>
      </top>
      <bottom style="thin">
        <color theme="2"/>
      </bottom>
      <diagonal/>
    </border>
  </borders>
  <cellStyleXfs count="2">
    <xf numFmtId="0" fontId="0" fillId="0" borderId="0"/>
    <xf numFmtId="0" fontId="6" fillId="0" borderId="0"/>
  </cellStyleXfs>
  <cellXfs count="118">
    <xf numFmtId="0" fontId="0" fillId="0" borderId="0" xfId="0"/>
    <xf numFmtId="0" fontId="2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2" fillId="0" borderId="4" xfId="0" applyFont="1" applyBorder="1"/>
    <xf numFmtId="0" fontId="0" fillId="0" borderId="7" xfId="0" applyBorder="1"/>
    <xf numFmtId="0" fontId="0" fillId="0" borderId="8" xfId="0" applyBorder="1"/>
    <xf numFmtId="0" fontId="0" fillId="2" borderId="0" xfId="0" applyFill="1"/>
    <xf numFmtId="0" fontId="3" fillId="2" borderId="0" xfId="0" applyFont="1" applyFill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3" fillId="2" borderId="4" xfId="0" applyFont="1" applyFill="1" applyBorder="1"/>
    <xf numFmtId="0" fontId="3" fillId="2" borderId="5" xfId="0" applyFont="1" applyFill="1" applyBorder="1"/>
    <xf numFmtId="0" fontId="4" fillId="3" borderId="0" xfId="0" applyFont="1" applyFill="1"/>
    <xf numFmtId="0" fontId="5" fillId="3" borderId="0" xfId="0" applyFont="1" applyFill="1"/>
    <xf numFmtId="0" fontId="5" fillId="4" borderId="9" xfId="0" applyFont="1" applyFill="1" applyBorder="1"/>
    <xf numFmtId="0" fontId="5" fillId="4" borderId="10" xfId="0" applyFont="1" applyFill="1" applyBorder="1"/>
    <xf numFmtId="0" fontId="5" fillId="4" borderId="12" xfId="0" applyFont="1" applyFill="1" applyBorder="1"/>
    <xf numFmtId="0" fontId="5" fillId="4" borderId="12" xfId="0" applyFont="1" applyFill="1" applyBorder="1" applyAlignment="1">
      <alignment horizontal="center"/>
    </xf>
    <xf numFmtId="0" fontId="5" fillId="5" borderId="0" xfId="0" applyFont="1" applyFill="1" applyProtection="1">
      <protection hidden="1"/>
    </xf>
    <xf numFmtId="0" fontId="5" fillId="4" borderId="13" xfId="0" applyFont="1" applyFill="1" applyBorder="1" applyAlignment="1">
      <alignment horizontal="center"/>
    </xf>
    <xf numFmtId="0" fontId="5" fillId="4" borderId="14" xfId="0" applyFont="1" applyFill="1" applyBorder="1"/>
    <xf numFmtId="0" fontId="5" fillId="4" borderId="15" xfId="0" applyFont="1" applyFill="1" applyBorder="1" applyProtection="1">
      <protection hidden="1"/>
    </xf>
    <xf numFmtId="0" fontId="5" fillId="4" borderId="11" xfId="0" applyFont="1" applyFill="1" applyBorder="1" applyAlignment="1">
      <alignment horizontal="center"/>
    </xf>
    <xf numFmtId="0" fontId="0" fillId="6" borderId="0" xfId="0" applyFill="1"/>
    <xf numFmtId="0" fontId="0" fillId="7" borderId="0" xfId="0" applyFill="1"/>
    <xf numFmtId="0" fontId="0" fillId="6" borderId="1" xfId="0" applyFill="1" applyBorder="1"/>
    <xf numFmtId="0" fontId="0" fillId="6" borderId="2" xfId="0" applyFill="1" applyBorder="1"/>
    <xf numFmtId="0" fontId="0" fillId="6" borderId="3" xfId="0" applyFill="1" applyBorder="1"/>
    <xf numFmtId="0" fontId="0" fillId="6" borderId="4" xfId="0" applyFill="1" applyBorder="1"/>
    <xf numFmtId="0" fontId="0" fillId="6" borderId="5" xfId="0" applyFill="1" applyBorder="1"/>
    <xf numFmtId="0" fontId="0" fillId="6" borderId="6" xfId="0" applyFill="1" applyBorder="1"/>
    <xf numFmtId="0" fontId="0" fillId="6" borderId="7" xfId="0" applyFill="1" applyBorder="1"/>
    <xf numFmtId="0" fontId="0" fillId="6" borderId="8" xfId="0" applyFill="1" applyBorder="1"/>
    <xf numFmtId="0" fontId="5" fillId="8" borderId="13" xfId="0" applyFont="1" applyFill="1" applyBorder="1" applyAlignment="1">
      <alignment horizontal="center"/>
    </xf>
    <xf numFmtId="0" fontId="0" fillId="9" borderId="0" xfId="0" applyFill="1"/>
    <xf numFmtId="0" fontId="1" fillId="0" borderId="0" xfId="0" applyFont="1"/>
    <xf numFmtId="0" fontId="0" fillId="10" borderId="0" xfId="0" applyFill="1"/>
    <xf numFmtId="0" fontId="0" fillId="11" borderId="0" xfId="0" applyFill="1"/>
    <xf numFmtId="0" fontId="0" fillId="9" borderId="7" xfId="0" applyFill="1" applyBorder="1"/>
    <xf numFmtId="0" fontId="2" fillId="7" borderId="0" xfId="0" applyFont="1" applyFill="1" applyAlignment="1">
      <alignment vertical="justify"/>
    </xf>
    <xf numFmtId="0" fontId="2" fillId="0" borderId="0" xfId="0" applyFont="1" applyAlignment="1">
      <alignment vertical="justify"/>
    </xf>
    <xf numFmtId="0" fontId="2" fillId="10" borderId="0" xfId="0" applyFont="1" applyFill="1" applyAlignment="1">
      <alignment vertical="justify"/>
    </xf>
    <xf numFmtId="0" fontId="2" fillId="11" borderId="0" xfId="0" applyFont="1" applyFill="1" applyAlignment="1">
      <alignment vertical="justify"/>
    </xf>
    <xf numFmtId="0" fontId="2" fillId="12" borderId="0" xfId="0" applyFont="1" applyFill="1" applyAlignment="1">
      <alignment vertical="justify"/>
    </xf>
    <xf numFmtId="0" fontId="0" fillId="12" borderId="0" xfId="0" applyFill="1"/>
    <xf numFmtId="0" fontId="0" fillId="0" borderId="6" xfId="0" applyBorder="1"/>
    <xf numFmtId="0" fontId="2" fillId="13" borderId="0" xfId="0" applyFont="1" applyFill="1" applyAlignment="1">
      <alignment vertical="justify"/>
    </xf>
    <xf numFmtId="0" fontId="0" fillId="13" borderId="0" xfId="0" applyFill="1"/>
    <xf numFmtId="0" fontId="2" fillId="0" borderId="1" xfId="0" applyFont="1" applyBorder="1"/>
    <xf numFmtId="9" fontId="0" fillId="0" borderId="0" xfId="0" applyNumberFormat="1"/>
    <xf numFmtId="1" fontId="0" fillId="10" borderId="0" xfId="0" applyNumberFormat="1" applyFill="1"/>
    <xf numFmtId="0" fontId="2" fillId="13" borderId="0" xfId="0" applyFont="1" applyFill="1"/>
    <xf numFmtId="0" fontId="2" fillId="13" borderId="0" xfId="0" applyFont="1" applyFill="1" applyAlignment="1">
      <alignment vertical="top"/>
    </xf>
    <xf numFmtId="2" fontId="0" fillId="0" borderId="0" xfId="0" applyNumberFormat="1"/>
    <xf numFmtId="0" fontId="3" fillId="13" borderId="0" xfId="0" applyFont="1" applyFill="1"/>
    <xf numFmtId="0" fontId="3" fillId="0" borderId="0" xfId="0" applyFont="1"/>
    <xf numFmtId="0" fontId="0" fillId="14" borderId="0" xfId="0" applyFill="1"/>
    <xf numFmtId="0" fontId="2" fillId="14" borderId="0" xfId="0" applyFont="1" applyFill="1" applyAlignment="1">
      <alignment vertical="justify"/>
    </xf>
    <xf numFmtId="164" fontId="0" fillId="14" borderId="0" xfId="0" applyNumberFormat="1" applyFill="1"/>
    <xf numFmtId="0" fontId="0" fillId="0" borderId="0" xfId="0" applyAlignment="1">
      <alignment vertical="justify"/>
    </xf>
    <xf numFmtId="1" fontId="0" fillId="15" borderId="0" xfId="0" applyNumberFormat="1" applyFill="1"/>
    <xf numFmtId="0" fontId="0" fillId="15" borderId="0" xfId="0" applyFill="1"/>
    <xf numFmtId="0" fontId="6" fillId="0" borderId="0" xfId="1"/>
    <xf numFmtId="0" fontId="8" fillId="0" borderId="0" xfId="1" applyFont="1"/>
    <xf numFmtId="0" fontId="7" fillId="0" borderId="0" xfId="1" applyFont="1"/>
    <xf numFmtId="0" fontId="7" fillId="0" borderId="19" xfId="1" quotePrefix="1" applyFont="1" applyBorder="1"/>
    <xf numFmtId="0" fontId="7" fillId="0" borderId="15" xfId="1" quotePrefix="1" applyFont="1" applyBorder="1"/>
    <xf numFmtId="0" fontId="7" fillId="0" borderId="20" xfId="1" quotePrefix="1" applyFont="1" applyBorder="1"/>
    <xf numFmtId="16" fontId="7" fillId="0" borderId="15" xfId="1" quotePrefix="1" applyNumberFormat="1" applyFont="1" applyBorder="1"/>
    <xf numFmtId="0" fontId="7" fillId="0" borderId="14" xfId="1" applyFont="1" applyBorder="1"/>
    <xf numFmtId="0" fontId="6" fillId="0" borderId="16" xfId="1" applyBorder="1"/>
    <xf numFmtId="0" fontId="6" fillId="0" borderId="17" xfId="1" applyBorder="1"/>
    <xf numFmtId="3" fontId="6" fillId="0" borderId="0" xfId="1" applyNumberFormat="1"/>
    <xf numFmtId="3" fontId="6" fillId="0" borderId="17" xfId="1" applyNumberFormat="1" applyBorder="1"/>
    <xf numFmtId="3" fontId="6" fillId="0" borderId="13" xfId="1" applyNumberFormat="1" applyBorder="1"/>
    <xf numFmtId="0" fontId="9" fillId="0" borderId="16" xfId="1" applyFont="1" applyBorder="1"/>
    <xf numFmtId="0" fontId="9" fillId="0" borderId="0" xfId="1" applyFont="1"/>
    <xf numFmtId="0" fontId="9" fillId="0" borderId="17" xfId="1" applyFont="1" applyBorder="1"/>
    <xf numFmtId="2" fontId="9" fillId="0" borderId="0" xfId="1" applyNumberFormat="1" applyFont="1"/>
    <xf numFmtId="1" fontId="9" fillId="0" borderId="0" xfId="1" applyNumberFormat="1" applyFont="1"/>
    <xf numFmtId="1" fontId="9" fillId="0" borderId="16" xfId="1" applyNumberFormat="1" applyFont="1" applyBorder="1"/>
    <xf numFmtId="0" fontId="9" fillId="0" borderId="21" xfId="1" applyFont="1" applyBorder="1"/>
    <xf numFmtId="0" fontId="9" fillId="0" borderId="11" xfId="1" applyFont="1" applyBorder="1"/>
    <xf numFmtId="0" fontId="9" fillId="0" borderId="12" xfId="1" applyFont="1" applyBorder="1"/>
    <xf numFmtId="0" fontId="9" fillId="0" borderId="18" xfId="1" applyFont="1" applyBorder="1"/>
    <xf numFmtId="0" fontId="6" fillId="0" borderId="11" xfId="1" applyBorder="1"/>
    <xf numFmtId="0" fontId="6" fillId="0" borderId="12" xfId="1" applyBorder="1"/>
    <xf numFmtId="0" fontId="6" fillId="0" borderId="18" xfId="1" applyBorder="1"/>
    <xf numFmtId="3" fontId="6" fillId="0" borderId="15" xfId="1" applyNumberFormat="1" applyBorder="1"/>
    <xf numFmtId="3" fontId="6" fillId="0" borderId="20" xfId="1" applyNumberFormat="1" applyBorder="1"/>
    <xf numFmtId="3" fontId="0" fillId="15" borderId="0" xfId="0" applyNumberFormat="1" applyFill="1"/>
    <xf numFmtId="1" fontId="0" fillId="0" borderId="0" xfId="0" applyNumberFormat="1"/>
    <xf numFmtId="0" fontId="7" fillId="0" borderId="0" xfId="0" applyFont="1"/>
    <xf numFmtId="0" fontId="2" fillId="16" borderId="0" xfId="0" applyFont="1" applyFill="1"/>
    <xf numFmtId="0" fontId="0" fillId="16" borderId="0" xfId="0" applyFill="1"/>
    <xf numFmtId="0" fontId="2" fillId="17" borderId="0" xfId="0" applyFont="1" applyFill="1"/>
    <xf numFmtId="0" fontId="0" fillId="17" borderId="0" xfId="0" applyFill="1"/>
    <xf numFmtId="0" fontId="2" fillId="18" borderId="0" xfId="0" applyFont="1" applyFill="1"/>
    <xf numFmtId="0" fontId="0" fillId="18" borderId="0" xfId="0" applyFill="1"/>
    <xf numFmtId="0" fontId="0" fillId="19" borderId="0" xfId="0" applyFill="1"/>
    <xf numFmtId="0" fontId="0" fillId="16" borderId="0" xfId="0" applyFill="1" applyAlignment="1">
      <alignment vertical="justify"/>
    </xf>
    <xf numFmtId="0" fontId="0" fillId="17" borderId="0" xfId="0" applyFill="1" applyAlignment="1">
      <alignment vertical="justify"/>
    </xf>
    <xf numFmtId="0" fontId="0" fillId="18" borderId="0" xfId="0" applyFill="1" applyAlignment="1">
      <alignment vertical="justify"/>
    </xf>
    <xf numFmtId="0" fontId="0" fillId="19" borderId="0" xfId="0" applyFill="1" applyAlignment="1">
      <alignment vertical="justify"/>
    </xf>
    <xf numFmtId="0" fontId="5" fillId="4" borderId="0" xfId="0" applyFont="1" applyFill="1"/>
    <xf numFmtId="0" fontId="5" fillId="4" borderId="0" xfId="0" applyFont="1" applyFill="1" applyAlignment="1">
      <alignment horizontal="center"/>
    </xf>
    <xf numFmtId="0" fontId="5" fillId="4" borderId="0" xfId="0" applyFont="1" applyFill="1" applyProtection="1">
      <protection hidden="1"/>
    </xf>
    <xf numFmtId="0" fontId="0" fillId="20" borderId="0" xfId="0" applyFill="1"/>
    <xf numFmtId="1" fontId="0" fillId="20" borderId="0" xfId="0" applyNumberFormat="1" applyFill="1"/>
    <xf numFmtId="0" fontId="0" fillId="0" borderId="0" xfId="0" applyAlignment="1">
      <alignment horizontal="center"/>
    </xf>
    <xf numFmtId="164" fontId="0" fillId="0" borderId="0" xfId="0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Price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4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'turnover balance'!$H$29:$H$213</c:f>
              <c:numCache>
                <c:formatCode>General</c:formatCode>
                <c:ptCount val="185"/>
                <c:pt idx="0">
                  <c:v>17</c:v>
                </c:pt>
                <c:pt idx="1">
                  <c:v>23.4</c:v>
                </c:pt>
                <c:pt idx="2">
                  <c:v>31.3</c:v>
                </c:pt>
                <c:pt idx="3">
                  <c:v>40.700000000000003</c:v>
                </c:pt>
                <c:pt idx="4">
                  <c:v>51.7</c:v>
                </c:pt>
                <c:pt idx="5">
                  <c:v>64.3</c:v>
                </c:pt>
                <c:pt idx="6">
                  <c:v>67.5</c:v>
                </c:pt>
                <c:pt idx="7">
                  <c:v>81.7</c:v>
                </c:pt>
                <c:pt idx="8">
                  <c:v>97.2</c:v>
                </c:pt>
                <c:pt idx="9">
                  <c:v>114.1</c:v>
                </c:pt>
                <c:pt idx="10">
                  <c:v>132.1</c:v>
                </c:pt>
                <c:pt idx="11">
                  <c:v>122.8</c:v>
                </c:pt>
                <c:pt idx="12">
                  <c:v>140.4</c:v>
                </c:pt>
                <c:pt idx="13">
                  <c:v>158.80000000000001</c:v>
                </c:pt>
                <c:pt idx="14">
                  <c:v>177.9</c:v>
                </c:pt>
                <c:pt idx="15">
                  <c:v>197.8</c:v>
                </c:pt>
                <c:pt idx="16">
                  <c:v>182.5</c:v>
                </c:pt>
                <c:pt idx="17">
                  <c:v>201.2</c:v>
                </c:pt>
                <c:pt idx="18">
                  <c:v>220.4</c:v>
                </c:pt>
                <c:pt idx="19">
                  <c:v>239.9</c:v>
                </c:pt>
                <c:pt idx="20">
                  <c:v>259.8</c:v>
                </c:pt>
                <c:pt idx="21">
                  <c:v>229.4</c:v>
                </c:pt>
                <c:pt idx="22">
                  <c:v>247.6</c:v>
                </c:pt>
                <c:pt idx="23">
                  <c:v>266</c:v>
                </c:pt>
                <c:pt idx="24">
                  <c:v>284.60000000000002</c:v>
                </c:pt>
                <c:pt idx="25">
                  <c:v>303.5</c:v>
                </c:pt>
                <c:pt idx="26">
                  <c:v>277.2</c:v>
                </c:pt>
                <c:pt idx="27">
                  <c:v>294.8</c:v>
                </c:pt>
                <c:pt idx="28">
                  <c:v>312.60000000000002</c:v>
                </c:pt>
                <c:pt idx="29">
                  <c:v>330.6</c:v>
                </c:pt>
                <c:pt idx="30">
                  <c:v>348.7</c:v>
                </c:pt>
                <c:pt idx="31">
                  <c:v>366.8</c:v>
                </c:pt>
                <c:pt idx="32">
                  <c:v>312.10000000000002</c:v>
                </c:pt>
                <c:pt idx="33">
                  <c:v>328.6</c:v>
                </c:pt>
                <c:pt idx="34">
                  <c:v>345.2</c:v>
                </c:pt>
                <c:pt idx="35">
                  <c:v>362</c:v>
                </c:pt>
                <c:pt idx="36">
                  <c:v>378.8</c:v>
                </c:pt>
                <c:pt idx="37">
                  <c:v>395.8</c:v>
                </c:pt>
                <c:pt idx="38">
                  <c:v>344.3</c:v>
                </c:pt>
                <c:pt idx="39">
                  <c:v>360</c:v>
                </c:pt>
                <c:pt idx="40">
                  <c:v>375.8</c:v>
                </c:pt>
                <c:pt idx="41">
                  <c:v>391.7</c:v>
                </c:pt>
                <c:pt idx="42">
                  <c:v>407.7</c:v>
                </c:pt>
                <c:pt idx="43">
                  <c:v>423.8</c:v>
                </c:pt>
                <c:pt idx="44">
                  <c:v>440</c:v>
                </c:pt>
                <c:pt idx="45">
                  <c:v>378.4</c:v>
                </c:pt>
                <c:pt idx="46">
                  <c:v>393.4</c:v>
                </c:pt>
                <c:pt idx="47">
                  <c:v>408.5</c:v>
                </c:pt>
                <c:pt idx="48">
                  <c:v>423.7</c:v>
                </c:pt>
                <c:pt idx="49">
                  <c:v>439</c:v>
                </c:pt>
                <c:pt idx="50">
                  <c:v>454.4</c:v>
                </c:pt>
                <c:pt idx="51">
                  <c:v>469.9</c:v>
                </c:pt>
                <c:pt idx="52">
                  <c:v>410.8</c:v>
                </c:pt>
                <c:pt idx="53">
                  <c:v>425.4</c:v>
                </c:pt>
                <c:pt idx="54">
                  <c:v>440</c:v>
                </c:pt>
                <c:pt idx="55">
                  <c:v>454.7</c:v>
                </c:pt>
                <c:pt idx="56">
                  <c:v>469.6</c:v>
                </c:pt>
                <c:pt idx="57">
                  <c:v>484.5</c:v>
                </c:pt>
                <c:pt idx="58">
                  <c:v>499.4</c:v>
                </c:pt>
                <c:pt idx="59">
                  <c:v>442.2</c:v>
                </c:pt>
                <c:pt idx="60">
                  <c:v>456.4</c:v>
                </c:pt>
                <c:pt idx="61">
                  <c:v>470.7</c:v>
                </c:pt>
                <c:pt idx="62">
                  <c:v>485.1</c:v>
                </c:pt>
                <c:pt idx="63">
                  <c:v>499.6</c:v>
                </c:pt>
                <c:pt idx="64">
                  <c:v>514.1</c:v>
                </c:pt>
                <c:pt idx="65">
                  <c:v>528.79999999999995</c:v>
                </c:pt>
                <c:pt idx="66">
                  <c:v>481.7</c:v>
                </c:pt>
                <c:pt idx="67">
                  <c:v>495.8</c:v>
                </c:pt>
                <c:pt idx="68">
                  <c:v>509.9</c:v>
                </c:pt>
                <c:pt idx="69">
                  <c:v>524.20000000000005</c:v>
                </c:pt>
                <c:pt idx="70">
                  <c:v>538.5</c:v>
                </c:pt>
                <c:pt idx="71">
                  <c:v>552.9</c:v>
                </c:pt>
                <c:pt idx="72">
                  <c:v>567.4</c:v>
                </c:pt>
                <c:pt idx="73">
                  <c:v>581.9</c:v>
                </c:pt>
                <c:pt idx="74">
                  <c:v>515.70000000000005</c:v>
                </c:pt>
                <c:pt idx="75">
                  <c:v>529.6</c:v>
                </c:pt>
                <c:pt idx="76">
                  <c:v>543.6</c:v>
                </c:pt>
                <c:pt idx="77">
                  <c:v>557.70000000000005</c:v>
                </c:pt>
                <c:pt idx="78">
                  <c:v>571.79999999999995</c:v>
                </c:pt>
                <c:pt idx="79">
                  <c:v>585.9</c:v>
                </c:pt>
                <c:pt idx="80">
                  <c:v>600.20000000000005</c:v>
                </c:pt>
                <c:pt idx="81">
                  <c:v>614.5</c:v>
                </c:pt>
                <c:pt idx="82">
                  <c:v>628.79999999999995</c:v>
                </c:pt>
                <c:pt idx="83">
                  <c:v>546.9</c:v>
                </c:pt>
                <c:pt idx="84">
                  <c:v>560.6</c:v>
                </c:pt>
                <c:pt idx="85">
                  <c:v>574.4</c:v>
                </c:pt>
                <c:pt idx="86">
                  <c:v>588.20000000000005</c:v>
                </c:pt>
                <c:pt idx="87">
                  <c:v>602.1</c:v>
                </c:pt>
                <c:pt idx="88">
                  <c:v>616</c:v>
                </c:pt>
                <c:pt idx="89">
                  <c:v>630.1</c:v>
                </c:pt>
                <c:pt idx="90">
                  <c:v>644.1</c:v>
                </c:pt>
                <c:pt idx="91">
                  <c:v>658.3</c:v>
                </c:pt>
                <c:pt idx="92">
                  <c:v>577.6</c:v>
                </c:pt>
                <c:pt idx="93">
                  <c:v>591.20000000000005</c:v>
                </c:pt>
                <c:pt idx="94">
                  <c:v>604.79999999999995</c:v>
                </c:pt>
                <c:pt idx="95">
                  <c:v>618.5</c:v>
                </c:pt>
                <c:pt idx="96">
                  <c:v>632.29999999999995</c:v>
                </c:pt>
                <c:pt idx="97">
                  <c:v>646.1</c:v>
                </c:pt>
                <c:pt idx="98">
                  <c:v>659.9</c:v>
                </c:pt>
                <c:pt idx="99">
                  <c:v>673.9</c:v>
                </c:pt>
                <c:pt idx="100">
                  <c:v>687.9</c:v>
                </c:pt>
                <c:pt idx="101">
                  <c:v>604.9</c:v>
                </c:pt>
                <c:pt idx="102">
                  <c:v>618.4</c:v>
                </c:pt>
                <c:pt idx="103">
                  <c:v>631.9</c:v>
                </c:pt>
                <c:pt idx="104">
                  <c:v>645.5</c:v>
                </c:pt>
                <c:pt idx="105">
                  <c:v>659.2</c:v>
                </c:pt>
                <c:pt idx="106">
                  <c:v>672.9</c:v>
                </c:pt>
                <c:pt idx="107">
                  <c:v>686.7</c:v>
                </c:pt>
                <c:pt idx="108">
                  <c:v>700.5</c:v>
                </c:pt>
                <c:pt idx="109">
                  <c:v>714.4</c:v>
                </c:pt>
                <c:pt idx="110">
                  <c:v>632</c:v>
                </c:pt>
                <c:pt idx="111">
                  <c:v>645.4</c:v>
                </c:pt>
                <c:pt idx="112">
                  <c:v>658.9</c:v>
                </c:pt>
                <c:pt idx="113">
                  <c:v>672.4</c:v>
                </c:pt>
                <c:pt idx="114">
                  <c:v>686</c:v>
                </c:pt>
                <c:pt idx="115">
                  <c:v>699.7</c:v>
                </c:pt>
                <c:pt idx="116">
                  <c:v>713.4</c:v>
                </c:pt>
                <c:pt idx="117">
                  <c:v>727.2</c:v>
                </c:pt>
                <c:pt idx="118">
                  <c:v>741.1</c:v>
                </c:pt>
                <c:pt idx="119">
                  <c:v>754.9</c:v>
                </c:pt>
                <c:pt idx="120">
                  <c:v>660.6</c:v>
                </c:pt>
                <c:pt idx="121">
                  <c:v>674</c:v>
                </c:pt>
                <c:pt idx="122">
                  <c:v>687.5</c:v>
                </c:pt>
                <c:pt idx="123">
                  <c:v>701</c:v>
                </c:pt>
                <c:pt idx="124">
                  <c:v>714.6</c:v>
                </c:pt>
                <c:pt idx="125">
                  <c:v>728.3</c:v>
                </c:pt>
                <c:pt idx="126">
                  <c:v>742</c:v>
                </c:pt>
                <c:pt idx="127">
                  <c:v>755.7</c:v>
                </c:pt>
                <c:pt idx="128">
                  <c:v>769.6</c:v>
                </c:pt>
                <c:pt idx="129">
                  <c:v>783.4</c:v>
                </c:pt>
                <c:pt idx="130">
                  <c:v>797.4</c:v>
                </c:pt>
                <c:pt idx="131">
                  <c:v>811.3</c:v>
                </c:pt>
                <c:pt idx="132">
                  <c:v>825.4</c:v>
                </c:pt>
                <c:pt idx="133">
                  <c:v>839.4</c:v>
                </c:pt>
                <c:pt idx="134">
                  <c:v>853.5</c:v>
                </c:pt>
                <c:pt idx="135">
                  <c:v>703.3</c:v>
                </c:pt>
                <c:pt idx="136">
                  <c:v>716.7</c:v>
                </c:pt>
                <c:pt idx="137">
                  <c:v>730.2</c:v>
                </c:pt>
                <c:pt idx="138">
                  <c:v>743.7</c:v>
                </c:pt>
                <c:pt idx="139">
                  <c:v>757.3</c:v>
                </c:pt>
                <c:pt idx="140">
                  <c:v>771</c:v>
                </c:pt>
                <c:pt idx="141">
                  <c:v>784.8</c:v>
                </c:pt>
                <c:pt idx="142">
                  <c:v>798.6</c:v>
                </c:pt>
                <c:pt idx="143">
                  <c:v>812.4</c:v>
                </c:pt>
                <c:pt idx="144">
                  <c:v>826.3</c:v>
                </c:pt>
                <c:pt idx="145">
                  <c:v>840.3</c:v>
                </c:pt>
                <c:pt idx="146">
                  <c:v>854.3</c:v>
                </c:pt>
                <c:pt idx="147">
                  <c:v>868.3</c:v>
                </c:pt>
                <c:pt idx="148">
                  <c:v>882.4</c:v>
                </c:pt>
                <c:pt idx="149">
                  <c:v>896.6</c:v>
                </c:pt>
                <c:pt idx="150">
                  <c:v>746.1</c:v>
                </c:pt>
                <c:pt idx="151">
                  <c:v>759.7</c:v>
                </c:pt>
                <c:pt idx="152">
                  <c:v>773.2</c:v>
                </c:pt>
                <c:pt idx="153">
                  <c:v>786.9</c:v>
                </c:pt>
                <c:pt idx="154">
                  <c:v>800.6</c:v>
                </c:pt>
                <c:pt idx="155">
                  <c:v>814.4</c:v>
                </c:pt>
                <c:pt idx="156">
                  <c:v>828.2</c:v>
                </c:pt>
                <c:pt idx="157">
                  <c:v>842.1</c:v>
                </c:pt>
                <c:pt idx="158">
                  <c:v>856.1</c:v>
                </c:pt>
                <c:pt idx="159">
                  <c:v>870.1</c:v>
                </c:pt>
                <c:pt idx="160">
                  <c:v>884.2</c:v>
                </c:pt>
                <c:pt idx="161">
                  <c:v>898.3</c:v>
                </c:pt>
                <c:pt idx="162">
                  <c:v>912.4</c:v>
                </c:pt>
                <c:pt idx="163">
                  <c:v>926.7</c:v>
                </c:pt>
                <c:pt idx="164">
                  <c:v>940.9</c:v>
                </c:pt>
                <c:pt idx="165">
                  <c:v>789.6</c:v>
                </c:pt>
                <c:pt idx="166">
                  <c:v>803.2</c:v>
                </c:pt>
                <c:pt idx="167">
                  <c:v>816.9</c:v>
                </c:pt>
                <c:pt idx="168">
                  <c:v>830.7</c:v>
                </c:pt>
                <c:pt idx="169">
                  <c:v>844.6</c:v>
                </c:pt>
                <c:pt idx="170">
                  <c:v>858.5</c:v>
                </c:pt>
                <c:pt idx="171">
                  <c:v>872.4</c:v>
                </c:pt>
                <c:pt idx="172">
                  <c:v>886.4</c:v>
                </c:pt>
                <c:pt idx="173">
                  <c:v>900.5</c:v>
                </c:pt>
                <c:pt idx="174">
                  <c:v>914.7</c:v>
                </c:pt>
                <c:pt idx="175">
                  <c:v>928.8</c:v>
                </c:pt>
                <c:pt idx="176">
                  <c:v>943.1</c:v>
                </c:pt>
                <c:pt idx="177">
                  <c:v>957.4</c:v>
                </c:pt>
                <c:pt idx="178">
                  <c:v>971.7</c:v>
                </c:pt>
                <c:pt idx="179">
                  <c:v>986.1</c:v>
                </c:pt>
                <c:pt idx="180">
                  <c:v>833.4</c:v>
                </c:pt>
                <c:pt idx="181">
                  <c:v>847.3</c:v>
                </c:pt>
                <c:pt idx="182">
                  <c:v>861.2</c:v>
                </c:pt>
                <c:pt idx="183">
                  <c:v>875.2</c:v>
                </c:pt>
                <c:pt idx="184">
                  <c:v>889.2</c:v>
                </c:pt>
              </c:numCache>
            </c:numRef>
          </c:xVal>
          <c:yVal>
            <c:numRef>
              <c:f>'turnover balance'!$I$29:$I$213</c:f>
              <c:numCache>
                <c:formatCode>General</c:formatCode>
                <c:ptCount val="185"/>
                <c:pt idx="0">
                  <c:v>390.1119694848</c:v>
                </c:pt>
                <c:pt idx="1">
                  <c:v>389.0874323283</c:v>
                </c:pt>
                <c:pt idx="2">
                  <c:v>388.1221368368</c:v>
                </c:pt>
                <c:pt idx="3">
                  <c:v>387.0405582848</c:v>
                </c:pt>
                <c:pt idx="4">
                  <c:v>386.20204260029999</c:v>
                </c:pt>
                <c:pt idx="5">
                  <c:v>385.41954970079996</c:v>
                </c:pt>
                <c:pt idx="6">
                  <c:v>384.55310561279998</c:v>
                </c:pt>
                <c:pt idx="7">
                  <c:v>383.8903616723</c:v>
                </c:pt>
                <c:pt idx="8">
                  <c:v>383.28046771679999</c:v>
                </c:pt>
                <c:pt idx="9">
                  <c:v>382.7224416963</c:v>
                </c:pt>
                <c:pt idx="10">
                  <c:v>382.2153060608</c:v>
                </c:pt>
                <c:pt idx="11">
                  <c:v>381.50731399680001</c:v>
                </c:pt>
                <c:pt idx="12">
                  <c:v>381.12795072029996</c:v>
                </c:pt>
                <c:pt idx="13">
                  <c:v>380.85864018749999</c:v>
                </c:pt>
                <c:pt idx="14">
                  <c:v>380.56392299999999</c:v>
                </c:pt>
                <c:pt idx="15">
                  <c:v>380.3610912048</c:v>
                </c:pt>
                <c:pt idx="16">
                  <c:v>380.04120883679997</c:v>
                </c:pt>
                <c:pt idx="17">
                  <c:v>379.89797319230001</c:v>
                </c:pt>
                <c:pt idx="18">
                  <c:v>379.81401657629999</c:v>
                </c:pt>
                <c:pt idx="19">
                  <c:v>379.74657620479996</c:v>
                </c:pt>
                <c:pt idx="20">
                  <c:v>379.72204799999997</c:v>
                </c:pt>
                <c:pt idx="21">
                  <c:v>379.74944276479999</c:v>
                </c:pt>
                <c:pt idx="22">
                  <c:v>379.8169725843</c:v>
                </c:pt>
                <c:pt idx="23">
                  <c:v>379.8981677603</c:v>
                </c:pt>
                <c:pt idx="24">
                  <c:v>380.03286106079997</c:v>
                </c:pt>
                <c:pt idx="25">
                  <c:v>380.16660954079998</c:v>
                </c:pt>
                <c:pt idx="26">
                  <c:v>380.50146125279997</c:v>
                </c:pt>
                <c:pt idx="27">
                  <c:v>380.70164595680001</c:v>
                </c:pt>
                <c:pt idx="28">
                  <c:v>380.98167813629999</c:v>
                </c:pt>
                <c:pt idx="29">
                  <c:v>381.22899108830001</c:v>
                </c:pt>
                <c:pt idx="30">
                  <c:v>381.49651360830001</c:v>
                </c:pt>
                <c:pt idx="31">
                  <c:v>381.85865031679998</c:v>
                </c:pt>
                <c:pt idx="32">
                  <c:v>382.58550518749996</c:v>
                </c:pt>
                <c:pt idx="33">
                  <c:v>382.93842232829996</c:v>
                </c:pt>
                <c:pt idx="34">
                  <c:v>383.40448448479998</c:v>
                </c:pt>
                <c:pt idx="35">
                  <c:v>383.79673037279997</c:v>
                </c:pt>
                <c:pt idx="36">
                  <c:v>384.31056423229995</c:v>
                </c:pt>
                <c:pt idx="37">
                  <c:v>384.73992115229998</c:v>
                </c:pt>
                <c:pt idx="38">
                  <c:v>385.76303892479996</c:v>
                </c:pt>
                <c:pt idx="39">
                  <c:v>386.24212799999998</c:v>
                </c:pt>
                <c:pt idx="40">
                  <c:v>386.86117518749995</c:v>
                </c:pt>
                <c:pt idx="41">
                  <c:v>387.50187499999998</c:v>
                </c:pt>
                <c:pt idx="42">
                  <c:v>388.02946867679998</c:v>
                </c:pt>
                <c:pt idx="43">
                  <c:v>388.70706156829999</c:v>
                </c:pt>
                <c:pt idx="44">
                  <c:v>389.26310536829999</c:v>
                </c:pt>
                <c:pt idx="45">
                  <c:v>390.55731847679999</c:v>
                </c:pt>
                <c:pt idx="46">
                  <c:v>391.30076163230001</c:v>
                </c:pt>
                <c:pt idx="47">
                  <c:v>392.06064077279996</c:v>
                </c:pt>
                <c:pt idx="48">
                  <c:v>392.67984128479998</c:v>
                </c:pt>
                <c:pt idx="49">
                  <c:v>393.46729612829995</c:v>
                </c:pt>
                <c:pt idx="50">
                  <c:v>394.26896263679998</c:v>
                </c:pt>
                <c:pt idx="51">
                  <c:v>395.08405496029997</c:v>
                </c:pt>
                <c:pt idx="52">
                  <c:v>396.41417980829999</c:v>
                </c:pt>
                <c:pt idx="53">
                  <c:v>397.26053376479996</c:v>
                </c:pt>
                <c:pt idx="54">
                  <c:v>397.9453102128</c:v>
                </c:pt>
                <c:pt idx="55">
                  <c:v>398.81025427229997</c:v>
                </c:pt>
                <c:pt idx="56">
                  <c:v>399.68445831679998</c:v>
                </c:pt>
                <c:pt idx="57">
                  <c:v>400.5671652963</c:v>
                </c:pt>
                <c:pt idx="58">
                  <c:v>401.45762266079998</c:v>
                </c:pt>
                <c:pt idx="59">
                  <c:v>402.71586018749997</c:v>
                </c:pt>
                <c:pt idx="60">
                  <c:v>403.62187499999999</c:v>
                </c:pt>
                <c:pt idx="61">
                  <c:v>404.7159257088</c:v>
                </c:pt>
                <c:pt idx="62">
                  <c:v>405.63246951229996</c:v>
                </c:pt>
                <c:pt idx="63">
                  <c:v>406.55263258079998</c:v>
                </c:pt>
                <c:pt idx="64">
                  <c:v>407.47569206430001</c:v>
                </c:pt>
                <c:pt idx="65">
                  <c:v>408.21574218749998</c:v>
                </c:pt>
                <c:pt idx="66">
                  <c:v>409.51308493279998</c:v>
                </c:pt>
                <c:pt idx="67">
                  <c:v>410.4406078083</c:v>
                </c:pt>
                <c:pt idx="68">
                  <c:v>411.5534542803</c:v>
                </c:pt>
                <c:pt idx="69">
                  <c:v>412.47985536479996</c:v>
                </c:pt>
                <c:pt idx="70">
                  <c:v>413.4046331843</c:v>
                </c:pt>
                <c:pt idx="71">
                  <c:v>414.32709818879999</c:v>
                </c:pt>
                <c:pt idx="72">
                  <c:v>415.24656532829999</c:v>
                </c:pt>
                <c:pt idx="73">
                  <c:v>416.16235405279997</c:v>
                </c:pt>
                <c:pt idx="74">
                  <c:v>417.43699218749998</c:v>
                </c:pt>
                <c:pt idx="75">
                  <c:v>418.52135133629997</c:v>
                </c:pt>
                <c:pt idx="76">
                  <c:v>419.41833236479994</c:v>
                </c:pt>
                <c:pt idx="77">
                  <c:v>420.30856240829996</c:v>
                </c:pt>
                <c:pt idx="78">
                  <c:v>421.1913861168</c:v>
                </c:pt>
                <c:pt idx="79">
                  <c:v>422.06615264030006</c:v>
                </c:pt>
                <c:pt idx="80">
                  <c:v>423.10432724029999</c:v>
                </c:pt>
                <c:pt idx="81">
                  <c:v>423.95909914079999</c:v>
                </c:pt>
                <c:pt idx="82">
                  <c:v>424.80376137629997</c:v>
                </c:pt>
                <c:pt idx="83">
                  <c:v>426.13261718749993</c:v>
                </c:pt>
                <c:pt idx="84">
                  <c:v>427.10967029630001</c:v>
                </c:pt>
                <c:pt idx="85">
                  <c:v>427.91019072479992</c:v>
                </c:pt>
                <c:pt idx="86">
                  <c:v>428.85346682879998</c:v>
                </c:pt>
                <c:pt idx="87">
                  <c:v>429.62435762429993</c:v>
                </c:pt>
                <c:pt idx="88">
                  <c:v>430.38080960479999</c:v>
                </c:pt>
                <c:pt idx="89">
                  <c:v>431.26864762879995</c:v>
                </c:pt>
                <c:pt idx="90">
                  <c:v>431.9912269683</c:v>
                </c:pt>
                <c:pt idx="91">
                  <c:v>432.69746189279999</c:v>
                </c:pt>
                <c:pt idx="92">
                  <c:v>433.92562903229998</c:v>
                </c:pt>
                <c:pt idx="93">
                  <c:v>434.71226217630004</c:v>
                </c:pt>
                <c:pt idx="94">
                  <c:v>435.34730394079997</c:v>
                </c:pt>
                <c:pt idx="95">
                  <c:v>436.08392122879991</c:v>
                </c:pt>
                <c:pt idx="96">
                  <c:v>436.791875</c:v>
                </c:pt>
                <c:pt idx="97">
                  <c:v>437.35924518749994</c:v>
                </c:pt>
                <c:pt idx="98">
                  <c:v>438.01215295229997</c:v>
                </c:pt>
                <c:pt idx="99">
                  <c:v>438.53231962079997</c:v>
                </c:pt>
                <c:pt idx="100">
                  <c:v>439.12699975679993</c:v>
                </c:pt>
                <c:pt idx="101">
                  <c:v>439.95670521629995</c:v>
                </c:pt>
                <c:pt idx="102">
                  <c:v>440.46696052829998</c:v>
                </c:pt>
                <c:pt idx="103">
                  <c:v>440.94185196029997</c:v>
                </c:pt>
                <c:pt idx="104">
                  <c:v>441.38048268030002</c:v>
                </c:pt>
                <c:pt idx="105">
                  <c:v>441.78196518750002</c:v>
                </c:pt>
                <c:pt idx="106">
                  <c:v>442.14542131229996</c:v>
                </c:pt>
                <c:pt idx="107">
                  <c:v>442.41862638079999</c:v>
                </c:pt>
                <c:pt idx="108">
                  <c:v>442.71011763679991</c:v>
                </c:pt>
                <c:pt idx="109">
                  <c:v>442.96114503679996</c:v>
                </c:pt>
                <c:pt idx="110">
                  <c:v>443.25997620830003</c:v>
                </c:pt>
                <c:pt idx="111">
                  <c:v>443.42635130879995</c:v>
                </c:pt>
                <c:pt idx="112">
                  <c:v>443.52187499999991</c:v>
                </c:pt>
                <c:pt idx="113">
                  <c:v>443.57308346879989</c:v>
                </c:pt>
                <c:pt idx="114">
                  <c:v>443.57917786079997</c:v>
                </c:pt>
                <c:pt idx="115">
                  <c:v>443.53936865280002</c:v>
                </c:pt>
                <c:pt idx="116">
                  <c:v>443.43386718749997</c:v>
                </c:pt>
                <c:pt idx="117">
                  <c:v>443.29193613629997</c:v>
                </c:pt>
                <c:pt idx="118">
                  <c:v>443.10166288829987</c:v>
                </c:pt>
                <c:pt idx="119">
                  <c:v>442.86229680029993</c:v>
                </c:pt>
                <c:pt idx="120">
                  <c:v>442.35224890430004</c:v>
                </c:pt>
                <c:pt idx="121">
                  <c:v>441.97836972829992</c:v>
                </c:pt>
                <c:pt idx="122">
                  <c:v>441.47670190079992</c:v>
                </c:pt>
                <c:pt idx="123">
                  <c:v>440.9034544322999</c:v>
                </c:pt>
                <c:pt idx="124">
                  <c:v>440.35429034430007</c:v>
                </c:pt>
                <c:pt idx="125">
                  <c:v>439.7510401875</c:v>
                </c:pt>
                <c:pt idx="126">
                  <c:v>438.97798822879997</c:v>
                </c:pt>
                <c:pt idx="127">
                  <c:v>438.25524500480003</c:v>
                </c:pt>
                <c:pt idx="128">
                  <c:v>437.34097518749996</c:v>
                </c:pt>
                <c:pt idx="129">
                  <c:v>436.49566039230007</c:v>
                </c:pt>
                <c:pt idx="130">
                  <c:v>435.59276205629988</c:v>
                </c:pt>
                <c:pt idx="131">
                  <c:v>434.63165395229998</c:v>
                </c:pt>
                <c:pt idx="132">
                  <c:v>433.435968</c:v>
                </c:pt>
                <c:pt idx="133">
                  <c:v>432.34663488479998</c:v>
                </c:pt>
                <c:pt idx="134">
                  <c:v>431.19717050880007</c:v>
                </c:pt>
                <c:pt idx="135">
                  <c:v>428.4975951875</c:v>
                </c:pt>
                <c:pt idx="136">
                  <c:v>426.92386990080001</c:v>
                </c:pt>
                <c:pt idx="137">
                  <c:v>425.2649271363</c:v>
                </c:pt>
                <c:pt idx="138">
                  <c:v>423.51989965279995</c:v>
                </c:pt>
                <c:pt idx="139">
                  <c:v>421.68793749630004</c:v>
                </c:pt>
                <c:pt idx="140">
                  <c:v>419.7682079999999</c:v>
                </c:pt>
                <c:pt idx="141">
                  <c:v>417.75989578429983</c:v>
                </c:pt>
                <c:pt idx="142">
                  <c:v>415.66220275679996</c:v>
                </c:pt>
                <c:pt idx="143">
                  <c:v>413.47434811229994</c:v>
                </c:pt>
                <c:pt idx="144">
                  <c:v>411.19556833279989</c:v>
                </c:pt>
                <c:pt idx="145">
                  <c:v>409.16939341279993</c:v>
                </c:pt>
                <c:pt idx="146">
                  <c:v>406.71978597629999</c:v>
                </c:pt>
                <c:pt idx="147">
                  <c:v>404.17716718079993</c:v>
                </c:pt>
                <c:pt idx="148">
                  <c:v>401.92322150879988</c:v>
                </c:pt>
                <c:pt idx="149">
                  <c:v>399.20603168029993</c:v>
                </c:pt>
                <c:pt idx="150">
                  <c:v>393.48613518750011</c:v>
                </c:pt>
                <c:pt idx="151">
                  <c:v>390.04511851229989</c:v>
                </c:pt>
                <c:pt idx="152">
                  <c:v>386.93040300000001</c:v>
                </c:pt>
                <c:pt idx="153">
                  <c:v>383.25127450079992</c:v>
                </c:pt>
                <c:pt idx="154">
                  <c:v>379.92687018749996</c:v>
                </c:pt>
                <c:pt idx="155">
                  <c:v>376.00661450429993</c:v>
                </c:pt>
                <c:pt idx="156">
                  <c:v>372.46996799999982</c:v>
                </c:pt>
                <c:pt idx="157">
                  <c:v>368.30576417280002</c:v>
                </c:pt>
                <c:pt idx="158">
                  <c:v>364.55449218749987</c:v>
                </c:pt>
                <c:pt idx="159">
                  <c:v>360.70229389279973</c:v>
                </c:pt>
                <c:pt idx="160">
                  <c:v>356.17560300000002</c:v>
                </c:pt>
                <c:pt idx="161">
                  <c:v>352.10559142429992</c:v>
                </c:pt>
                <c:pt idx="162">
                  <c:v>347.93325127680015</c:v>
                </c:pt>
                <c:pt idx="163">
                  <c:v>343.65817219229979</c:v>
                </c:pt>
                <c:pt idx="164">
                  <c:v>339.27996109280008</c:v>
                </c:pt>
                <c:pt idx="165">
                  <c:v>328.88336410079972</c:v>
                </c:pt>
                <c:pt idx="166">
                  <c:v>323.48097190879975</c:v>
                </c:pt>
                <c:pt idx="167">
                  <c:v>317.94187499999992</c:v>
                </c:pt>
                <c:pt idx="168">
                  <c:v>312.26562854879984</c:v>
                </c:pt>
                <c:pt idx="169">
                  <c:v>306.45181722080036</c:v>
                </c:pt>
                <c:pt idx="170">
                  <c:v>300.50005517279953</c:v>
                </c:pt>
                <c:pt idx="171">
                  <c:v>294.40998605279975</c:v>
                </c:pt>
                <c:pt idx="172">
                  <c:v>288.18128299999995</c:v>
                </c:pt>
                <c:pt idx="173">
                  <c:v>281.81364864480003</c:v>
                </c:pt>
                <c:pt idx="174">
                  <c:v>275.30681510880009</c:v>
                </c:pt>
                <c:pt idx="175">
                  <c:v>268.66054400479993</c:v>
                </c:pt>
                <c:pt idx="176">
                  <c:v>262.73050946429987</c:v>
                </c:pt>
                <c:pt idx="177">
                  <c:v>255.82225306429979</c:v>
                </c:pt>
                <c:pt idx="178">
                  <c:v>248.7740380082999</c:v>
                </c:pt>
                <c:pt idx="179">
                  <c:v>241.58574018750005</c:v>
                </c:pt>
                <c:pt idx="180">
                  <c:v>226.78854727230009</c:v>
                </c:pt>
                <c:pt idx="181">
                  <c:v>218.21856299999996</c:v>
                </c:pt>
                <c:pt idx="182">
                  <c:v>210.45174835680024</c:v>
                </c:pt>
                <c:pt idx="183">
                  <c:v>201.54643468829988</c:v>
                </c:pt>
                <c:pt idx="184">
                  <c:v>192.46369351680028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0C3-41B5-BB94-1A3DB6B341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7041215"/>
        <c:axId val="1847040735"/>
      </c:scatterChart>
      <c:valAx>
        <c:axId val="1847041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Volume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040735"/>
        <c:crosses val="autoZero"/>
        <c:crossBetween val="midCat"/>
      </c:valAx>
      <c:valAx>
        <c:axId val="1847040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0412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NPV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0"/>
          </c:trendline>
          <c:xVal>
            <c:numRef>
              <c:f>'turnover balance'!$B$30:$B$213</c:f>
              <c:numCache>
                <c:formatCode>General</c:formatCode>
                <c:ptCount val="184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  <c:pt idx="41">
                  <c:v>56</c:v>
                </c:pt>
                <c:pt idx="42">
                  <c:v>57</c:v>
                </c:pt>
                <c:pt idx="43">
                  <c:v>58</c:v>
                </c:pt>
                <c:pt idx="44">
                  <c:v>59</c:v>
                </c:pt>
                <c:pt idx="45">
                  <c:v>60</c:v>
                </c:pt>
                <c:pt idx="46">
                  <c:v>61</c:v>
                </c:pt>
                <c:pt idx="47">
                  <c:v>62</c:v>
                </c:pt>
                <c:pt idx="48">
                  <c:v>63</c:v>
                </c:pt>
                <c:pt idx="49">
                  <c:v>64</c:v>
                </c:pt>
                <c:pt idx="50">
                  <c:v>65</c:v>
                </c:pt>
                <c:pt idx="51">
                  <c:v>66</c:v>
                </c:pt>
                <c:pt idx="52">
                  <c:v>67</c:v>
                </c:pt>
                <c:pt idx="53">
                  <c:v>68</c:v>
                </c:pt>
                <c:pt idx="54">
                  <c:v>69</c:v>
                </c:pt>
                <c:pt idx="55">
                  <c:v>70</c:v>
                </c:pt>
                <c:pt idx="56">
                  <c:v>71</c:v>
                </c:pt>
                <c:pt idx="57">
                  <c:v>72</c:v>
                </c:pt>
                <c:pt idx="58">
                  <c:v>73</c:v>
                </c:pt>
                <c:pt idx="59">
                  <c:v>74</c:v>
                </c:pt>
                <c:pt idx="60">
                  <c:v>75</c:v>
                </c:pt>
                <c:pt idx="61">
                  <c:v>76</c:v>
                </c:pt>
                <c:pt idx="62">
                  <c:v>77</c:v>
                </c:pt>
                <c:pt idx="63">
                  <c:v>78</c:v>
                </c:pt>
                <c:pt idx="64">
                  <c:v>79</c:v>
                </c:pt>
                <c:pt idx="65">
                  <c:v>80</c:v>
                </c:pt>
                <c:pt idx="66">
                  <c:v>81</c:v>
                </c:pt>
                <c:pt idx="67">
                  <c:v>82</c:v>
                </c:pt>
                <c:pt idx="68">
                  <c:v>83</c:v>
                </c:pt>
                <c:pt idx="69">
                  <c:v>84</c:v>
                </c:pt>
                <c:pt idx="70">
                  <c:v>85</c:v>
                </c:pt>
                <c:pt idx="71">
                  <c:v>86</c:v>
                </c:pt>
                <c:pt idx="72">
                  <c:v>87</c:v>
                </c:pt>
                <c:pt idx="73">
                  <c:v>88</c:v>
                </c:pt>
                <c:pt idx="74">
                  <c:v>89</c:v>
                </c:pt>
                <c:pt idx="75">
                  <c:v>90</c:v>
                </c:pt>
                <c:pt idx="76">
                  <c:v>91</c:v>
                </c:pt>
                <c:pt idx="77">
                  <c:v>92</c:v>
                </c:pt>
                <c:pt idx="78">
                  <c:v>93</c:v>
                </c:pt>
                <c:pt idx="79">
                  <c:v>94</c:v>
                </c:pt>
                <c:pt idx="80">
                  <c:v>95</c:v>
                </c:pt>
                <c:pt idx="81">
                  <c:v>96</c:v>
                </c:pt>
                <c:pt idx="82">
                  <c:v>97</c:v>
                </c:pt>
                <c:pt idx="83">
                  <c:v>98</c:v>
                </c:pt>
                <c:pt idx="84">
                  <c:v>99</c:v>
                </c:pt>
                <c:pt idx="85">
                  <c:v>100</c:v>
                </c:pt>
                <c:pt idx="86">
                  <c:v>101</c:v>
                </c:pt>
                <c:pt idx="87">
                  <c:v>102</c:v>
                </c:pt>
                <c:pt idx="88">
                  <c:v>103</c:v>
                </c:pt>
                <c:pt idx="89">
                  <c:v>104</c:v>
                </c:pt>
                <c:pt idx="90">
                  <c:v>105</c:v>
                </c:pt>
                <c:pt idx="91">
                  <c:v>106</c:v>
                </c:pt>
                <c:pt idx="92">
                  <c:v>107</c:v>
                </c:pt>
                <c:pt idx="93">
                  <c:v>108</c:v>
                </c:pt>
                <c:pt idx="94">
                  <c:v>109</c:v>
                </c:pt>
                <c:pt idx="95">
                  <c:v>110</c:v>
                </c:pt>
                <c:pt idx="96">
                  <c:v>111</c:v>
                </c:pt>
                <c:pt idx="97">
                  <c:v>112</c:v>
                </c:pt>
                <c:pt idx="98">
                  <c:v>113</c:v>
                </c:pt>
                <c:pt idx="99">
                  <c:v>114</c:v>
                </c:pt>
                <c:pt idx="100">
                  <c:v>115</c:v>
                </c:pt>
                <c:pt idx="101">
                  <c:v>116</c:v>
                </c:pt>
                <c:pt idx="102">
                  <c:v>117</c:v>
                </c:pt>
                <c:pt idx="103">
                  <c:v>118</c:v>
                </c:pt>
                <c:pt idx="104">
                  <c:v>119</c:v>
                </c:pt>
                <c:pt idx="105">
                  <c:v>120</c:v>
                </c:pt>
                <c:pt idx="106">
                  <c:v>121</c:v>
                </c:pt>
                <c:pt idx="107">
                  <c:v>122</c:v>
                </c:pt>
                <c:pt idx="108">
                  <c:v>123</c:v>
                </c:pt>
                <c:pt idx="109">
                  <c:v>124</c:v>
                </c:pt>
                <c:pt idx="110">
                  <c:v>125</c:v>
                </c:pt>
                <c:pt idx="111">
                  <c:v>126</c:v>
                </c:pt>
                <c:pt idx="112">
                  <c:v>127</c:v>
                </c:pt>
                <c:pt idx="113">
                  <c:v>128</c:v>
                </c:pt>
                <c:pt idx="114">
                  <c:v>129</c:v>
                </c:pt>
                <c:pt idx="115">
                  <c:v>130</c:v>
                </c:pt>
                <c:pt idx="116">
                  <c:v>131</c:v>
                </c:pt>
                <c:pt idx="117">
                  <c:v>132</c:v>
                </c:pt>
                <c:pt idx="118">
                  <c:v>133</c:v>
                </c:pt>
                <c:pt idx="119">
                  <c:v>134</c:v>
                </c:pt>
                <c:pt idx="120">
                  <c:v>135</c:v>
                </c:pt>
                <c:pt idx="121">
                  <c:v>136</c:v>
                </c:pt>
                <c:pt idx="122">
                  <c:v>137</c:v>
                </c:pt>
                <c:pt idx="123">
                  <c:v>138</c:v>
                </c:pt>
                <c:pt idx="124">
                  <c:v>139</c:v>
                </c:pt>
                <c:pt idx="125">
                  <c:v>140</c:v>
                </c:pt>
                <c:pt idx="126">
                  <c:v>141</c:v>
                </c:pt>
                <c:pt idx="127">
                  <c:v>142</c:v>
                </c:pt>
                <c:pt idx="128">
                  <c:v>143</c:v>
                </c:pt>
                <c:pt idx="129">
                  <c:v>144</c:v>
                </c:pt>
                <c:pt idx="130">
                  <c:v>145</c:v>
                </c:pt>
                <c:pt idx="131">
                  <c:v>146</c:v>
                </c:pt>
                <c:pt idx="132">
                  <c:v>147</c:v>
                </c:pt>
                <c:pt idx="133">
                  <c:v>148</c:v>
                </c:pt>
                <c:pt idx="134">
                  <c:v>149</c:v>
                </c:pt>
                <c:pt idx="135">
                  <c:v>150</c:v>
                </c:pt>
                <c:pt idx="136">
                  <c:v>151</c:v>
                </c:pt>
                <c:pt idx="137">
                  <c:v>152</c:v>
                </c:pt>
                <c:pt idx="138">
                  <c:v>153</c:v>
                </c:pt>
                <c:pt idx="139">
                  <c:v>154</c:v>
                </c:pt>
                <c:pt idx="140">
                  <c:v>155</c:v>
                </c:pt>
                <c:pt idx="141">
                  <c:v>156</c:v>
                </c:pt>
                <c:pt idx="142">
                  <c:v>157</c:v>
                </c:pt>
                <c:pt idx="143">
                  <c:v>158</c:v>
                </c:pt>
                <c:pt idx="144">
                  <c:v>159</c:v>
                </c:pt>
                <c:pt idx="145">
                  <c:v>160</c:v>
                </c:pt>
                <c:pt idx="146">
                  <c:v>161</c:v>
                </c:pt>
                <c:pt idx="147">
                  <c:v>162</c:v>
                </c:pt>
                <c:pt idx="148">
                  <c:v>163</c:v>
                </c:pt>
                <c:pt idx="149">
                  <c:v>164</c:v>
                </c:pt>
                <c:pt idx="150">
                  <c:v>165</c:v>
                </c:pt>
                <c:pt idx="151">
                  <c:v>166</c:v>
                </c:pt>
                <c:pt idx="152">
                  <c:v>167</c:v>
                </c:pt>
                <c:pt idx="153">
                  <c:v>168</c:v>
                </c:pt>
                <c:pt idx="154">
                  <c:v>169</c:v>
                </c:pt>
                <c:pt idx="155">
                  <c:v>170</c:v>
                </c:pt>
                <c:pt idx="156">
                  <c:v>171</c:v>
                </c:pt>
                <c:pt idx="157">
                  <c:v>172</c:v>
                </c:pt>
                <c:pt idx="158">
                  <c:v>173</c:v>
                </c:pt>
                <c:pt idx="159">
                  <c:v>174</c:v>
                </c:pt>
                <c:pt idx="160">
                  <c:v>175</c:v>
                </c:pt>
                <c:pt idx="161">
                  <c:v>176</c:v>
                </c:pt>
                <c:pt idx="162">
                  <c:v>177</c:v>
                </c:pt>
                <c:pt idx="163">
                  <c:v>178</c:v>
                </c:pt>
                <c:pt idx="164">
                  <c:v>179</c:v>
                </c:pt>
                <c:pt idx="165">
                  <c:v>180</c:v>
                </c:pt>
                <c:pt idx="166">
                  <c:v>181</c:v>
                </c:pt>
                <c:pt idx="167">
                  <c:v>182</c:v>
                </c:pt>
                <c:pt idx="168">
                  <c:v>183</c:v>
                </c:pt>
                <c:pt idx="169">
                  <c:v>184</c:v>
                </c:pt>
                <c:pt idx="170">
                  <c:v>185</c:v>
                </c:pt>
                <c:pt idx="171">
                  <c:v>186</c:v>
                </c:pt>
                <c:pt idx="172">
                  <c:v>187</c:v>
                </c:pt>
                <c:pt idx="173">
                  <c:v>188</c:v>
                </c:pt>
                <c:pt idx="174">
                  <c:v>189</c:v>
                </c:pt>
                <c:pt idx="175">
                  <c:v>190</c:v>
                </c:pt>
                <c:pt idx="176">
                  <c:v>191</c:v>
                </c:pt>
                <c:pt idx="177">
                  <c:v>192</c:v>
                </c:pt>
                <c:pt idx="178">
                  <c:v>193</c:v>
                </c:pt>
                <c:pt idx="179">
                  <c:v>194</c:v>
                </c:pt>
                <c:pt idx="180">
                  <c:v>195</c:v>
                </c:pt>
                <c:pt idx="181">
                  <c:v>196</c:v>
                </c:pt>
                <c:pt idx="182">
                  <c:v>197</c:v>
                </c:pt>
                <c:pt idx="183">
                  <c:v>198</c:v>
                </c:pt>
              </c:numCache>
            </c:numRef>
          </c:xVal>
          <c:yVal>
            <c:numRef>
              <c:f>'turnover balance'!$O$30:$O$213</c:f>
              <c:numCache>
                <c:formatCode>General</c:formatCode>
                <c:ptCount val="184"/>
                <c:pt idx="0">
                  <c:v>-54587.458935152325</c:v>
                </c:pt>
                <c:pt idx="1">
                  <c:v>-52296.64696874639</c:v>
                </c:pt>
                <c:pt idx="2">
                  <c:v>-49639.775478491385</c:v>
                </c:pt>
                <c:pt idx="3">
                  <c:v>-46597.105105991504</c:v>
                </c:pt>
                <c:pt idx="4">
                  <c:v>-43193.563734882242</c:v>
                </c:pt>
                <c:pt idx="5">
                  <c:v>-39859.121994803078</c:v>
                </c:pt>
                <c:pt idx="6">
                  <c:v>-36189.088595937559</c:v>
                </c:pt>
                <c:pt idx="7">
                  <c:v>-32282.557112991894</c:v>
                </c:pt>
                <c:pt idx="8">
                  <c:v>-28125.328209938845</c:v>
                </c:pt>
                <c:pt idx="9">
                  <c:v>-23811.253538201265</c:v>
                </c:pt>
                <c:pt idx="10">
                  <c:v>-19981.164897989507</c:v>
                </c:pt>
                <c:pt idx="11">
                  <c:v>-15935.200971851584</c:v>
                </c:pt>
                <c:pt idx="12">
                  <c:v>-11809.343610095588</c:v>
                </c:pt>
                <c:pt idx="13">
                  <c:v>-7647.2870294351451</c:v>
                </c:pt>
                <c:pt idx="14">
                  <c:v>-3415.0470394378281</c:v>
                </c:pt>
                <c:pt idx="15">
                  <c:v>316.14387260023796</c:v>
                </c:pt>
                <c:pt idx="16">
                  <c:v>4121.6832533625129</c:v>
                </c:pt>
                <c:pt idx="17">
                  <c:v>7927.7519361237355</c:v>
                </c:pt>
                <c:pt idx="18">
                  <c:v>11680.953136708755</c:v>
                </c:pt>
                <c:pt idx="19">
                  <c:v>15408.548016384229</c:v>
                </c:pt>
                <c:pt idx="20">
                  <c:v>18692.714255905819</c:v>
                </c:pt>
                <c:pt idx="21">
                  <c:v>21981.762507244421</c:v>
                </c:pt>
                <c:pt idx="22">
                  <c:v>25209.607450264652</c:v>
                </c:pt>
                <c:pt idx="23">
                  <c:v>28383.534870434247</c:v>
                </c:pt>
                <c:pt idx="24">
                  <c:v>31517.387442437546</c:v>
                </c:pt>
                <c:pt idx="25">
                  <c:v>34389.446635467713</c:v>
                </c:pt>
                <c:pt idx="26">
                  <c:v>37199.371950890563</c:v>
                </c:pt>
                <c:pt idx="27">
                  <c:v>39971.436416273587</c:v>
                </c:pt>
                <c:pt idx="28">
                  <c:v>42688.00745065877</c:v>
                </c:pt>
                <c:pt idx="29">
                  <c:v>45338.465955202177</c:v>
                </c:pt>
                <c:pt idx="30">
                  <c:v>47918.789128456672</c:v>
                </c:pt>
                <c:pt idx="31">
                  <c:v>50319.867735335501</c:v>
                </c:pt>
                <c:pt idx="32">
                  <c:v>52623.351320468559</c:v>
                </c:pt>
                <c:pt idx="33">
                  <c:v>54889.173770177134</c:v>
                </c:pt>
                <c:pt idx="34">
                  <c:v>57105.967752384575</c:v>
                </c:pt>
                <c:pt idx="35">
                  <c:v>59271.233398609766</c:v>
                </c:pt>
                <c:pt idx="36">
                  <c:v>61386.322268727381</c:v>
                </c:pt>
                <c:pt idx="37">
                  <c:v>63429.393597851755</c:v>
                </c:pt>
                <c:pt idx="38">
                  <c:v>65353.92621594396</c:v>
                </c:pt>
                <c:pt idx="39">
                  <c:v>67255.780686609709</c:v>
                </c:pt>
                <c:pt idx="40">
                  <c:v>69117.078138068173</c:v>
                </c:pt>
                <c:pt idx="41">
                  <c:v>70914.831801784181</c:v>
                </c:pt>
                <c:pt idx="42">
                  <c:v>72695.89633995753</c:v>
                </c:pt>
                <c:pt idx="43">
                  <c:v>74412.37715566768</c:v>
                </c:pt>
                <c:pt idx="44">
                  <c:v>76131.619992311345</c:v>
                </c:pt>
                <c:pt idx="45">
                  <c:v>77741.801366085157</c:v>
                </c:pt>
                <c:pt idx="46">
                  <c:v>79318.492633973394</c:v>
                </c:pt>
                <c:pt idx="47">
                  <c:v>80835.86455771637</c:v>
                </c:pt>
                <c:pt idx="48">
                  <c:v>82345.956998049121</c:v>
                </c:pt>
                <c:pt idx="49">
                  <c:v>83823.966264737945</c:v>
                </c:pt>
                <c:pt idx="50">
                  <c:v>85270.312545858847</c:v>
                </c:pt>
                <c:pt idx="51">
                  <c:v>86702.704363698926</c:v>
                </c:pt>
                <c:pt idx="52">
                  <c:v>88069.052129063828</c:v>
                </c:pt>
                <c:pt idx="53">
                  <c:v>89364.850617447781</c:v>
                </c:pt>
                <c:pt idx="54">
                  <c:v>90659.491197956886</c:v>
                </c:pt>
                <c:pt idx="55">
                  <c:v>91940.665475312286</c:v>
                </c:pt>
                <c:pt idx="56">
                  <c:v>93180.278866432112</c:v>
                </c:pt>
                <c:pt idx="57">
                  <c:v>94379.126496065117</c:v>
                </c:pt>
                <c:pt idx="58">
                  <c:v>95604.999665687501</c:v>
                </c:pt>
                <c:pt idx="59">
                  <c:v>96754.995884400385</c:v>
                </c:pt>
                <c:pt idx="60">
                  <c:v>97908.52717762682</c:v>
                </c:pt>
                <c:pt idx="61">
                  <c:v>99010.003205426867</c:v>
                </c:pt>
                <c:pt idx="62">
                  <c:v>100087.18442388406</c:v>
                </c:pt>
                <c:pt idx="63">
                  <c:v>101127.48726452555</c:v>
                </c:pt>
                <c:pt idx="64">
                  <c:v>102126.54652025501</c:v>
                </c:pt>
                <c:pt idx="65">
                  <c:v>103169.67310265562</c:v>
                </c:pt>
                <c:pt idx="66">
                  <c:v>104150.22437729481</c:v>
                </c:pt>
                <c:pt idx="67">
                  <c:v>105124.29113474909</c:v>
                </c:pt>
                <c:pt idx="68">
                  <c:v>106060.96383028859</c:v>
                </c:pt>
                <c:pt idx="69">
                  <c:v>106963.76836804347</c:v>
                </c:pt>
                <c:pt idx="70">
                  <c:v>107844.95334497505</c:v>
                </c:pt>
                <c:pt idx="71">
                  <c:v>108704.62405372682</c:v>
                </c:pt>
                <c:pt idx="72">
                  <c:v>109531.4875498146</c:v>
                </c:pt>
                <c:pt idx="73">
                  <c:v>110394.56489124575</c:v>
                </c:pt>
                <c:pt idx="74">
                  <c:v>111231.12512318793</c:v>
                </c:pt>
                <c:pt idx="75">
                  <c:v>112022.48541157103</c:v>
                </c:pt>
                <c:pt idx="76">
                  <c:v>112793.94133418077</c:v>
                </c:pt>
                <c:pt idx="77">
                  <c:v>113534.86133813547</c:v>
                </c:pt>
                <c:pt idx="78">
                  <c:v>114245.72714488095</c:v>
                </c:pt>
                <c:pt idx="79">
                  <c:v>114973.36518641099</c:v>
                </c:pt>
                <c:pt idx="80">
                  <c:v>115645.79566736113</c:v>
                </c:pt>
                <c:pt idx="81">
                  <c:v>116289.00019624118</c:v>
                </c:pt>
                <c:pt idx="82">
                  <c:v>117007.5866519133</c:v>
                </c:pt>
                <c:pt idx="83">
                  <c:v>117679.35847012699</c:v>
                </c:pt>
                <c:pt idx="84">
                  <c:v>118311.9789113218</c:v>
                </c:pt>
                <c:pt idx="85">
                  <c:v>118937.67676111434</c:v>
                </c:pt>
                <c:pt idx="86">
                  <c:v>119524.85625119288</c:v>
                </c:pt>
                <c:pt idx="87">
                  <c:v>120084.99603132709</c:v>
                </c:pt>
                <c:pt idx="88">
                  <c:v>120657.02769350121</c:v>
                </c:pt>
                <c:pt idx="89">
                  <c:v>121172.97853449127</c:v>
                </c:pt>
                <c:pt idx="90">
                  <c:v>121680.98358582854</c:v>
                </c:pt>
                <c:pt idx="91">
                  <c:v>122270.54426473485</c:v>
                </c:pt>
                <c:pt idx="92">
                  <c:v>122800.52520780043</c:v>
                </c:pt>
                <c:pt idx="93">
                  <c:v>123289.46867132132</c:v>
                </c:pt>
                <c:pt idx="94">
                  <c:v>123776.95905904866</c:v>
                </c:pt>
                <c:pt idx="95">
                  <c:v>124247.41610414399</c:v>
                </c:pt>
                <c:pt idx="96">
                  <c:v>124678.68836564268</c:v>
                </c:pt>
                <c:pt idx="97">
                  <c:v>125099.09407737851</c:v>
                </c:pt>
                <c:pt idx="98">
                  <c:v>125498.28330249595</c:v>
                </c:pt>
                <c:pt idx="99">
                  <c:v>125885.81808905533</c:v>
                </c:pt>
                <c:pt idx="100">
                  <c:v>126336.02525919002</c:v>
                </c:pt>
                <c:pt idx="101">
                  <c:v>126738.3952826278</c:v>
                </c:pt>
                <c:pt idx="102">
                  <c:v>127116.88206056839</c:v>
                </c:pt>
                <c:pt idx="103">
                  <c:v>127479.39636338332</c:v>
                </c:pt>
                <c:pt idx="104">
                  <c:v>127825.91337251918</c:v>
                </c:pt>
                <c:pt idx="105">
                  <c:v>128149.00570961076</c:v>
                </c:pt>
                <c:pt idx="106">
                  <c:v>128450.45203880205</c:v>
                </c:pt>
                <c:pt idx="107">
                  <c:v>128735.41237795018</c:v>
                </c:pt>
                <c:pt idx="108">
                  <c:v>129004.75397458693</c:v>
                </c:pt>
                <c:pt idx="109">
                  <c:v>129343.78159473249</c:v>
                </c:pt>
                <c:pt idx="110">
                  <c:v>129630.68196444103</c:v>
                </c:pt>
                <c:pt idx="111">
                  <c:v>129899.77260519494</c:v>
                </c:pt>
                <c:pt idx="112">
                  <c:v>130147.08186412379</c:v>
                </c:pt>
                <c:pt idx="113">
                  <c:v>130379.5036477391</c:v>
                </c:pt>
                <c:pt idx="114">
                  <c:v>130597.04109514593</c:v>
                </c:pt>
                <c:pt idx="115">
                  <c:v>130791.34342606357</c:v>
                </c:pt>
                <c:pt idx="116">
                  <c:v>130972.09844196925</c:v>
                </c:pt>
                <c:pt idx="117">
                  <c:v>131138.17842478779</c:v>
                </c:pt>
                <c:pt idx="118">
                  <c:v>131277.37691059936</c:v>
                </c:pt>
                <c:pt idx="119">
                  <c:v>131499.9436207689</c:v>
                </c:pt>
                <c:pt idx="120">
                  <c:v>131673.09790263785</c:v>
                </c:pt>
                <c:pt idx="121">
                  <c:v>131825.36356719965</c:v>
                </c:pt>
                <c:pt idx="122">
                  <c:v>131956.12330319133</c:v>
                </c:pt>
                <c:pt idx="123">
                  <c:v>132080.13177879323</c:v>
                </c:pt>
                <c:pt idx="124">
                  <c:v>132190.38923784561</c:v>
                </c:pt>
                <c:pt idx="125">
                  <c:v>132270.85435653204</c:v>
                </c:pt>
                <c:pt idx="126">
                  <c:v>132342.17386194482</c:v>
                </c:pt>
                <c:pt idx="127">
                  <c:v>132392.9154863302</c:v>
                </c:pt>
                <c:pt idx="128">
                  <c:v>132431.5046849458</c:v>
                </c:pt>
                <c:pt idx="129">
                  <c:v>132462.17415435595</c:v>
                </c:pt>
                <c:pt idx="130">
                  <c:v>132469.66360740844</c:v>
                </c:pt>
                <c:pt idx="131">
                  <c:v>132452.84396763687</c:v>
                </c:pt>
                <c:pt idx="132">
                  <c:v>132429.01177015511</c:v>
                </c:pt>
                <c:pt idx="133">
                  <c:v>132392.72332723974</c:v>
                </c:pt>
                <c:pt idx="134">
                  <c:v>132458.79053667706</c:v>
                </c:pt>
                <c:pt idx="135">
                  <c:v>132468.81606330595</c:v>
                </c:pt>
                <c:pt idx="136">
                  <c:v>132464.85292809195</c:v>
                </c:pt>
                <c:pt idx="137">
                  <c:v>132442.52511040305</c:v>
                </c:pt>
                <c:pt idx="138">
                  <c:v>132406.44228319611</c:v>
                </c:pt>
                <c:pt idx="139">
                  <c:v>132356.64458638817</c:v>
                </c:pt>
                <c:pt idx="140">
                  <c:v>132293.1781235814</c:v>
                </c:pt>
                <c:pt idx="141">
                  <c:v>132212.02073732612</c:v>
                </c:pt>
                <c:pt idx="142">
                  <c:v>132113.47426683907</c:v>
                </c:pt>
                <c:pt idx="143">
                  <c:v>132001.7545437658</c:v>
                </c:pt>
                <c:pt idx="144">
                  <c:v>131904.04383968911</c:v>
                </c:pt>
                <c:pt idx="145">
                  <c:v>131763.51568307352</c:v>
                </c:pt>
                <c:pt idx="146">
                  <c:v>131606.51385436361</c:v>
                </c:pt>
                <c:pt idx="147">
                  <c:v>131467.19656391902</c:v>
                </c:pt>
                <c:pt idx="148">
                  <c:v>131286.25843154159</c:v>
                </c:pt>
                <c:pt idx="149">
                  <c:v>131186.20829959263</c:v>
                </c:pt>
                <c:pt idx="150">
                  <c:v>131043.35514123488</c:v>
                </c:pt>
                <c:pt idx="151">
                  <c:v>130909.28362616416</c:v>
                </c:pt>
                <c:pt idx="152">
                  <c:v>130736.060662284</c:v>
                </c:pt>
                <c:pt idx="153">
                  <c:v>130577.45652766226</c:v>
                </c:pt>
                <c:pt idx="154">
                  <c:v>130374.5507953445</c:v>
                </c:pt>
                <c:pt idx="155">
                  <c:v>130188.86765899659</c:v>
                </c:pt>
                <c:pt idx="156">
                  <c:v>129957.08004441098</c:v>
                </c:pt>
                <c:pt idx="157">
                  <c:v>129747.95830894532</c:v>
                </c:pt>
                <c:pt idx="158">
                  <c:v>129525.03141530612</c:v>
                </c:pt>
                <c:pt idx="159">
                  <c:v>129253.30413943098</c:v>
                </c:pt>
                <c:pt idx="160">
                  <c:v>129005.26527691043</c:v>
                </c:pt>
                <c:pt idx="161">
                  <c:v>128744.25377729337</c:v>
                </c:pt>
                <c:pt idx="162">
                  <c:v>128475.52144164612</c:v>
                </c:pt>
                <c:pt idx="163">
                  <c:v>128191.79759395201</c:v>
                </c:pt>
                <c:pt idx="164">
                  <c:v>127909.70778373306</c:v>
                </c:pt>
                <c:pt idx="165">
                  <c:v>127651.78215394684</c:v>
                </c:pt>
                <c:pt idx="166">
                  <c:v>127382.21100005083</c:v>
                </c:pt>
                <c:pt idx="167">
                  <c:v>127101.11215395438</c:v>
                </c:pt>
                <c:pt idx="168">
                  <c:v>126808.60884339013</c:v>
                </c:pt>
                <c:pt idx="169">
                  <c:v>126502.88826456132</c:v>
                </c:pt>
                <c:pt idx="170">
                  <c:v>126184.28640754949</c:v>
                </c:pt>
                <c:pt idx="171">
                  <c:v>125854.94716907533</c:v>
                </c:pt>
                <c:pt idx="172">
                  <c:v>125515.00983608853</c:v>
                </c:pt>
                <c:pt idx="173">
                  <c:v>125164.61840120365</c:v>
                </c:pt>
                <c:pt idx="174">
                  <c:v>124800.69923459784</c:v>
                </c:pt>
                <c:pt idx="175">
                  <c:v>124476.11998931796</c:v>
                </c:pt>
                <c:pt idx="176">
                  <c:v>124093.47894546283</c:v>
                </c:pt>
                <c:pt idx="177">
                  <c:v>123699.82041242605</c:v>
                </c:pt>
                <c:pt idx="178">
                  <c:v>123296.85512543668</c:v>
                </c:pt>
                <c:pt idx="179">
                  <c:v>122936.7467409755</c:v>
                </c:pt>
                <c:pt idx="180">
                  <c:v>122555.91259341127</c:v>
                </c:pt>
                <c:pt idx="181">
                  <c:v>122208.53758080638</c:v>
                </c:pt>
                <c:pt idx="182">
                  <c:v>121805.75679838624</c:v>
                </c:pt>
                <c:pt idx="183">
                  <c:v>121391.38987476086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232-44F6-BA2B-F0DE66FAF6D0}"/>
            </c:ext>
          </c:extLst>
        </c:ser>
        <c:ser>
          <c:idx val="1"/>
          <c:order val="1"/>
          <c:tx>
            <c:v>SEV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0"/>
          </c:trendline>
          <c:xVal>
            <c:numRef>
              <c:f>'turnover balance'!$B$30:$B$213</c:f>
              <c:numCache>
                <c:formatCode>General</c:formatCode>
                <c:ptCount val="184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  <c:pt idx="41">
                  <c:v>56</c:v>
                </c:pt>
                <c:pt idx="42">
                  <c:v>57</c:v>
                </c:pt>
                <c:pt idx="43">
                  <c:v>58</c:v>
                </c:pt>
                <c:pt idx="44">
                  <c:v>59</c:v>
                </c:pt>
                <c:pt idx="45">
                  <c:v>60</c:v>
                </c:pt>
                <c:pt idx="46">
                  <c:v>61</c:v>
                </c:pt>
                <c:pt idx="47">
                  <c:v>62</c:v>
                </c:pt>
                <c:pt idx="48">
                  <c:v>63</c:v>
                </c:pt>
                <c:pt idx="49">
                  <c:v>64</c:v>
                </c:pt>
                <c:pt idx="50">
                  <c:v>65</c:v>
                </c:pt>
                <c:pt idx="51">
                  <c:v>66</c:v>
                </c:pt>
                <c:pt idx="52">
                  <c:v>67</c:v>
                </c:pt>
                <c:pt idx="53">
                  <c:v>68</c:v>
                </c:pt>
                <c:pt idx="54">
                  <c:v>69</c:v>
                </c:pt>
                <c:pt idx="55">
                  <c:v>70</c:v>
                </c:pt>
                <c:pt idx="56">
                  <c:v>71</c:v>
                </c:pt>
                <c:pt idx="57">
                  <c:v>72</c:v>
                </c:pt>
                <c:pt idx="58">
                  <c:v>73</c:v>
                </c:pt>
                <c:pt idx="59">
                  <c:v>74</c:v>
                </c:pt>
                <c:pt idx="60">
                  <c:v>75</c:v>
                </c:pt>
                <c:pt idx="61">
                  <c:v>76</c:v>
                </c:pt>
                <c:pt idx="62">
                  <c:v>77</c:v>
                </c:pt>
                <c:pt idx="63">
                  <c:v>78</c:v>
                </c:pt>
                <c:pt idx="64">
                  <c:v>79</c:v>
                </c:pt>
                <c:pt idx="65">
                  <c:v>80</c:v>
                </c:pt>
                <c:pt idx="66">
                  <c:v>81</c:v>
                </c:pt>
                <c:pt idx="67">
                  <c:v>82</c:v>
                </c:pt>
                <c:pt idx="68">
                  <c:v>83</c:v>
                </c:pt>
                <c:pt idx="69">
                  <c:v>84</c:v>
                </c:pt>
                <c:pt idx="70">
                  <c:v>85</c:v>
                </c:pt>
                <c:pt idx="71">
                  <c:v>86</c:v>
                </c:pt>
                <c:pt idx="72">
                  <c:v>87</c:v>
                </c:pt>
                <c:pt idx="73">
                  <c:v>88</c:v>
                </c:pt>
                <c:pt idx="74">
                  <c:v>89</c:v>
                </c:pt>
                <c:pt idx="75">
                  <c:v>90</c:v>
                </c:pt>
                <c:pt idx="76">
                  <c:v>91</c:v>
                </c:pt>
                <c:pt idx="77">
                  <c:v>92</c:v>
                </c:pt>
                <c:pt idx="78">
                  <c:v>93</c:v>
                </c:pt>
                <c:pt idx="79">
                  <c:v>94</c:v>
                </c:pt>
                <c:pt idx="80">
                  <c:v>95</c:v>
                </c:pt>
                <c:pt idx="81">
                  <c:v>96</c:v>
                </c:pt>
                <c:pt idx="82">
                  <c:v>97</c:v>
                </c:pt>
                <c:pt idx="83">
                  <c:v>98</c:v>
                </c:pt>
                <c:pt idx="84">
                  <c:v>99</c:v>
                </c:pt>
                <c:pt idx="85">
                  <c:v>100</c:v>
                </c:pt>
                <c:pt idx="86">
                  <c:v>101</c:v>
                </c:pt>
                <c:pt idx="87">
                  <c:v>102</c:v>
                </c:pt>
                <c:pt idx="88">
                  <c:v>103</c:v>
                </c:pt>
                <c:pt idx="89">
                  <c:v>104</c:v>
                </c:pt>
                <c:pt idx="90">
                  <c:v>105</c:v>
                </c:pt>
                <c:pt idx="91">
                  <c:v>106</c:v>
                </c:pt>
                <c:pt idx="92">
                  <c:v>107</c:v>
                </c:pt>
                <c:pt idx="93">
                  <c:v>108</c:v>
                </c:pt>
                <c:pt idx="94">
                  <c:v>109</c:v>
                </c:pt>
                <c:pt idx="95">
                  <c:v>110</c:v>
                </c:pt>
                <c:pt idx="96">
                  <c:v>111</c:v>
                </c:pt>
                <c:pt idx="97">
                  <c:v>112</c:v>
                </c:pt>
                <c:pt idx="98">
                  <c:v>113</c:v>
                </c:pt>
                <c:pt idx="99">
                  <c:v>114</c:v>
                </c:pt>
                <c:pt idx="100">
                  <c:v>115</c:v>
                </c:pt>
                <c:pt idx="101">
                  <c:v>116</c:v>
                </c:pt>
                <c:pt idx="102">
                  <c:v>117</c:v>
                </c:pt>
                <c:pt idx="103">
                  <c:v>118</c:v>
                </c:pt>
                <c:pt idx="104">
                  <c:v>119</c:v>
                </c:pt>
                <c:pt idx="105">
                  <c:v>120</c:v>
                </c:pt>
                <c:pt idx="106">
                  <c:v>121</c:v>
                </c:pt>
                <c:pt idx="107">
                  <c:v>122</c:v>
                </c:pt>
                <c:pt idx="108">
                  <c:v>123</c:v>
                </c:pt>
                <c:pt idx="109">
                  <c:v>124</c:v>
                </c:pt>
                <c:pt idx="110">
                  <c:v>125</c:v>
                </c:pt>
                <c:pt idx="111">
                  <c:v>126</c:v>
                </c:pt>
                <c:pt idx="112">
                  <c:v>127</c:v>
                </c:pt>
                <c:pt idx="113">
                  <c:v>128</c:v>
                </c:pt>
                <c:pt idx="114">
                  <c:v>129</c:v>
                </c:pt>
                <c:pt idx="115">
                  <c:v>130</c:v>
                </c:pt>
                <c:pt idx="116">
                  <c:v>131</c:v>
                </c:pt>
                <c:pt idx="117">
                  <c:v>132</c:v>
                </c:pt>
                <c:pt idx="118">
                  <c:v>133</c:v>
                </c:pt>
                <c:pt idx="119">
                  <c:v>134</c:v>
                </c:pt>
                <c:pt idx="120">
                  <c:v>135</c:v>
                </c:pt>
                <c:pt idx="121">
                  <c:v>136</c:v>
                </c:pt>
                <c:pt idx="122">
                  <c:v>137</c:v>
                </c:pt>
                <c:pt idx="123">
                  <c:v>138</c:v>
                </c:pt>
                <c:pt idx="124">
                  <c:v>139</c:v>
                </c:pt>
                <c:pt idx="125">
                  <c:v>140</c:v>
                </c:pt>
                <c:pt idx="126">
                  <c:v>141</c:v>
                </c:pt>
                <c:pt idx="127">
                  <c:v>142</c:v>
                </c:pt>
                <c:pt idx="128">
                  <c:v>143</c:v>
                </c:pt>
                <c:pt idx="129">
                  <c:v>144</c:v>
                </c:pt>
                <c:pt idx="130">
                  <c:v>145</c:v>
                </c:pt>
                <c:pt idx="131">
                  <c:v>146</c:v>
                </c:pt>
                <c:pt idx="132">
                  <c:v>147</c:v>
                </c:pt>
                <c:pt idx="133">
                  <c:v>148</c:v>
                </c:pt>
                <c:pt idx="134">
                  <c:v>149</c:v>
                </c:pt>
                <c:pt idx="135">
                  <c:v>150</c:v>
                </c:pt>
                <c:pt idx="136">
                  <c:v>151</c:v>
                </c:pt>
                <c:pt idx="137">
                  <c:v>152</c:v>
                </c:pt>
                <c:pt idx="138">
                  <c:v>153</c:v>
                </c:pt>
                <c:pt idx="139">
                  <c:v>154</c:v>
                </c:pt>
                <c:pt idx="140">
                  <c:v>155</c:v>
                </c:pt>
                <c:pt idx="141">
                  <c:v>156</c:v>
                </c:pt>
                <c:pt idx="142">
                  <c:v>157</c:v>
                </c:pt>
                <c:pt idx="143">
                  <c:v>158</c:v>
                </c:pt>
                <c:pt idx="144">
                  <c:v>159</c:v>
                </c:pt>
                <c:pt idx="145">
                  <c:v>160</c:v>
                </c:pt>
                <c:pt idx="146">
                  <c:v>161</c:v>
                </c:pt>
                <c:pt idx="147">
                  <c:v>162</c:v>
                </c:pt>
                <c:pt idx="148">
                  <c:v>163</c:v>
                </c:pt>
                <c:pt idx="149">
                  <c:v>164</c:v>
                </c:pt>
                <c:pt idx="150">
                  <c:v>165</c:v>
                </c:pt>
                <c:pt idx="151">
                  <c:v>166</c:v>
                </c:pt>
                <c:pt idx="152">
                  <c:v>167</c:v>
                </c:pt>
                <c:pt idx="153">
                  <c:v>168</c:v>
                </c:pt>
                <c:pt idx="154">
                  <c:v>169</c:v>
                </c:pt>
                <c:pt idx="155">
                  <c:v>170</c:v>
                </c:pt>
                <c:pt idx="156">
                  <c:v>171</c:v>
                </c:pt>
                <c:pt idx="157">
                  <c:v>172</c:v>
                </c:pt>
                <c:pt idx="158">
                  <c:v>173</c:v>
                </c:pt>
                <c:pt idx="159">
                  <c:v>174</c:v>
                </c:pt>
                <c:pt idx="160">
                  <c:v>175</c:v>
                </c:pt>
                <c:pt idx="161">
                  <c:v>176</c:v>
                </c:pt>
                <c:pt idx="162">
                  <c:v>177</c:v>
                </c:pt>
                <c:pt idx="163">
                  <c:v>178</c:v>
                </c:pt>
                <c:pt idx="164">
                  <c:v>179</c:v>
                </c:pt>
                <c:pt idx="165">
                  <c:v>180</c:v>
                </c:pt>
                <c:pt idx="166">
                  <c:v>181</c:v>
                </c:pt>
                <c:pt idx="167">
                  <c:v>182</c:v>
                </c:pt>
                <c:pt idx="168">
                  <c:v>183</c:v>
                </c:pt>
                <c:pt idx="169">
                  <c:v>184</c:v>
                </c:pt>
                <c:pt idx="170">
                  <c:v>185</c:v>
                </c:pt>
                <c:pt idx="171">
                  <c:v>186</c:v>
                </c:pt>
                <c:pt idx="172">
                  <c:v>187</c:v>
                </c:pt>
                <c:pt idx="173">
                  <c:v>188</c:v>
                </c:pt>
                <c:pt idx="174">
                  <c:v>189</c:v>
                </c:pt>
                <c:pt idx="175">
                  <c:v>190</c:v>
                </c:pt>
                <c:pt idx="176">
                  <c:v>191</c:v>
                </c:pt>
                <c:pt idx="177">
                  <c:v>192</c:v>
                </c:pt>
                <c:pt idx="178">
                  <c:v>193</c:v>
                </c:pt>
                <c:pt idx="179">
                  <c:v>194</c:v>
                </c:pt>
                <c:pt idx="180">
                  <c:v>195</c:v>
                </c:pt>
                <c:pt idx="181">
                  <c:v>196</c:v>
                </c:pt>
                <c:pt idx="182">
                  <c:v>197</c:v>
                </c:pt>
                <c:pt idx="183">
                  <c:v>198</c:v>
                </c:pt>
              </c:numCache>
            </c:numRef>
          </c:xVal>
          <c:yVal>
            <c:numRef>
              <c:f>'turnover balance'!$P$30:$P$213</c:f>
              <c:numCache>
                <c:formatCode>General</c:formatCode>
                <c:ptCount val="184"/>
                <c:pt idx="0">
                  <c:v>-272734.79578527412</c:v>
                </c:pt>
                <c:pt idx="1">
                  <c:v>-246718.41953171277</c:v>
                </c:pt>
                <c:pt idx="2">
                  <c:v>-221987.94037616279</c:v>
                </c:pt>
                <c:pt idx="3">
                  <c:v>-198210.98128557397</c:v>
                </c:pt>
                <c:pt idx="4">
                  <c:v>-175303.8719284487</c:v>
                </c:pt>
                <c:pt idx="5">
                  <c:v>-154774.9261264966</c:v>
                </c:pt>
                <c:pt idx="6">
                  <c:v>-134781.42330632239</c:v>
                </c:pt>
                <c:pt idx="7">
                  <c:v>-115578.6892998823</c:v>
                </c:pt>
                <c:pt idx="8">
                  <c:v>-96996.29195620252</c:v>
                </c:pt>
                <c:pt idx="9">
                  <c:v>-79250.363310866305</c:v>
                </c:pt>
                <c:pt idx="10">
                  <c:v>-64290.668734691739</c:v>
                </c:pt>
                <c:pt idx="11">
                  <c:v>-49645.544875572334</c:v>
                </c:pt>
                <c:pt idx="12">
                  <c:v>-35676.238062909761</c:v>
                </c:pt>
                <c:pt idx="13">
                  <c:v>-22432.590760986204</c:v>
                </c:pt>
                <c:pt idx="14">
                  <c:v>-9739.4364544126456</c:v>
                </c:pt>
                <c:pt idx="15">
                  <c:v>877.59828192871419</c:v>
                </c:pt>
                <c:pt idx="16">
                  <c:v>11148.959580780856</c:v>
                </c:pt>
                <c:pt idx="17">
                  <c:v>20917.160475681809</c:v>
                </c:pt>
                <c:pt idx="18">
                  <c:v>30091.254709471876</c:v>
                </c:pt>
                <c:pt idx="19">
                  <c:v>38790.388423954253</c:v>
                </c:pt>
                <c:pt idx="20">
                  <c:v>46025.98649932335</c:v>
                </c:pt>
                <c:pt idx="21">
                  <c:v>52979.558182566194</c:v>
                </c:pt>
                <c:pt idx="22">
                  <c:v>59518.819775310527</c:v>
                </c:pt>
                <c:pt idx="23">
                  <c:v>65691.104554583115</c:v>
                </c:pt>
                <c:pt idx="24">
                  <c:v>71554.197492115185</c:v>
                </c:pt>
                <c:pt idx="25">
                  <c:v>76635.968666462461</c:v>
                </c:pt>
                <c:pt idx="26">
                  <c:v>81419.656664291571</c:v>
                </c:pt>
                <c:pt idx="27">
                  <c:v>85976.580155525196</c:v>
                </c:pt>
                <c:pt idx="28">
                  <c:v>90284.136177389839</c:v>
                </c:pt>
                <c:pt idx="29">
                  <c:v>94335.383841180708</c:v>
                </c:pt>
                <c:pt idx="30">
                  <c:v>98136.914855911004</c:v>
                </c:pt>
                <c:pt idx="31">
                  <c:v>101482.57925516288</c:v>
                </c:pt>
                <c:pt idx="32">
                  <c:v>104557.06946045502</c:v>
                </c:pt>
                <c:pt idx="33">
                  <c:v>107491.29719942075</c:v>
                </c:pt>
                <c:pt idx="34">
                  <c:v>110270.80171323415</c:v>
                </c:pt>
                <c:pt idx="35">
                  <c:v>112898.59359894777</c:v>
                </c:pt>
                <c:pt idx="36">
                  <c:v>115384.54995394198</c:v>
                </c:pt>
                <c:pt idx="37">
                  <c:v>117694.80427062565</c:v>
                </c:pt>
                <c:pt idx="38">
                  <c:v>119751.77379293031</c:v>
                </c:pt>
                <c:pt idx="39">
                  <c:v>121739.15605501787</c:v>
                </c:pt>
                <c:pt idx="40">
                  <c:v>123628.22295928891</c:v>
                </c:pt>
                <c:pt idx="41">
                  <c:v>125382.45029052453</c:v>
                </c:pt>
                <c:pt idx="42">
                  <c:v>127088.93737360353</c:v>
                </c:pt>
                <c:pt idx="43">
                  <c:v>128666.99477644202</c:v>
                </c:pt>
                <c:pt idx="44">
                  <c:v>130236.45428147295</c:v>
                </c:pt>
                <c:pt idx="45">
                  <c:v>131608.71940282834</c:v>
                </c:pt>
                <c:pt idx="46">
                  <c:v>132916.84651247389</c:v>
                </c:pt>
                <c:pt idx="47">
                  <c:v>134120.20392095385</c:v>
                </c:pt>
                <c:pt idx="48">
                  <c:v>135307.61595728237</c:v>
                </c:pt>
                <c:pt idx="49">
                  <c:v>136439.38858208124</c:v>
                </c:pt>
                <c:pt idx="50">
                  <c:v>137517.94733002217</c:v>
                </c:pt>
                <c:pt idx="51">
                  <c:v>138573.21140775498</c:v>
                </c:pt>
                <c:pt idx="52">
                  <c:v>139523.42662455572</c:v>
                </c:pt>
                <c:pt idx="53">
                  <c:v>140364.35606770508</c:v>
                </c:pt>
                <c:pt idx="54">
                  <c:v>141206.91925721194</c:v>
                </c:pt>
                <c:pt idx="55">
                  <c:v>142032.11454223233</c:v>
                </c:pt>
                <c:pt idx="56">
                  <c:v>142797.35415606454</c:v>
                </c:pt>
                <c:pt idx="57">
                  <c:v>143505.29333256348</c:v>
                </c:pt>
                <c:pt idx="58">
                  <c:v>144259.55435715232</c:v>
                </c:pt>
                <c:pt idx="59">
                  <c:v>144904.98608468531</c:v>
                </c:pt>
                <c:pt idx="60">
                  <c:v>145562.04720656259</c:v>
                </c:pt>
                <c:pt idx="61">
                  <c:v>146148.407433682</c:v>
                </c:pt>
                <c:pt idx="62">
                  <c:v>146706.21830569612</c:v>
                </c:pt>
                <c:pt idx="63">
                  <c:v>147217.70313630879</c:v>
                </c:pt>
                <c:pt idx="64">
                  <c:v>147677.42748147866</c:v>
                </c:pt>
                <c:pt idx="65">
                  <c:v>148208.89654864906</c:v>
                </c:pt>
                <c:pt idx="66">
                  <c:v>148658.4349581993</c:v>
                </c:pt>
                <c:pt idx="67">
                  <c:v>149107.08535411771</c:v>
                </c:pt>
                <c:pt idx="68">
                  <c:v>149511.21116588029</c:v>
                </c:pt>
                <c:pt idx="69">
                  <c:v>149876.47688767864</c:v>
                </c:pt>
                <c:pt idx="70">
                  <c:v>150220.54053354959</c:v>
                </c:pt>
                <c:pt idx="71">
                  <c:v>150543.81582295621</c:v>
                </c:pt>
                <c:pt idx="72">
                  <c:v>150831.00130609437</c:v>
                </c:pt>
                <c:pt idx="73">
                  <c:v>151177.1094435906</c:v>
                </c:pt>
                <c:pt idx="74">
                  <c:v>151495.62775967436</c:v>
                </c:pt>
                <c:pt idx="75">
                  <c:v>151761.58855068422</c:v>
                </c:pt>
                <c:pt idx="76">
                  <c:v>152009.80173002149</c:v>
                </c:pt>
                <c:pt idx="77">
                  <c:v>152226.17174298968</c:v>
                </c:pt>
                <c:pt idx="78">
                  <c:v>152411.70480382963</c:v>
                </c:pt>
                <c:pt idx="79">
                  <c:v>152628.8980042141</c:v>
                </c:pt>
                <c:pt idx="80">
                  <c:v>152782.0750661715</c:v>
                </c:pt>
                <c:pt idx="81">
                  <c:v>152906.18998912818</c:v>
                </c:pt>
                <c:pt idx="82">
                  <c:v>153138.42927884034</c:v>
                </c:pt>
                <c:pt idx="83">
                  <c:v>153317.98542031884</c:v>
                </c:pt>
                <c:pt idx="84">
                  <c:v>153455.39545060013</c:v>
                </c:pt>
                <c:pt idx="85">
                  <c:v>153592.7160312272</c:v>
                </c:pt>
                <c:pt idx="86">
                  <c:v>153689.19998656737</c:v>
                </c:pt>
                <c:pt idx="87">
                  <c:v>153759.94095855276</c:v>
                </c:pt>
                <c:pt idx="88">
                  <c:v>153854.77625927501</c:v>
                </c:pt>
                <c:pt idx="89">
                  <c:v>153886.96221381551</c:v>
                </c:pt>
                <c:pt idx="90">
                  <c:v>153918.01267591518</c:v>
                </c:pt>
                <c:pt idx="91">
                  <c:v>154060.58313718066</c:v>
                </c:pt>
                <c:pt idx="92">
                  <c:v>154136.11630532285</c:v>
                </c:pt>
                <c:pt idx="93">
                  <c:v>154168.44806581951</c:v>
                </c:pt>
                <c:pt idx="94">
                  <c:v>154207.25721123919</c:v>
                </c:pt>
                <c:pt idx="95">
                  <c:v>154233.01274265698</c:v>
                </c:pt>
                <c:pt idx="96">
                  <c:v>154218.33706514075</c:v>
                </c:pt>
                <c:pt idx="97">
                  <c:v>154198.44172194059</c:v>
                </c:pt>
                <c:pt idx="98">
                  <c:v>154160.54547639791</c:v>
                </c:pt>
                <c:pt idx="99">
                  <c:v>154116.41664174525</c:v>
                </c:pt>
                <c:pt idx="100">
                  <c:v>154156.69119955332</c:v>
                </c:pt>
                <c:pt idx="101">
                  <c:v>154146.02122260642</c:v>
                </c:pt>
                <c:pt idx="102">
                  <c:v>154113.83010189782</c:v>
                </c:pt>
                <c:pt idx="103">
                  <c:v>154069.77066117819</c:v>
                </c:pt>
                <c:pt idx="104">
                  <c:v>154013.81137931903</c:v>
                </c:pt>
                <c:pt idx="105">
                  <c:v>153937.02733794742</c:v>
                </c:pt>
                <c:pt idx="106">
                  <c:v>153841.62378331722</c:v>
                </c:pt>
                <c:pt idx="107">
                  <c:v>153733.81443000663</c:v>
                </c:pt>
                <c:pt idx="108">
                  <c:v>153614.62707017083</c:v>
                </c:pt>
                <c:pt idx="109">
                  <c:v>153585.33926438232</c:v>
                </c:pt>
                <c:pt idx="110">
                  <c:v>153500.85177546428</c:v>
                </c:pt>
                <c:pt idx="111">
                  <c:v>153402.04310341703</c:v>
                </c:pt>
                <c:pt idx="112">
                  <c:v>153284.24780630189</c:v>
                </c:pt>
                <c:pt idx="113">
                  <c:v>153155.61119618572</c:v>
                </c:pt>
                <c:pt idx="114">
                  <c:v>153016.11817342383</c:v>
                </c:pt>
                <c:pt idx="115">
                  <c:v>152855.98966559386</c:v>
                </c:pt>
                <c:pt idx="116">
                  <c:v>152686.57230611984</c:v>
                </c:pt>
                <c:pt idx="117">
                  <c:v>152506.52096953284</c:v>
                </c:pt>
                <c:pt idx="118">
                  <c:v>152301.65001034536</c:v>
                </c:pt>
                <c:pt idx="119">
                  <c:v>152199.63936414433</c:v>
                </c:pt>
                <c:pt idx="120">
                  <c:v>152046.3465441711</c:v>
                </c:pt>
                <c:pt idx="121">
                  <c:v>151874.89592492898</c:v>
                </c:pt>
                <c:pt idx="122">
                  <c:v>151684.60779702134</c:v>
                </c:pt>
                <c:pt idx="123">
                  <c:v>151492.43753499765</c:v>
                </c:pt>
                <c:pt idx="124">
                  <c:v>151290.2936206428</c:v>
                </c:pt>
                <c:pt idx="125">
                  <c:v>151059.82868006034</c:v>
                </c:pt>
                <c:pt idx="126">
                  <c:v>150824.66042110976</c:v>
                </c:pt>
                <c:pt idx="127">
                  <c:v>150571.72440690786</c:v>
                </c:pt>
                <c:pt idx="128">
                  <c:v>150310.60126643867</c:v>
                </c:pt>
                <c:pt idx="129">
                  <c:v>150046.04424145783</c:v>
                </c:pt>
                <c:pt idx="130">
                  <c:v>149760.73197346326</c:v>
                </c:pt>
                <c:pt idx="131">
                  <c:v>149453.42231245479</c:v>
                </c:pt>
                <c:pt idx="132">
                  <c:v>149143.63160283005</c:v>
                </c:pt>
                <c:pt idx="133">
                  <c:v>148825.16586826052</c:v>
                </c:pt>
                <c:pt idx="134">
                  <c:v>148626.81159193238</c:v>
                </c:pt>
                <c:pt idx="135">
                  <c:v>148370.42231530233</c:v>
                </c:pt>
                <c:pt idx="136">
                  <c:v>148103.24892036468</c:v>
                </c:pt>
                <c:pt idx="137">
                  <c:v>147820.38529774625</c:v>
                </c:pt>
                <c:pt idx="138">
                  <c:v>147526.9703863374</c:v>
                </c:pt>
                <c:pt idx="139">
                  <c:v>147223.02457632811</c:v>
                </c:pt>
                <c:pt idx="140">
                  <c:v>146908.57442182495</c:v>
                </c:pt>
                <c:pt idx="141">
                  <c:v>146579.13565481541</c:v>
                </c:pt>
                <c:pt idx="142">
                  <c:v>146235.03867492228</c:v>
                </c:pt>
                <c:pt idx="143">
                  <c:v>145880.93642478323</c:v>
                </c:pt>
                <c:pt idx="144">
                  <c:v>145546.79399849116</c:v>
                </c:pt>
                <c:pt idx="145">
                  <c:v>145169.83717516848</c:v>
                </c:pt>
                <c:pt idx="146">
                  <c:v>144779.16750139921</c:v>
                </c:pt>
                <c:pt idx="147">
                  <c:v>144412.29396087007</c:v>
                </c:pt>
                <c:pt idx="148">
                  <c:v>144003.9895096526</c:v>
                </c:pt>
                <c:pt idx="149">
                  <c:v>143688.54586789708</c:v>
                </c:pt>
                <c:pt idx="150">
                  <c:v>143330.21117435957</c:v>
                </c:pt>
                <c:pt idx="151">
                  <c:v>142985.44226909272</c:v>
                </c:pt>
                <c:pt idx="152">
                  <c:v>142601.83421697991</c:v>
                </c:pt>
                <c:pt idx="153">
                  <c:v>142238.05108891294</c:v>
                </c:pt>
                <c:pt idx="154">
                  <c:v>141829.8519027791</c:v>
                </c:pt>
                <c:pt idx="155">
                  <c:v>141444.18981202922</c:v>
                </c:pt>
                <c:pt idx="156">
                  <c:v>141012.20011967214</c:v>
                </c:pt>
                <c:pt idx="157">
                  <c:v>140608.52225736156</c:v>
                </c:pt>
                <c:pt idx="158">
                  <c:v>140193.51293387264</c:v>
                </c:pt>
                <c:pt idx="159">
                  <c:v>139729.32122316034</c:v>
                </c:pt>
                <c:pt idx="160">
                  <c:v>139294.33373448276</c:v>
                </c:pt>
                <c:pt idx="161">
                  <c:v>138848.84717326312</c:v>
                </c:pt>
                <c:pt idx="162">
                  <c:v>138398.49635976777</c:v>
                </c:pt>
                <c:pt idx="163">
                  <c:v>137935.41603631343</c:v>
                </c:pt>
                <c:pt idx="164">
                  <c:v>137477.46041412768</c:v>
                </c:pt>
                <c:pt idx="165">
                  <c:v>137048.7437995057</c:v>
                </c:pt>
                <c:pt idx="166">
                  <c:v>136610.71072638864</c:v>
                </c:pt>
                <c:pt idx="167">
                  <c:v>136163.46360459513</c:v>
                </c:pt>
                <c:pt idx="168">
                  <c:v>135707.11019917109</c:v>
                </c:pt>
                <c:pt idx="169">
                  <c:v>135239.68811541729</c:v>
                </c:pt>
                <c:pt idx="170">
                  <c:v>134761.5378630319</c:v>
                </c:pt>
                <c:pt idx="171">
                  <c:v>134274.92731818053</c:v>
                </c:pt>
                <c:pt idx="172">
                  <c:v>133779.97870086532</c:v>
                </c:pt>
                <c:pt idx="173">
                  <c:v>133276.8188883132</c:v>
                </c:pt>
                <c:pt idx="174">
                  <c:v>132762.15152303406</c:v>
                </c:pt>
                <c:pt idx="175">
                  <c:v>132292.14672979782</c:v>
                </c:pt>
                <c:pt idx="176">
                  <c:v>131763.20927990065</c:v>
                </c:pt>
                <c:pt idx="177">
                  <c:v>131225.36030065466</c:v>
                </c:pt>
                <c:pt idx="178">
                  <c:v>130680.38886991415</c:v>
                </c:pt>
                <c:pt idx="179">
                  <c:v>130183.50481634757</c:v>
                </c:pt>
                <c:pt idx="180">
                  <c:v>129667.26346081664</c:v>
                </c:pt>
                <c:pt idx="181">
                  <c:v>129188.95008653418</c:v>
                </c:pt>
                <c:pt idx="182">
                  <c:v>128654.56289297738</c:v>
                </c:pt>
                <c:pt idx="183">
                  <c:v>128110.44451349844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232-44F6-BA2B-F0DE66FAF6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7571231"/>
        <c:axId val="1597571711"/>
      </c:scatterChart>
      <c:valAx>
        <c:axId val="1597571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 (Years)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7571711"/>
        <c:crosses val="autoZero"/>
        <c:crossBetween val="midCat"/>
      </c:valAx>
      <c:valAx>
        <c:axId val="1597571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75712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Price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'Assortment distribution &amp; Price'!$C$7:$V$7</c:f>
              <c:numCache>
                <c:formatCode>General</c:formatCode>
                <c:ptCount val="20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  <c:pt idx="15">
                  <c:v>77.5</c:v>
                </c:pt>
                <c:pt idx="16">
                  <c:v>82.5</c:v>
                </c:pt>
                <c:pt idx="17">
                  <c:v>87.5</c:v>
                </c:pt>
                <c:pt idx="18">
                  <c:v>92.5</c:v>
                </c:pt>
                <c:pt idx="19">
                  <c:v>97.5</c:v>
                </c:pt>
              </c:numCache>
            </c:numRef>
          </c:xVal>
          <c:yVal>
            <c:numRef>
              <c:f>'Assortment distribution &amp; Price'!$C$23:$V$23</c:f>
              <c:numCache>
                <c:formatCode>General</c:formatCode>
                <c:ptCount val="20"/>
                <c:pt idx="0">
                  <c:v>385.98766874128779</c:v>
                </c:pt>
                <c:pt idx="1">
                  <c:v>386.01009072715971</c:v>
                </c:pt>
                <c:pt idx="2">
                  <c:v>386.05551226899121</c:v>
                </c:pt>
                <c:pt idx="3">
                  <c:v>386.20536300330843</c:v>
                </c:pt>
                <c:pt idx="4">
                  <c:v>386.87920553843929</c:v>
                </c:pt>
                <c:pt idx="5">
                  <c:v>389.59570479793786</c:v>
                </c:pt>
                <c:pt idx="6">
                  <c:v>393.73248625258429</c:v>
                </c:pt>
                <c:pt idx="7">
                  <c:v>401.58688364773013</c:v>
                </c:pt>
                <c:pt idx="8">
                  <c:v>421.52694732243157</c:v>
                </c:pt>
                <c:pt idx="9">
                  <c:v>422.01818922488093</c:v>
                </c:pt>
                <c:pt idx="10">
                  <c:v>440.69719778927146</c:v>
                </c:pt>
                <c:pt idx="11">
                  <c:v>442.01689286640902</c:v>
                </c:pt>
                <c:pt idx="12">
                  <c:v>442.45998754211928</c:v>
                </c:pt>
                <c:pt idx="13">
                  <c:v>449.35474154543948</c:v>
                </c:pt>
                <c:pt idx="14">
                  <c:v>456.84060976927992</c:v>
                </c:pt>
                <c:pt idx="15">
                  <c:v>461.77054400226393</c:v>
                </c:pt>
                <c:pt idx="16">
                  <c:v>426.36813686391957</c:v>
                </c:pt>
                <c:pt idx="17">
                  <c:v>386</c:v>
                </c:pt>
                <c:pt idx="18">
                  <c:v>386</c:v>
                </c:pt>
                <c:pt idx="19">
                  <c:v>386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8D9-4CD6-AF00-27E2C8B0E907}"/>
            </c:ext>
          </c:extLst>
        </c:ser>
        <c:ser>
          <c:idx val="1"/>
          <c:order val="1"/>
          <c:tx>
            <c:v>Price Using Polynomium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'Assortment distribution &amp; Price'!$C$7:$V$7</c:f>
              <c:numCache>
                <c:formatCode>General</c:formatCode>
                <c:ptCount val="20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  <c:pt idx="15">
                  <c:v>77.5</c:v>
                </c:pt>
                <c:pt idx="16">
                  <c:v>82.5</c:v>
                </c:pt>
                <c:pt idx="17">
                  <c:v>87.5</c:v>
                </c:pt>
                <c:pt idx="18">
                  <c:v>92.5</c:v>
                </c:pt>
                <c:pt idx="19">
                  <c:v>97.5</c:v>
                </c:pt>
              </c:numCache>
            </c:numRef>
          </c:xVal>
          <c:yVal>
            <c:numRef>
              <c:f>'Assortment distribution &amp; Price'!$C$24:$V$24</c:f>
              <c:numCache>
                <c:formatCode>General</c:formatCode>
                <c:ptCount val="20"/>
                <c:pt idx="0">
                  <c:v>392.57949218749997</c:v>
                </c:pt>
                <c:pt idx="1">
                  <c:v>383.64011718749998</c:v>
                </c:pt>
                <c:pt idx="2">
                  <c:v>379.95011718749998</c:v>
                </c:pt>
                <c:pt idx="3">
                  <c:v>380.54949218749999</c:v>
                </c:pt>
                <c:pt idx="4">
                  <c:v>384.52324218749999</c:v>
                </c:pt>
                <c:pt idx="5">
                  <c:v>391.00136718750002</c:v>
                </c:pt>
                <c:pt idx="6">
                  <c:v>399.15886718749994</c:v>
                </c:pt>
                <c:pt idx="7">
                  <c:v>408.21574218749998</c:v>
                </c:pt>
                <c:pt idx="8">
                  <c:v>417.43699218749998</c:v>
                </c:pt>
                <c:pt idx="9">
                  <c:v>426.13261718749993</c:v>
                </c:pt>
                <c:pt idx="10">
                  <c:v>433.65761718749997</c:v>
                </c:pt>
                <c:pt idx="11">
                  <c:v>439.4119921875</c:v>
                </c:pt>
                <c:pt idx="12">
                  <c:v>442.84074218749998</c:v>
                </c:pt>
                <c:pt idx="13">
                  <c:v>443.43386718749997</c:v>
                </c:pt>
                <c:pt idx="14">
                  <c:v>440.72636718749993</c:v>
                </c:pt>
                <c:pt idx="15">
                  <c:v>434.29824218749991</c:v>
                </c:pt>
                <c:pt idx="16">
                  <c:v>423.77449218749996</c:v>
                </c:pt>
                <c:pt idx="17">
                  <c:v>408.82511718749998</c:v>
                </c:pt>
                <c:pt idx="18">
                  <c:v>389.16511718750002</c:v>
                </c:pt>
                <c:pt idx="19">
                  <c:v>364.55449218749987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8D9-4CD6-AF00-27E2C8B0E9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6116831"/>
        <c:axId val="1846106271"/>
      </c:scatterChart>
      <c:valAx>
        <c:axId val="1846116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Diameter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106271"/>
        <c:crosses val="autoZero"/>
        <c:crossBetween val="midCat"/>
      </c:valAx>
      <c:valAx>
        <c:axId val="1846106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1168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Volume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'turnover balance'!$G$29:$G$213</c:f>
              <c:numCache>
                <c:formatCode>General</c:formatCode>
                <c:ptCount val="185"/>
                <c:pt idx="0">
                  <c:v>3.6</c:v>
                </c:pt>
                <c:pt idx="1">
                  <c:v>4.0999999999999996</c:v>
                </c:pt>
                <c:pt idx="2">
                  <c:v>4.5999999999999996</c:v>
                </c:pt>
                <c:pt idx="3">
                  <c:v>5.2</c:v>
                </c:pt>
                <c:pt idx="4">
                  <c:v>5.7</c:v>
                </c:pt>
                <c:pt idx="5">
                  <c:v>6.2</c:v>
                </c:pt>
                <c:pt idx="6">
                  <c:v>6.8</c:v>
                </c:pt>
                <c:pt idx="7">
                  <c:v>7.3</c:v>
                </c:pt>
                <c:pt idx="8">
                  <c:v>7.8</c:v>
                </c:pt>
                <c:pt idx="9">
                  <c:v>8.3000000000000007</c:v>
                </c:pt>
                <c:pt idx="10">
                  <c:v>8.8000000000000007</c:v>
                </c:pt>
                <c:pt idx="11">
                  <c:v>9.6</c:v>
                </c:pt>
                <c:pt idx="12">
                  <c:v>10.1</c:v>
                </c:pt>
                <c:pt idx="13">
                  <c:v>10.5</c:v>
                </c:pt>
                <c:pt idx="14">
                  <c:v>11</c:v>
                </c:pt>
                <c:pt idx="15">
                  <c:v>11.4</c:v>
                </c:pt>
                <c:pt idx="16">
                  <c:v>12.2</c:v>
                </c:pt>
                <c:pt idx="17">
                  <c:v>12.7</c:v>
                </c:pt>
                <c:pt idx="18">
                  <c:v>13.1</c:v>
                </c:pt>
                <c:pt idx="19">
                  <c:v>13.6</c:v>
                </c:pt>
                <c:pt idx="20">
                  <c:v>14</c:v>
                </c:pt>
                <c:pt idx="21">
                  <c:v>14.8</c:v>
                </c:pt>
                <c:pt idx="22">
                  <c:v>15.3</c:v>
                </c:pt>
                <c:pt idx="23">
                  <c:v>15.7</c:v>
                </c:pt>
                <c:pt idx="24">
                  <c:v>16.2</c:v>
                </c:pt>
                <c:pt idx="25">
                  <c:v>16.600000000000001</c:v>
                </c:pt>
                <c:pt idx="26">
                  <c:v>17.399999999999999</c:v>
                </c:pt>
                <c:pt idx="27">
                  <c:v>17.8</c:v>
                </c:pt>
                <c:pt idx="28">
                  <c:v>18.3</c:v>
                </c:pt>
                <c:pt idx="29">
                  <c:v>18.7</c:v>
                </c:pt>
                <c:pt idx="30">
                  <c:v>19.100000000000001</c:v>
                </c:pt>
                <c:pt idx="31">
                  <c:v>19.600000000000001</c:v>
                </c:pt>
                <c:pt idx="32">
                  <c:v>20.5</c:v>
                </c:pt>
                <c:pt idx="33">
                  <c:v>20.9</c:v>
                </c:pt>
                <c:pt idx="34">
                  <c:v>21.4</c:v>
                </c:pt>
                <c:pt idx="35">
                  <c:v>21.8</c:v>
                </c:pt>
                <c:pt idx="36">
                  <c:v>22.3</c:v>
                </c:pt>
                <c:pt idx="37">
                  <c:v>22.7</c:v>
                </c:pt>
                <c:pt idx="38">
                  <c:v>23.6</c:v>
                </c:pt>
                <c:pt idx="39">
                  <c:v>24</c:v>
                </c:pt>
                <c:pt idx="40">
                  <c:v>24.5</c:v>
                </c:pt>
                <c:pt idx="41">
                  <c:v>25</c:v>
                </c:pt>
                <c:pt idx="42">
                  <c:v>25.4</c:v>
                </c:pt>
                <c:pt idx="43">
                  <c:v>25.9</c:v>
                </c:pt>
                <c:pt idx="44">
                  <c:v>26.3</c:v>
                </c:pt>
                <c:pt idx="45">
                  <c:v>27.2</c:v>
                </c:pt>
                <c:pt idx="46">
                  <c:v>27.7</c:v>
                </c:pt>
                <c:pt idx="47">
                  <c:v>28.2</c:v>
                </c:pt>
                <c:pt idx="48">
                  <c:v>28.6</c:v>
                </c:pt>
                <c:pt idx="49">
                  <c:v>29.1</c:v>
                </c:pt>
                <c:pt idx="50">
                  <c:v>29.6</c:v>
                </c:pt>
                <c:pt idx="51">
                  <c:v>30.1</c:v>
                </c:pt>
                <c:pt idx="52">
                  <c:v>30.9</c:v>
                </c:pt>
                <c:pt idx="53">
                  <c:v>31.4</c:v>
                </c:pt>
                <c:pt idx="54">
                  <c:v>31.8</c:v>
                </c:pt>
                <c:pt idx="55">
                  <c:v>32.299999999999997</c:v>
                </c:pt>
                <c:pt idx="56">
                  <c:v>32.799999999999997</c:v>
                </c:pt>
                <c:pt idx="57">
                  <c:v>33.299999999999997</c:v>
                </c:pt>
                <c:pt idx="58">
                  <c:v>33.799999999999997</c:v>
                </c:pt>
                <c:pt idx="59">
                  <c:v>34.5</c:v>
                </c:pt>
                <c:pt idx="60">
                  <c:v>35</c:v>
                </c:pt>
                <c:pt idx="61">
                  <c:v>35.6</c:v>
                </c:pt>
                <c:pt idx="62">
                  <c:v>36.1</c:v>
                </c:pt>
                <c:pt idx="63">
                  <c:v>36.6</c:v>
                </c:pt>
                <c:pt idx="64">
                  <c:v>37.1</c:v>
                </c:pt>
                <c:pt idx="65">
                  <c:v>37.5</c:v>
                </c:pt>
                <c:pt idx="66">
                  <c:v>38.200000000000003</c:v>
                </c:pt>
                <c:pt idx="67">
                  <c:v>38.700000000000003</c:v>
                </c:pt>
                <c:pt idx="68">
                  <c:v>39.299999999999997</c:v>
                </c:pt>
                <c:pt idx="69">
                  <c:v>39.799999999999997</c:v>
                </c:pt>
                <c:pt idx="70">
                  <c:v>40.299999999999997</c:v>
                </c:pt>
                <c:pt idx="71">
                  <c:v>40.799999999999997</c:v>
                </c:pt>
                <c:pt idx="72">
                  <c:v>41.3</c:v>
                </c:pt>
                <c:pt idx="73">
                  <c:v>41.8</c:v>
                </c:pt>
                <c:pt idx="74">
                  <c:v>42.5</c:v>
                </c:pt>
                <c:pt idx="75">
                  <c:v>43.1</c:v>
                </c:pt>
                <c:pt idx="76">
                  <c:v>43.6</c:v>
                </c:pt>
                <c:pt idx="77">
                  <c:v>44.1</c:v>
                </c:pt>
                <c:pt idx="78">
                  <c:v>44.6</c:v>
                </c:pt>
                <c:pt idx="79">
                  <c:v>45.1</c:v>
                </c:pt>
                <c:pt idx="80">
                  <c:v>45.7</c:v>
                </c:pt>
                <c:pt idx="81">
                  <c:v>46.2</c:v>
                </c:pt>
                <c:pt idx="82">
                  <c:v>46.7</c:v>
                </c:pt>
                <c:pt idx="83">
                  <c:v>47.5</c:v>
                </c:pt>
                <c:pt idx="84">
                  <c:v>48.1</c:v>
                </c:pt>
                <c:pt idx="85">
                  <c:v>48.6</c:v>
                </c:pt>
                <c:pt idx="86">
                  <c:v>49.2</c:v>
                </c:pt>
                <c:pt idx="87">
                  <c:v>49.7</c:v>
                </c:pt>
                <c:pt idx="88">
                  <c:v>50.2</c:v>
                </c:pt>
                <c:pt idx="89">
                  <c:v>50.8</c:v>
                </c:pt>
                <c:pt idx="90">
                  <c:v>51.3</c:v>
                </c:pt>
                <c:pt idx="91">
                  <c:v>51.8</c:v>
                </c:pt>
                <c:pt idx="92">
                  <c:v>52.7</c:v>
                </c:pt>
                <c:pt idx="93">
                  <c:v>53.3</c:v>
                </c:pt>
                <c:pt idx="94">
                  <c:v>53.8</c:v>
                </c:pt>
                <c:pt idx="95">
                  <c:v>54.4</c:v>
                </c:pt>
                <c:pt idx="96">
                  <c:v>55</c:v>
                </c:pt>
                <c:pt idx="97">
                  <c:v>55.5</c:v>
                </c:pt>
                <c:pt idx="98">
                  <c:v>56.1</c:v>
                </c:pt>
                <c:pt idx="99">
                  <c:v>56.6</c:v>
                </c:pt>
                <c:pt idx="100">
                  <c:v>57.2</c:v>
                </c:pt>
                <c:pt idx="101">
                  <c:v>58.1</c:v>
                </c:pt>
                <c:pt idx="102">
                  <c:v>58.7</c:v>
                </c:pt>
                <c:pt idx="103">
                  <c:v>59.3</c:v>
                </c:pt>
                <c:pt idx="104">
                  <c:v>59.9</c:v>
                </c:pt>
                <c:pt idx="105">
                  <c:v>60.5</c:v>
                </c:pt>
                <c:pt idx="106">
                  <c:v>61.1</c:v>
                </c:pt>
                <c:pt idx="107">
                  <c:v>61.6</c:v>
                </c:pt>
                <c:pt idx="108">
                  <c:v>62.2</c:v>
                </c:pt>
                <c:pt idx="109">
                  <c:v>62.8</c:v>
                </c:pt>
                <c:pt idx="110">
                  <c:v>63.7</c:v>
                </c:pt>
                <c:pt idx="111">
                  <c:v>64.400000000000006</c:v>
                </c:pt>
                <c:pt idx="112">
                  <c:v>65</c:v>
                </c:pt>
                <c:pt idx="113">
                  <c:v>65.599999999999994</c:v>
                </c:pt>
                <c:pt idx="114">
                  <c:v>66.2</c:v>
                </c:pt>
                <c:pt idx="115">
                  <c:v>66.8</c:v>
                </c:pt>
                <c:pt idx="116">
                  <c:v>67.5</c:v>
                </c:pt>
                <c:pt idx="117">
                  <c:v>68.099999999999994</c:v>
                </c:pt>
                <c:pt idx="118">
                  <c:v>68.7</c:v>
                </c:pt>
                <c:pt idx="119">
                  <c:v>69.3</c:v>
                </c:pt>
                <c:pt idx="120">
                  <c:v>70.3</c:v>
                </c:pt>
                <c:pt idx="121">
                  <c:v>70.900000000000006</c:v>
                </c:pt>
                <c:pt idx="122">
                  <c:v>71.599999999999994</c:v>
                </c:pt>
                <c:pt idx="123">
                  <c:v>72.3</c:v>
                </c:pt>
                <c:pt idx="124">
                  <c:v>72.900000000000006</c:v>
                </c:pt>
                <c:pt idx="125">
                  <c:v>73.5</c:v>
                </c:pt>
                <c:pt idx="126">
                  <c:v>74.2</c:v>
                </c:pt>
                <c:pt idx="127">
                  <c:v>74.8</c:v>
                </c:pt>
                <c:pt idx="128">
                  <c:v>75.5</c:v>
                </c:pt>
                <c:pt idx="129">
                  <c:v>76.099999999999994</c:v>
                </c:pt>
                <c:pt idx="130">
                  <c:v>76.7</c:v>
                </c:pt>
                <c:pt idx="131">
                  <c:v>77.3</c:v>
                </c:pt>
                <c:pt idx="132">
                  <c:v>78</c:v>
                </c:pt>
                <c:pt idx="133">
                  <c:v>78.599999999999994</c:v>
                </c:pt>
                <c:pt idx="134">
                  <c:v>79.2</c:v>
                </c:pt>
                <c:pt idx="135">
                  <c:v>80.5</c:v>
                </c:pt>
                <c:pt idx="136">
                  <c:v>81.2</c:v>
                </c:pt>
                <c:pt idx="137">
                  <c:v>81.900000000000006</c:v>
                </c:pt>
                <c:pt idx="138">
                  <c:v>82.6</c:v>
                </c:pt>
                <c:pt idx="139">
                  <c:v>83.3</c:v>
                </c:pt>
                <c:pt idx="140">
                  <c:v>84</c:v>
                </c:pt>
                <c:pt idx="141">
                  <c:v>84.7</c:v>
                </c:pt>
                <c:pt idx="142">
                  <c:v>85.4</c:v>
                </c:pt>
                <c:pt idx="143">
                  <c:v>86.1</c:v>
                </c:pt>
                <c:pt idx="144">
                  <c:v>86.8</c:v>
                </c:pt>
                <c:pt idx="145">
                  <c:v>87.4</c:v>
                </c:pt>
                <c:pt idx="146">
                  <c:v>88.1</c:v>
                </c:pt>
                <c:pt idx="147">
                  <c:v>88.8</c:v>
                </c:pt>
                <c:pt idx="148">
                  <c:v>89.4</c:v>
                </c:pt>
                <c:pt idx="149">
                  <c:v>90.1</c:v>
                </c:pt>
                <c:pt idx="150">
                  <c:v>91.5</c:v>
                </c:pt>
                <c:pt idx="151">
                  <c:v>92.3</c:v>
                </c:pt>
                <c:pt idx="152">
                  <c:v>93</c:v>
                </c:pt>
                <c:pt idx="153">
                  <c:v>93.8</c:v>
                </c:pt>
                <c:pt idx="154">
                  <c:v>94.5</c:v>
                </c:pt>
                <c:pt idx="155">
                  <c:v>95.3</c:v>
                </c:pt>
                <c:pt idx="156">
                  <c:v>96</c:v>
                </c:pt>
                <c:pt idx="157">
                  <c:v>96.8</c:v>
                </c:pt>
                <c:pt idx="158">
                  <c:v>97.5</c:v>
                </c:pt>
                <c:pt idx="159">
                  <c:v>98.2</c:v>
                </c:pt>
                <c:pt idx="160">
                  <c:v>99</c:v>
                </c:pt>
                <c:pt idx="161">
                  <c:v>99.7</c:v>
                </c:pt>
                <c:pt idx="162">
                  <c:v>100.4</c:v>
                </c:pt>
                <c:pt idx="163">
                  <c:v>101.1</c:v>
                </c:pt>
                <c:pt idx="164">
                  <c:v>101.8</c:v>
                </c:pt>
                <c:pt idx="165">
                  <c:v>103.4</c:v>
                </c:pt>
                <c:pt idx="166">
                  <c:v>104.2</c:v>
                </c:pt>
                <c:pt idx="167">
                  <c:v>105</c:v>
                </c:pt>
                <c:pt idx="168">
                  <c:v>105.8</c:v>
                </c:pt>
                <c:pt idx="169">
                  <c:v>106.6</c:v>
                </c:pt>
                <c:pt idx="170">
                  <c:v>107.4</c:v>
                </c:pt>
                <c:pt idx="171">
                  <c:v>108.2</c:v>
                </c:pt>
                <c:pt idx="172">
                  <c:v>109</c:v>
                </c:pt>
                <c:pt idx="173">
                  <c:v>109.8</c:v>
                </c:pt>
                <c:pt idx="174">
                  <c:v>110.6</c:v>
                </c:pt>
                <c:pt idx="175">
                  <c:v>111.4</c:v>
                </c:pt>
                <c:pt idx="176">
                  <c:v>112.1</c:v>
                </c:pt>
                <c:pt idx="177">
                  <c:v>112.9</c:v>
                </c:pt>
                <c:pt idx="178">
                  <c:v>113.7</c:v>
                </c:pt>
                <c:pt idx="179">
                  <c:v>114.5</c:v>
                </c:pt>
                <c:pt idx="180">
                  <c:v>116.1</c:v>
                </c:pt>
                <c:pt idx="181">
                  <c:v>117</c:v>
                </c:pt>
                <c:pt idx="182">
                  <c:v>117.8</c:v>
                </c:pt>
                <c:pt idx="183">
                  <c:v>118.7</c:v>
                </c:pt>
                <c:pt idx="184">
                  <c:v>119.6</c:v>
                </c:pt>
              </c:numCache>
            </c:numRef>
          </c:xVal>
          <c:yVal>
            <c:numRef>
              <c:f>'turnover balance'!$H$29:$H$213</c:f>
              <c:numCache>
                <c:formatCode>General</c:formatCode>
                <c:ptCount val="185"/>
                <c:pt idx="0">
                  <c:v>17</c:v>
                </c:pt>
                <c:pt idx="1">
                  <c:v>23.4</c:v>
                </c:pt>
                <c:pt idx="2">
                  <c:v>31.3</c:v>
                </c:pt>
                <c:pt idx="3">
                  <c:v>40.700000000000003</c:v>
                </c:pt>
                <c:pt idx="4">
                  <c:v>51.7</c:v>
                </c:pt>
                <c:pt idx="5">
                  <c:v>64.3</c:v>
                </c:pt>
                <c:pt idx="6">
                  <c:v>67.5</c:v>
                </c:pt>
                <c:pt idx="7">
                  <c:v>81.7</c:v>
                </c:pt>
                <c:pt idx="8">
                  <c:v>97.2</c:v>
                </c:pt>
                <c:pt idx="9">
                  <c:v>114.1</c:v>
                </c:pt>
                <c:pt idx="10">
                  <c:v>132.1</c:v>
                </c:pt>
                <c:pt idx="11">
                  <c:v>122.8</c:v>
                </c:pt>
                <c:pt idx="12">
                  <c:v>140.4</c:v>
                </c:pt>
                <c:pt idx="13">
                  <c:v>158.80000000000001</c:v>
                </c:pt>
                <c:pt idx="14">
                  <c:v>177.9</c:v>
                </c:pt>
                <c:pt idx="15">
                  <c:v>197.8</c:v>
                </c:pt>
                <c:pt idx="16">
                  <c:v>182.5</c:v>
                </c:pt>
                <c:pt idx="17">
                  <c:v>201.2</c:v>
                </c:pt>
                <c:pt idx="18">
                  <c:v>220.4</c:v>
                </c:pt>
                <c:pt idx="19">
                  <c:v>239.9</c:v>
                </c:pt>
                <c:pt idx="20">
                  <c:v>259.8</c:v>
                </c:pt>
                <c:pt idx="21">
                  <c:v>229.4</c:v>
                </c:pt>
                <c:pt idx="22">
                  <c:v>247.6</c:v>
                </c:pt>
                <c:pt idx="23">
                  <c:v>266</c:v>
                </c:pt>
                <c:pt idx="24">
                  <c:v>284.60000000000002</c:v>
                </c:pt>
                <c:pt idx="25">
                  <c:v>303.5</c:v>
                </c:pt>
                <c:pt idx="26">
                  <c:v>277.2</c:v>
                </c:pt>
                <c:pt idx="27">
                  <c:v>294.8</c:v>
                </c:pt>
                <c:pt idx="28">
                  <c:v>312.60000000000002</c:v>
                </c:pt>
                <c:pt idx="29">
                  <c:v>330.6</c:v>
                </c:pt>
                <c:pt idx="30">
                  <c:v>348.7</c:v>
                </c:pt>
                <c:pt idx="31">
                  <c:v>366.8</c:v>
                </c:pt>
                <c:pt idx="32">
                  <c:v>312.10000000000002</c:v>
                </c:pt>
                <c:pt idx="33">
                  <c:v>328.6</c:v>
                </c:pt>
                <c:pt idx="34">
                  <c:v>345.2</c:v>
                </c:pt>
                <c:pt idx="35">
                  <c:v>362</c:v>
                </c:pt>
                <c:pt idx="36">
                  <c:v>378.8</c:v>
                </c:pt>
                <c:pt idx="37">
                  <c:v>395.8</c:v>
                </c:pt>
                <c:pt idx="38">
                  <c:v>344.3</c:v>
                </c:pt>
                <c:pt idx="39">
                  <c:v>360</c:v>
                </c:pt>
                <c:pt idx="40">
                  <c:v>375.8</c:v>
                </c:pt>
                <c:pt idx="41">
                  <c:v>391.7</c:v>
                </c:pt>
                <c:pt idx="42">
                  <c:v>407.7</c:v>
                </c:pt>
                <c:pt idx="43">
                  <c:v>423.8</c:v>
                </c:pt>
                <c:pt idx="44">
                  <c:v>440</c:v>
                </c:pt>
                <c:pt idx="45">
                  <c:v>378.4</c:v>
                </c:pt>
                <c:pt idx="46">
                  <c:v>393.4</c:v>
                </c:pt>
                <c:pt idx="47">
                  <c:v>408.5</c:v>
                </c:pt>
                <c:pt idx="48">
                  <c:v>423.7</c:v>
                </c:pt>
                <c:pt idx="49">
                  <c:v>439</c:v>
                </c:pt>
                <c:pt idx="50">
                  <c:v>454.4</c:v>
                </c:pt>
                <c:pt idx="51">
                  <c:v>469.9</c:v>
                </c:pt>
                <c:pt idx="52">
                  <c:v>410.8</c:v>
                </c:pt>
                <c:pt idx="53">
                  <c:v>425.4</c:v>
                </c:pt>
                <c:pt idx="54">
                  <c:v>440</c:v>
                </c:pt>
                <c:pt idx="55">
                  <c:v>454.7</c:v>
                </c:pt>
                <c:pt idx="56">
                  <c:v>469.6</c:v>
                </c:pt>
                <c:pt idx="57">
                  <c:v>484.5</c:v>
                </c:pt>
                <c:pt idx="58">
                  <c:v>499.4</c:v>
                </c:pt>
                <c:pt idx="59">
                  <c:v>442.2</c:v>
                </c:pt>
                <c:pt idx="60">
                  <c:v>456.4</c:v>
                </c:pt>
                <c:pt idx="61">
                  <c:v>470.7</c:v>
                </c:pt>
                <c:pt idx="62">
                  <c:v>485.1</c:v>
                </c:pt>
                <c:pt idx="63">
                  <c:v>499.6</c:v>
                </c:pt>
                <c:pt idx="64">
                  <c:v>514.1</c:v>
                </c:pt>
                <c:pt idx="65">
                  <c:v>528.79999999999995</c:v>
                </c:pt>
                <c:pt idx="66">
                  <c:v>481.7</c:v>
                </c:pt>
                <c:pt idx="67">
                  <c:v>495.8</c:v>
                </c:pt>
                <c:pt idx="68">
                  <c:v>509.9</c:v>
                </c:pt>
                <c:pt idx="69">
                  <c:v>524.20000000000005</c:v>
                </c:pt>
                <c:pt idx="70">
                  <c:v>538.5</c:v>
                </c:pt>
                <c:pt idx="71">
                  <c:v>552.9</c:v>
                </c:pt>
                <c:pt idx="72">
                  <c:v>567.4</c:v>
                </c:pt>
                <c:pt idx="73">
                  <c:v>581.9</c:v>
                </c:pt>
                <c:pt idx="74">
                  <c:v>515.70000000000005</c:v>
                </c:pt>
                <c:pt idx="75">
                  <c:v>529.6</c:v>
                </c:pt>
                <c:pt idx="76">
                  <c:v>543.6</c:v>
                </c:pt>
                <c:pt idx="77">
                  <c:v>557.70000000000005</c:v>
                </c:pt>
                <c:pt idx="78">
                  <c:v>571.79999999999995</c:v>
                </c:pt>
                <c:pt idx="79">
                  <c:v>585.9</c:v>
                </c:pt>
                <c:pt idx="80">
                  <c:v>600.20000000000005</c:v>
                </c:pt>
                <c:pt idx="81">
                  <c:v>614.5</c:v>
                </c:pt>
                <c:pt idx="82">
                  <c:v>628.79999999999995</c:v>
                </c:pt>
                <c:pt idx="83">
                  <c:v>546.9</c:v>
                </c:pt>
                <c:pt idx="84">
                  <c:v>560.6</c:v>
                </c:pt>
                <c:pt idx="85">
                  <c:v>574.4</c:v>
                </c:pt>
                <c:pt idx="86">
                  <c:v>588.20000000000005</c:v>
                </c:pt>
                <c:pt idx="87">
                  <c:v>602.1</c:v>
                </c:pt>
                <c:pt idx="88">
                  <c:v>616</c:v>
                </c:pt>
                <c:pt idx="89">
                  <c:v>630.1</c:v>
                </c:pt>
                <c:pt idx="90">
                  <c:v>644.1</c:v>
                </c:pt>
                <c:pt idx="91">
                  <c:v>658.3</c:v>
                </c:pt>
                <c:pt idx="92">
                  <c:v>577.6</c:v>
                </c:pt>
                <c:pt idx="93">
                  <c:v>591.20000000000005</c:v>
                </c:pt>
                <c:pt idx="94">
                  <c:v>604.79999999999995</c:v>
                </c:pt>
                <c:pt idx="95">
                  <c:v>618.5</c:v>
                </c:pt>
                <c:pt idx="96">
                  <c:v>632.29999999999995</c:v>
                </c:pt>
                <c:pt idx="97">
                  <c:v>646.1</c:v>
                </c:pt>
                <c:pt idx="98">
                  <c:v>659.9</c:v>
                </c:pt>
                <c:pt idx="99">
                  <c:v>673.9</c:v>
                </c:pt>
                <c:pt idx="100">
                  <c:v>687.9</c:v>
                </c:pt>
                <c:pt idx="101">
                  <c:v>604.9</c:v>
                </c:pt>
                <c:pt idx="102">
                  <c:v>618.4</c:v>
                </c:pt>
                <c:pt idx="103">
                  <c:v>631.9</c:v>
                </c:pt>
                <c:pt idx="104">
                  <c:v>645.5</c:v>
                </c:pt>
                <c:pt idx="105">
                  <c:v>659.2</c:v>
                </c:pt>
                <c:pt idx="106">
                  <c:v>672.9</c:v>
                </c:pt>
                <c:pt idx="107">
                  <c:v>686.7</c:v>
                </c:pt>
                <c:pt idx="108">
                  <c:v>700.5</c:v>
                </c:pt>
                <c:pt idx="109">
                  <c:v>714.4</c:v>
                </c:pt>
                <c:pt idx="110">
                  <c:v>632</c:v>
                </c:pt>
                <c:pt idx="111">
                  <c:v>645.4</c:v>
                </c:pt>
                <c:pt idx="112">
                  <c:v>658.9</c:v>
                </c:pt>
                <c:pt idx="113">
                  <c:v>672.4</c:v>
                </c:pt>
                <c:pt idx="114">
                  <c:v>686</c:v>
                </c:pt>
                <c:pt idx="115">
                  <c:v>699.7</c:v>
                </c:pt>
                <c:pt idx="116">
                  <c:v>713.4</c:v>
                </c:pt>
                <c:pt idx="117">
                  <c:v>727.2</c:v>
                </c:pt>
                <c:pt idx="118">
                  <c:v>741.1</c:v>
                </c:pt>
                <c:pt idx="119">
                  <c:v>754.9</c:v>
                </c:pt>
                <c:pt idx="120">
                  <c:v>660.6</c:v>
                </c:pt>
                <c:pt idx="121">
                  <c:v>674</c:v>
                </c:pt>
                <c:pt idx="122">
                  <c:v>687.5</c:v>
                </c:pt>
                <c:pt idx="123">
                  <c:v>701</c:v>
                </c:pt>
                <c:pt idx="124">
                  <c:v>714.6</c:v>
                </c:pt>
                <c:pt idx="125">
                  <c:v>728.3</c:v>
                </c:pt>
                <c:pt idx="126">
                  <c:v>742</c:v>
                </c:pt>
                <c:pt idx="127">
                  <c:v>755.7</c:v>
                </c:pt>
                <c:pt idx="128">
                  <c:v>769.6</c:v>
                </c:pt>
                <c:pt idx="129">
                  <c:v>783.4</c:v>
                </c:pt>
                <c:pt idx="130">
                  <c:v>797.4</c:v>
                </c:pt>
                <c:pt idx="131">
                  <c:v>811.3</c:v>
                </c:pt>
                <c:pt idx="132">
                  <c:v>825.4</c:v>
                </c:pt>
                <c:pt idx="133">
                  <c:v>839.4</c:v>
                </c:pt>
                <c:pt idx="134">
                  <c:v>853.5</c:v>
                </c:pt>
                <c:pt idx="135">
                  <c:v>703.3</c:v>
                </c:pt>
                <c:pt idx="136">
                  <c:v>716.7</c:v>
                </c:pt>
                <c:pt idx="137">
                  <c:v>730.2</c:v>
                </c:pt>
                <c:pt idx="138">
                  <c:v>743.7</c:v>
                </c:pt>
                <c:pt idx="139">
                  <c:v>757.3</c:v>
                </c:pt>
                <c:pt idx="140">
                  <c:v>771</c:v>
                </c:pt>
                <c:pt idx="141">
                  <c:v>784.8</c:v>
                </c:pt>
                <c:pt idx="142">
                  <c:v>798.6</c:v>
                </c:pt>
                <c:pt idx="143">
                  <c:v>812.4</c:v>
                </c:pt>
                <c:pt idx="144">
                  <c:v>826.3</c:v>
                </c:pt>
                <c:pt idx="145">
                  <c:v>840.3</c:v>
                </c:pt>
                <c:pt idx="146">
                  <c:v>854.3</c:v>
                </c:pt>
                <c:pt idx="147">
                  <c:v>868.3</c:v>
                </c:pt>
                <c:pt idx="148">
                  <c:v>882.4</c:v>
                </c:pt>
                <c:pt idx="149">
                  <c:v>896.6</c:v>
                </c:pt>
                <c:pt idx="150">
                  <c:v>746.1</c:v>
                </c:pt>
                <c:pt idx="151">
                  <c:v>759.7</c:v>
                </c:pt>
                <c:pt idx="152">
                  <c:v>773.2</c:v>
                </c:pt>
                <c:pt idx="153">
                  <c:v>786.9</c:v>
                </c:pt>
                <c:pt idx="154">
                  <c:v>800.6</c:v>
                </c:pt>
                <c:pt idx="155">
                  <c:v>814.4</c:v>
                </c:pt>
                <c:pt idx="156">
                  <c:v>828.2</c:v>
                </c:pt>
                <c:pt idx="157">
                  <c:v>842.1</c:v>
                </c:pt>
                <c:pt idx="158">
                  <c:v>856.1</c:v>
                </c:pt>
                <c:pt idx="159">
                  <c:v>870.1</c:v>
                </c:pt>
                <c:pt idx="160">
                  <c:v>884.2</c:v>
                </c:pt>
                <c:pt idx="161">
                  <c:v>898.3</c:v>
                </c:pt>
                <c:pt idx="162">
                  <c:v>912.4</c:v>
                </c:pt>
                <c:pt idx="163">
                  <c:v>926.7</c:v>
                </c:pt>
                <c:pt idx="164">
                  <c:v>940.9</c:v>
                </c:pt>
                <c:pt idx="165">
                  <c:v>789.6</c:v>
                </c:pt>
                <c:pt idx="166">
                  <c:v>803.2</c:v>
                </c:pt>
                <c:pt idx="167">
                  <c:v>816.9</c:v>
                </c:pt>
                <c:pt idx="168">
                  <c:v>830.7</c:v>
                </c:pt>
                <c:pt idx="169">
                  <c:v>844.6</c:v>
                </c:pt>
                <c:pt idx="170">
                  <c:v>858.5</c:v>
                </c:pt>
                <c:pt idx="171">
                  <c:v>872.4</c:v>
                </c:pt>
                <c:pt idx="172">
                  <c:v>886.4</c:v>
                </c:pt>
                <c:pt idx="173">
                  <c:v>900.5</c:v>
                </c:pt>
                <c:pt idx="174">
                  <c:v>914.7</c:v>
                </c:pt>
                <c:pt idx="175">
                  <c:v>928.8</c:v>
                </c:pt>
                <c:pt idx="176">
                  <c:v>943.1</c:v>
                </c:pt>
                <c:pt idx="177">
                  <c:v>957.4</c:v>
                </c:pt>
                <c:pt idx="178">
                  <c:v>971.7</c:v>
                </c:pt>
                <c:pt idx="179">
                  <c:v>986.1</c:v>
                </c:pt>
                <c:pt idx="180">
                  <c:v>833.4</c:v>
                </c:pt>
                <c:pt idx="181">
                  <c:v>847.3</c:v>
                </c:pt>
                <c:pt idx="182">
                  <c:v>861.2</c:v>
                </c:pt>
                <c:pt idx="183">
                  <c:v>875.2</c:v>
                </c:pt>
                <c:pt idx="184">
                  <c:v>889.2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29-4E92-AF6D-1610D1E109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7010495"/>
        <c:axId val="1847020095"/>
      </c:scatterChart>
      <c:valAx>
        <c:axId val="1847010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Diameter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020095"/>
        <c:crosses val="autoZero"/>
        <c:crossBetween val="midCat"/>
      </c:valAx>
      <c:valAx>
        <c:axId val="1847020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0104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'turnover balance'!$V$1:$V$4</c:f>
              <c:strCache>
                <c:ptCount val="4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'turnover balance'!$B$5:$B$214</c:f>
              <c:strCache>
                <c:ptCount val="209"/>
                <c:pt idx="0">
                  <c:v>Basic assumptions</c:v>
                </c:pt>
                <c:pt idx="1">
                  <c:v>interest rate</c:v>
                </c:pt>
                <c:pt idx="7">
                  <c:v>Time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  <c:pt idx="21">
                  <c:v>11</c:v>
                </c:pt>
                <c:pt idx="22">
                  <c:v>12</c:v>
                </c:pt>
                <c:pt idx="23">
                  <c:v>13</c:v>
                </c:pt>
                <c:pt idx="24">
                  <c:v>14</c:v>
                </c:pt>
                <c:pt idx="25">
                  <c:v>15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20</c:v>
                </c:pt>
                <c:pt idx="31">
                  <c:v>21</c:v>
                </c:pt>
                <c:pt idx="32">
                  <c:v>22</c:v>
                </c:pt>
                <c:pt idx="33">
                  <c:v>23</c:v>
                </c:pt>
                <c:pt idx="34">
                  <c:v>24</c:v>
                </c:pt>
                <c:pt idx="35">
                  <c:v>25</c:v>
                </c:pt>
                <c:pt idx="36">
                  <c:v>26</c:v>
                </c:pt>
                <c:pt idx="37">
                  <c:v>27</c:v>
                </c:pt>
                <c:pt idx="38">
                  <c:v>28</c:v>
                </c:pt>
                <c:pt idx="39">
                  <c:v>29</c:v>
                </c:pt>
                <c:pt idx="40">
                  <c:v>30</c:v>
                </c:pt>
                <c:pt idx="41">
                  <c:v>31</c:v>
                </c:pt>
                <c:pt idx="42">
                  <c:v>32</c:v>
                </c:pt>
                <c:pt idx="43">
                  <c:v>33</c:v>
                </c:pt>
                <c:pt idx="44">
                  <c:v>34</c:v>
                </c:pt>
                <c:pt idx="45">
                  <c:v>35</c:v>
                </c:pt>
                <c:pt idx="46">
                  <c:v>36</c:v>
                </c:pt>
                <c:pt idx="47">
                  <c:v>37</c:v>
                </c:pt>
                <c:pt idx="48">
                  <c:v>38</c:v>
                </c:pt>
                <c:pt idx="49">
                  <c:v>39</c:v>
                </c:pt>
                <c:pt idx="50">
                  <c:v>40</c:v>
                </c:pt>
                <c:pt idx="51">
                  <c:v>41</c:v>
                </c:pt>
                <c:pt idx="52">
                  <c:v>42</c:v>
                </c:pt>
                <c:pt idx="53">
                  <c:v>43</c:v>
                </c:pt>
                <c:pt idx="54">
                  <c:v>44</c:v>
                </c:pt>
                <c:pt idx="55">
                  <c:v>45</c:v>
                </c:pt>
                <c:pt idx="56">
                  <c:v>46</c:v>
                </c:pt>
                <c:pt idx="57">
                  <c:v>47</c:v>
                </c:pt>
                <c:pt idx="58">
                  <c:v>48</c:v>
                </c:pt>
                <c:pt idx="59">
                  <c:v>49</c:v>
                </c:pt>
                <c:pt idx="60">
                  <c:v>50</c:v>
                </c:pt>
                <c:pt idx="61">
                  <c:v>51</c:v>
                </c:pt>
                <c:pt idx="62">
                  <c:v>52</c:v>
                </c:pt>
                <c:pt idx="63">
                  <c:v>53</c:v>
                </c:pt>
                <c:pt idx="64">
                  <c:v>54</c:v>
                </c:pt>
                <c:pt idx="65">
                  <c:v>55</c:v>
                </c:pt>
                <c:pt idx="66">
                  <c:v>56</c:v>
                </c:pt>
                <c:pt idx="67">
                  <c:v>57</c:v>
                </c:pt>
                <c:pt idx="68">
                  <c:v>58</c:v>
                </c:pt>
                <c:pt idx="69">
                  <c:v>59</c:v>
                </c:pt>
                <c:pt idx="70">
                  <c:v>60</c:v>
                </c:pt>
                <c:pt idx="71">
                  <c:v>61</c:v>
                </c:pt>
                <c:pt idx="72">
                  <c:v>62</c:v>
                </c:pt>
                <c:pt idx="73">
                  <c:v>63</c:v>
                </c:pt>
                <c:pt idx="74">
                  <c:v>64</c:v>
                </c:pt>
                <c:pt idx="75">
                  <c:v>65</c:v>
                </c:pt>
                <c:pt idx="76">
                  <c:v>66</c:v>
                </c:pt>
                <c:pt idx="77">
                  <c:v>67</c:v>
                </c:pt>
                <c:pt idx="78">
                  <c:v>68</c:v>
                </c:pt>
                <c:pt idx="79">
                  <c:v>69</c:v>
                </c:pt>
                <c:pt idx="80">
                  <c:v>70</c:v>
                </c:pt>
                <c:pt idx="81">
                  <c:v>71</c:v>
                </c:pt>
                <c:pt idx="82">
                  <c:v>72</c:v>
                </c:pt>
                <c:pt idx="83">
                  <c:v>73</c:v>
                </c:pt>
                <c:pt idx="84">
                  <c:v>74</c:v>
                </c:pt>
                <c:pt idx="85">
                  <c:v>75</c:v>
                </c:pt>
                <c:pt idx="86">
                  <c:v>76</c:v>
                </c:pt>
                <c:pt idx="87">
                  <c:v>77</c:v>
                </c:pt>
                <c:pt idx="88">
                  <c:v>78</c:v>
                </c:pt>
                <c:pt idx="89">
                  <c:v>79</c:v>
                </c:pt>
                <c:pt idx="90">
                  <c:v>80</c:v>
                </c:pt>
                <c:pt idx="91">
                  <c:v>81</c:v>
                </c:pt>
                <c:pt idx="92">
                  <c:v>82</c:v>
                </c:pt>
                <c:pt idx="93">
                  <c:v>83</c:v>
                </c:pt>
                <c:pt idx="94">
                  <c:v>84</c:v>
                </c:pt>
                <c:pt idx="95">
                  <c:v>85</c:v>
                </c:pt>
                <c:pt idx="96">
                  <c:v>86</c:v>
                </c:pt>
                <c:pt idx="97">
                  <c:v>87</c:v>
                </c:pt>
                <c:pt idx="98">
                  <c:v>88</c:v>
                </c:pt>
                <c:pt idx="99">
                  <c:v>89</c:v>
                </c:pt>
                <c:pt idx="100">
                  <c:v>90</c:v>
                </c:pt>
                <c:pt idx="101">
                  <c:v>91</c:v>
                </c:pt>
                <c:pt idx="102">
                  <c:v>92</c:v>
                </c:pt>
                <c:pt idx="103">
                  <c:v>93</c:v>
                </c:pt>
                <c:pt idx="104">
                  <c:v>94</c:v>
                </c:pt>
                <c:pt idx="105">
                  <c:v>95</c:v>
                </c:pt>
                <c:pt idx="106">
                  <c:v>96</c:v>
                </c:pt>
                <c:pt idx="107">
                  <c:v>97</c:v>
                </c:pt>
                <c:pt idx="108">
                  <c:v>98</c:v>
                </c:pt>
                <c:pt idx="109">
                  <c:v>99</c:v>
                </c:pt>
                <c:pt idx="110">
                  <c:v>100</c:v>
                </c:pt>
                <c:pt idx="111">
                  <c:v>101</c:v>
                </c:pt>
                <c:pt idx="112">
                  <c:v>102</c:v>
                </c:pt>
                <c:pt idx="113">
                  <c:v>103</c:v>
                </c:pt>
                <c:pt idx="114">
                  <c:v>104</c:v>
                </c:pt>
                <c:pt idx="115">
                  <c:v>105</c:v>
                </c:pt>
                <c:pt idx="116">
                  <c:v>106</c:v>
                </c:pt>
                <c:pt idx="117">
                  <c:v>107</c:v>
                </c:pt>
                <c:pt idx="118">
                  <c:v>108</c:v>
                </c:pt>
                <c:pt idx="119">
                  <c:v>109</c:v>
                </c:pt>
                <c:pt idx="120">
                  <c:v>110</c:v>
                </c:pt>
                <c:pt idx="121">
                  <c:v>111</c:v>
                </c:pt>
                <c:pt idx="122">
                  <c:v>112</c:v>
                </c:pt>
                <c:pt idx="123">
                  <c:v>113</c:v>
                </c:pt>
                <c:pt idx="124">
                  <c:v>114</c:v>
                </c:pt>
                <c:pt idx="125">
                  <c:v>115</c:v>
                </c:pt>
                <c:pt idx="126">
                  <c:v>116</c:v>
                </c:pt>
                <c:pt idx="127">
                  <c:v>117</c:v>
                </c:pt>
                <c:pt idx="128">
                  <c:v>118</c:v>
                </c:pt>
                <c:pt idx="129">
                  <c:v>119</c:v>
                </c:pt>
                <c:pt idx="130">
                  <c:v>120</c:v>
                </c:pt>
                <c:pt idx="131">
                  <c:v>121</c:v>
                </c:pt>
                <c:pt idx="132">
                  <c:v>122</c:v>
                </c:pt>
                <c:pt idx="133">
                  <c:v>123</c:v>
                </c:pt>
                <c:pt idx="134">
                  <c:v>124</c:v>
                </c:pt>
                <c:pt idx="135">
                  <c:v>125</c:v>
                </c:pt>
                <c:pt idx="136">
                  <c:v>126</c:v>
                </c:pt>
                <c:pt idx="137">
                  <c:v>127</c:v>
                </c:pt>
                <c:pt idx="138">
                  <c:v>128</c:v>
                </c:pt>
                <c:pt idx="139">
                  <c:v>129</c:v>
                </c:pt>
                <c:pt idx="140">
                  <c:v>130</c:v>
                </c:pt>
                <c:pt idx="141">
                  <c:v>131</c:v>
                </c:pt>
                <c:pt idx="142">
                  <c:v>132</c:v>
                </c:pt>
                <c:pt idx="143">
                  <c:v>133</c:v>
                </c:pt>
                <c:pt idx="144">
                  <c:v>134</c:v>
                </c:pt>
                <c:pt idx="145">
                  <c:v>135</c:v>
                </c:pt>
                <c:pt idx="146">
                  <c:v>136</c:v>
                </c:pt>
                <c:pt idx="147">
                  <c:v>137</c:v>
                </c:pt>
                <c:pt idx="148">
                  <c:v>138</c:v>
                </c:pt>
                <c:pt idx="149">
                  <c:v>139</c:v>
                </c:pt>
                <c:pt idx="150">
                  <c:v>140</c:v>
                </c:pt>
                <c:pt idx="151">
                  <c:v>141</c:v>
                </c:pt>
                <c:pt idx="152">
                  <c:v>142</c:v>
                </c:pt>
                <c:pt idx="153">
                  <c:v>143</c:v>
                </c:pt>
                <c:pt idx="154">
                  <c:v>144</c:v>
                </c:pt>
                <c:pt idx="155">
                  <c:v>145</c:v>
                </c:pt>
                <c:pt idx="156">
                  <c:v>146</c:v>
                </c:pt>
                <c:pt idx="157">
                  <c:v>147</c:v>
                </c:pt>
                <c:pt idx="158">
                  <c:v>148</c:v>
                </c:pt>
                <c:pt idx="159">
                  <c:v>149</c:v>
                </c:pt>
                <c:pt idx="160">
                  <c:v>150</c:v>
                </c:pt>
                <c:pt idx="161">
                  <c:v>151</c:v>
                </c:pt>
                <c:pt idx="162">
                  <c:v>152</c:v>
                </c:pt>
                <c:pt idx="163">
                  <c:v>153</c:v>
                </c:pt>
                <c:pt idx="164">
                  <c:v>154</c:v>
                </c:pt>
                <c:pt idx="165">
                  <c:v>155</c:v>
                </c:pt>
                <c:pt idx="166">
                  <c:v>156</c:v>
                </c:pt>
                <c:pt idx="167">
                  <c:v>157</c:v>
                </c:pt>
                <c:pt idx="168">
                  <c:v>158</c:v>
                </c:pt>
                <c:pt idx="169">
                  <c:v>159</c:v>
                </c:pt>
                <c:pt idx="170">
                  <c:v>160</c:v>
                </c:pt>
                <c:pt idx="171">
                  <c:v>161</c:v>
                </c:pt>
                <c:pt idx="172">
                  <c:v>162</c:v>
                </c:pt>
                <c:pt idx="173">
                  <c:v>163</c:v>
                </c:pt>
                <c:pt idx="174">
                  <c:v>164</c:v>
                </c:pt>
                <c:pt idx="175">
                  <c:v>165</c:v>
                </c:pt>
                <c:pt idx="176">
                  <c:v>166</c:v>
                </c:pt>
                <c:pt idx="177">
                  <c:v>167</c:v>
                </c:pt>
                <c:pt idx="178">
                  <c:v>168</c:v>
                </c:pt>
                <c:pt idx="179">
                  <c:v>169</c:v>
                </c:pt>
                <c:pt idx="180">
                  <c:v>170</c:v>
                </c:pt>
                <c:pt idx="181">
                  <c:v>171</c:v>
                </c:pt>
                <c:pt idx="182">
                  <c:v>172</c:v>
                </c:pt>
                <c:pt idx="183">
                  <c:v>173</c:v>
                </c:pt>
                <c:pt idx="184">
                  <c:v>174</c:v>
                </c:pt>
                <c:pt idx="185">
                  <c:v>175</c:v>
                </c:pt>
                <c:pt idx="186">
                  <c:v>176</c:v>
                </c:pt>
                <c:pt idx="187">
                  <c:v>177</c:v>
                </c:pt>
                <c:pt idx="188">
                  <c:v>178</c:v>
                </c:pt>
                <c:pt idx="189">
                  <c:v>179</c:v>
                </c:pt>
                <c:pt idx="190">
                  <c:v>180</c:v>
                </c:pt>
                <c:pt idx="191">
                  <c:v>181</c:v>
                </c:pt>
                <c:pt idx="192">
                  <c:v>182</c:v>
                </c:pt>
                <c:pt idx="193">
                  <c:v>183</c:v>
                </c:pt>
                <c:pt idx="194">
                  <c:v>184</c:v>
                </c:pt>
                <c:pt idx="195">
                  <c:v>185</c:v>
                </c:pt>
                <c:pt idx="196">
                  <c:v>186</c:v>
                </c:pt>
                <c:pt idx="197">
                  <c:v>187</c:v>
                </c:pt>
                <c:pt idx="198">
                  <c:v>188</c:v>
                </c:pt>
                <c:pt idx="199">
                  <c:v>189</c:v>
                </c:pt>
                <c:pt idx="200">
                  <c:v>190</c:v>
                </c:pt>
                <c:pt idx="201">
                  <c:v>191</c:v>
                </c:pt>
                <c:pt idx="202">
                  <c:v>192</c:v>
                </c:pt>
                <c:pt idx="203">
                  <c:v>193</c:v>
                </c:pt>
                <c:pt idx="204">
                  <c:v>194</c:v>
                </c:pt>
                <c:pt idx="205">
                  <c:v>195</c:v>
                </c:pt>
                <c:pt idx="206">
                  <c:v>196</c:v>
                </c:pt>
                <c:pt idx="207">
                  <c:v>197</c:v>
                </c:pt>
                <c:pt idx="208">
                  <c:v>198</c:v>
                </c:pt>
              </c:strCache>
            </c:strRef>
          </c:xVal>
          <c:yVal>
            <c:numRef>
              <c:f>'turnover balance'!$V$5:$V$214</c:f>
              <c:numCache>
                <c:formatCode>General</c:formatCode>
                <c:ptCount val="210"/>
                <c:pt idx="5">
                  <c:v>0</c:v>
                </c:pt>
                <c:pt idx="6">
                  <c:v>0</c:v>
                </c:pt>
                <c:pt idx="11">
                  <c:v>-5157</c:v>
                </c:pt>
                <c:pt idx="12">
                  <c:v>-1680</c:v>
                </c:pt>
                <c:pt idx="13">
                  <c:v>-1680</c:v>
                </c:pt>
                <c:pt idx="14">
                  <c:v>-1680</c:v>
                </c:pt>
                <c:pt idx="15">
                  <c:v>-1680</c:v>
                </c:pt>
                <c:pt idx="16">
                  <c:v>-400</c:v>
                </c:pt>
                <c:pt idx="17">
                  <c:v>-400</c:v>
                </c:pt>
                <c:pt idx="18">
                  <c:v>-3000</c:v>
                </c:pt>
                <c:pt idx="19">
                  <c:v>0</c:v>
                </c:pt>
                <c:pt idx="20">
                  <c:v>-6000</c:v>
                </c:pt>
                <c:pt idx="21">
                  <c:v>0</c:v>
                </c:pt>
                <c:pt idx="22">
                  <c:v>0</c:v>
                </c:pt>
                <c:pt idx="23">
                  <c:v>6533.8950554104449</c:v>
                </c:pt>
                <c:pt idx="24">
                  <c:v>2436.1994435868169</c:v>
                </c:pt>
                <c:pt idx="25">
                  <c:v>2998.5979965612037</c:v>
                </c:pt>
                <c:pt idx="26">
                  <c:v>3551.0619105414003</c:v>
                </c:pt>
                <c:pt idx="27">
                  <c:v>4151.8176160040884</c:v>
                </c:pt>
                <c:pt idx="28">
                  <c:v>4744.6615205181542</c:v>
                </c:pt>
                <c:pt idx="29">
                  <c:v>4790.8834555285721</c:v>
                </c:pt>
                <c:pt idx="30">
                  <c:v>5326.6087879437573</c:v>
                </c:pt>
                <c:pt idx="31">
                  <c:v>5803.9595206364984</c:v>
                </c:pt>
                <c:pt idx="32">
                  <c:v>6318.9843699259791</c:v>
                </c:pt>
                <c:pt idx="33">
                  <c:v>6721.1934316097058</c:v>
                </c:pt>
                <c:pt idx="34">
                  <c:v>6221.2896032476638</c:v>
                </c:pt>
                <c:pt idx="35">
                  <c:v>6562.8237658355429</c:v>
                </c:pt>
                <c:pt idx="36">
                  <c:v>6866.9830351181154</c:v>
                </c:pt>
                <c:pt idx="37">
                  <c:v>7115.2412216009761</c:v>
                </c:pt>
                <c:pt idx="38">
                  <c:v>7421.7753089748339</c:v>
                </c:pt>
                <c:pt idx="39">
                  <c:v>6857.8148483611058</c:v>
                </c:pt>
                <c:pt idx="40">
                  <c:v>6973.3513237189782</c:v>
                </c:pt>
                <c:pt idx="41">
                  <c:v>7168.0167951977974</c:v>
                </c:pt>
                <c:pt idx="42">
                  <c:v>7280.9796828719263</c:v>
                </c:pt>
                <c:pt idx="43">
                  <c:v>7438.9994471610635</c:v>
                </c:pt>
                <c:pt idx="44">
                  <c:v>6906.3280768995082</c:v>
                </c:pt>
                <c:pt idx="45">
                  <c:v>6825.7736370714847</c:v>
                </c:pt>
                <c:pt idx="46">
                  <c:v>6906.6307511006171</c:v>
                </c:pt>
                <c:pt idx="47">
                  <c:v>6999.4479149397794</c:v>
                </c:pt>
                <c:pt idx="48">
                  <c:v>7116.4667366789245</c:v>
                </c:pt>
                <c:pt idx="49">
                  <c:v>6838.1051594858054</c:v>
                </c:pt>
                <c:pt idx="50">
                  <c:v>6656.0001662940804</c:v>
                </c:pt>
                <c:pt idx="51">
                  <c:v>6762.5885294017153</c:v>
                </c:pt>
                <c:pt idx="52">
                  <c:v>6836.8786880636526</c:v>
                </c:pt>
                <c:pt idx="53">
                  <c:v>6890.1771836672124</c:v>
                </c:pt>
                <c:pt idx="54">
                  <c:v>6933.9099911212179</c:v>
                </c:pt>
                <c:pt idx="55">
                  <c:v>6762.1562976963833</c:v>
                </c:pt>
                <c:pt idx="56">
                  <c:v>6333.6250325720512</c:v>
                </c:pt>
                <c:pt idx="57">
                  <c:v>6421.3423320921947</c:v>
                </c:pt>
                <c:pt idx="58">
                  <c:v>6485.899853005546</c:v>
                </c:pt>
                <c:pt idx="59">
                  <c:v>6544.2614150163899</c:v>
                </c:pt>
                <c:pt idx="60">
                  <c:v>6604.1567102316349</c:v>
                </c:pt>
                <c:pt idx="61">
                  <c:v>6616.122085014249</c:v>
                </c:pt>
                <c:pt idx="62">
                  <c:v>6136.8983036368227</c:v>
                </c:pt>
                <c:pt idx="63">
                  <c:v>6241.6389708990164</c:v>
                </c:pt>
                <c:pt idx="64">
                  <c:v>6307.4431547167342</c:v>
                </c:pt>
                <c:pt idx="65">
                  <c:v>6320.325066040763</c:v>
                </c:pt>
                <c:pt idx="66">
                  <c:v>6437.8702592258087</c:v>
                </c:pt>
                <c:pt idx="67">
                  <c:v>6445.038097937394</c:v>
                </c:pt>
                <c:pt idx="68">
                  <c:v>6608.4220831011698</c:v>
                </c:pt>
                <c:pt idx="69">
                  <c:v>6059.9313443602905</c:v>
                </c:pt>
                <c:pt idx="70">
                  <c:v>6127.1449552137838</c:v>
                </c:pt>
                <c:pt idx="71">
                  <c:v>6129.7310312127465</c:v>
                </c:pt>
                <c:pt idx="72">
                  <c:v>6259.7972886245752</c:v>
                </c:pt>
                <c:pt idx="73">
                  <c:v>6328.7424845696987</c:v>
                </c:pt>
                <c:pt idx="74">
                  <c:v>6398.2076883576692</c:v>
                </c:pt>
                <c:pt idx="75">
                  <c:v>6513.7108478080663</c:v>
                </c:pt>
                <c:pt idx="76">
                  <c:v>6056.8334958583737</c:v>
                </c:pt>
                <c:pt idx="77">
                  <c:v>6011.1383547646565</c:v>
                </c:pt>
                <c:pt idx="78">
                  <c:v>6150.8237674707334</c:v>
                </c:pt>
                <c:pt idx="79">
                  <c:v>6258.9152787728908</c:v>
                </c:pt>
                <c:pt idx="80">
                  <c:v>6288.64035516065</c:v>
                </c:pt>
                <c:pt idx="81">
                  <c:v>6318.3696263509046</c:v>
                </c:pt>
                <c:pt idx="82">
                  <c:v>6543.8450808993948</c:v>
                </c:pt>
                <c:pt idx="83">
                  <c:v>6041.4486454064008</c:v>
                </c:pt>
                <c:pt idx="84">
                  <c:v>6193.8546612139644</c:v>
                </c:pt>
                <c:pt idx="85">
                  <c:v>6179.827319492164</c:v>
                </c:pt>
                <c:pt idx="86">
                  <c:v>6247.6692383753352</c:v>
                </c:pt>
                <c:pt idx="87">
                  <c:v>6275.426653092567</c:v>
                </c:pt>
                <c:pt idx="88">
                  <c:v>6286.9272694515821</c:v>
                </c:pt>
                <c:pt idx="89">
                  <c:v>6571.9656097110528</c:v>
                </c:pt>
                <c:pt idx="90">
                  <c:v>6141.8722553944835</c:v>
                </c:pt>
                <c:pt idx="91">
                  <c:v>6260.7418582953633</c:v>
                </c:pt>
                <c:pt idx="92">
                  <c:v>6276.6835908406065</c:v>
                </c:pt>
                <c:pt idx="93">
                  <c:v>6301.9258990318967</c:v>
                </c:pt>
                <c:pt idx="94">
                  <c:v>6367.5444520610508</c:v>
                </c:pt>
                <c:pt idx="95">
                  <c:v>6432.9542647191311</c:v>
                </c:pt>
                <c:pt idx="96">
                  <c:v>6457.1159172875714</c:v>
                </c:pt>
                <c:pt idx="97">
                  <c:v>6730.8578800581745</c:v>
                </c:pt>
                <c:pt idx="98">
                  <c:v>6282.4145779415931</c:v>
                </c:pt>
                <c:pt idx="99">
                  <c:v>6253.1012865032299</c:v>
                </c:pt>
                <c:pt idx="100">
                  <c:v>6315.5465828607512</c:v>
                </c:pt>
                <c:pt idx="101">
                  <c:v>6336.1077108150903</c:v>
                </c:pt>
                <c:pt idx="102">
                  <c:v>6355.9844831187684</c:v>
                </c:pt>
                <c:pt idx="103">
                  <c:v>6560.2545592869956</c:v>
                </c:pt>
                <c:pt idx="104">
                  <c:v>6478.4721304369486</c:v>
                </c:pt>
                <c:pt idx="105">
                  <c:v>6496.2943166461118</c:v>
                </c:pt>
                <c:pt idx="106">
                  <c:v>6948.2118869747865</c:v>
                </c:pt>
                <c:pt idx="107">
                  <c:v>6291.3820968099571</c:v>
                </c:pt>
                <c:pt idx="108">
                  <c:v>6260.0319056347334</c:v>
                </c:pt>
                <c:pt idx="109">
                  <c:v>6364.527720566628</c:v>
                </c:pt>
                <c:pt idx="110">
                  <c:v>6330.2625979219738</c:v>
                </c:pt>
                <c:pt idx="111">
                  <c:v>6342.6137842027492</c:v>
                </c:pt>
                <c:pt idx="112">
                  <c:v>6529.8484279311342</c:v>
                </c:pt>
                <c:pt idx="113">
                  <c:v>6407.0683934730414</c:v>
                </c:pt>
                <c:pt idx="114">
                  <c:v>6501.6649002445583</c:v>
                </c:pt>
                <c:pt idx="115">
                  <c:v>7024.428005648384</c:v>
                </c:pt>
                <c:pt idx="116">
                  <c:v>6272.3606596769669</c:v>
                </c:pt>
                <c:pt idx="117">
                  <c:v>6203.1133248938113</c:v>
                </c:pt>
                <c:pt idx="118">
                  <c:v>6324.9811395240631</c:v>
                </c:pt>
                <c:pt idx="119">
                  <c:v>6370.0465837312331</c:v>
                </c:pt>
                <c:pt idx="120">
                  <c:v>6299.8086237869338</c:v>
                </c:pt>
                <c:pt idx="121">
                  <c:v>6370.8486872699968</c:v>
                </c:pt>
                <c:pt idx="122">
                  <c:v>6386.9068563885403</c:v>
                </c:pt>
                <c:pt idx="123">
                  <c:v>6451.7565913749595</c:v>
                </c:pt>
                <c:pt idx="124">
                  <c:v>6921.9393209845875</c:v>
                </c:pt>
                <c:pt idx="125">
                  <c:v>6162.5196111929872</c:v>
                </c:pt>
                <c:pt idx="126">
                  <c:v>6154.0767123279275</c:v>
                </c:pt>
                <c:pt idx="127">
                  <c:v>6187.1382427784356</c:v>
                </c:pt>
                <c:pt idx="128">
                  <c:v>6218.2954497205837</c:v>
                </c:pt>
                <c:pt idx="129">
                  <c:v>6203.923694036037</c:v>
                </c:pt>
                <c:pt idx="130">
                  <c:v>6196.2726449741294</c:v>
                </c:pt>
                <c:pt idx="131">
                  <c:v>6216.3218412640072</c:v>
                </c:pt>
                <c:pt idx="132">
                  <c:v>6239.4134085828427</c:v>
                </c:pt>
                <c:pt idx="133">
                  <c:v>6792.8299345928026</c:v>
                </c:pt>
                <c:pt idx="134">
                  <c:v>5957.6967202500891</c:v>
                </c:pt>
                <c:pt idx="135">
                  <c:v>5959.799313103882</c:v>
                </c:pt>
                <c:pt idx="136">
                  <c:v>5932.9831398237884</c:v>
                </c:pt>
                <c:pt idx="137">
                  <c:v>5947.5612690519165</c:v>
                </c:pt>
                <c:pt idx="138">
                  <c:v>5959.7834816309769</c:v>
                </c:pt>
                <c:pt idx="139">
                  <c:v>5912.5365568455682</c:v>
                </c:pt>
                <c:pt idx="140">
                  <c:v>5927.2661150294352</c:v>
                </c:pt>
                <c:pt idx="141">
                  <c:v>5931.7698602972378</c:v>
                </c:pt>
                <c:pt idx="142">
                  <c:v>5846.409347810235</c:v>
                </c:pt>
                <c:pt idx="143">
                  <c:v>6552.9340634460023</c:v>
                </c:pt>
                <c:pt idx="144">
                  <c:v>5591.6508085650667</c:v>
                </c:pt>
                <c:pt idx="145">
                  <c:v>5538.7304038677621</c:v>
                </c:pt>
                <c:pt idx="146">
                  <c:v>5475.9497539332979</c:v>
                </c:pt>
                <c:pt idx="147">
                  <c:v>5521.038741866595</c:v>
                </c:pt>
                <c:pt idx="148">
                  <c:v>5510.844028097913</c:v>
                </c:pt>
                <c:pt idx="149">
                  <c:v>5370.4282731165904</c:v>
                </c:pt>
                <c:pt idx="150">
                  <c:v>5387.0161422245037</c:v>
                </c:pt>
                <c:pt idx="151">
                  <c:v>5308.4983784951428</c:v>
                </c:pt>
                <c:pt idx="152">
                  <c:v>5293.6806374659027</c:v>
                </c:pt>
                <c:pt idx="153">
                  <c:v>5311.2986328725465</c:v>
                </c:pt>
                <c:pt idx="154">
                  <c:v>5197.0368352782889</c:v>
                </c:pt>
                <c:pt idx="155">
                  <c:v>5065.4060450236302</c:v>
                </c:pt>
                <c:pt idx="156">
                  <c:v>5077.5540247301487</c:v>
                </c:pt>
                <c:pt idx="157">
                  <c:v>5039.4282827189936</c:v>
                </c:pt>
                <c:pt idx="158">
                  <c:v>6037.1762629827572</c:v>
                </c:pt>
                <c:pt idx="159">
                  <c:v>4545.7919827927362</c:v>
                </c:pt>
                <c:pt idx="160">
                  <c:v>4484.8396423870927</c:v>
                </c:pt>
                <c:pt idx="161">
                  <c:v>4377.6350510946659</c:v>
                </c:pt>
                <c:pt idx="162">
                  <c:v>4307.9070878430193</c:v>
                </c:pt>
                <c:pt idx="163">
                  <c:v>4233.5106424156929</c:v>
                </c:pt>
                <c:pt idx="164">
                  <c:v>4154.3624074074442</c:v>
                </c:pt>
                <c:pt idx="165">
                  <c:v>4029.4274975979829</c:v>
                </c:pt>
                <c:pt idx="166">
                  <c:v>3900.221955519241</c:v>
                </c:pt>
                <c:pt idx="167">
                  <c:v>3807.2292679409256</c:v>
                </c:pt>
                <c:pt idx="168">
                  <c:v>3994.229725500732</c:v>
                </c:pt>
                <c:pt idx="169">
                  <c:v>3581.942733770737</c:v>
                </c:pt>
                <c:pt idx="170">
                  <c:v>3434.7991167837208</c:v>
                </c:pt>
                <c:pt idx="171">
                  <c:v>3655.1885677600776</c:v>
                </c:pt>
                <c:pt idx="172">
                  <c:v>3222.7363006816836</c:v>
                </c:pt>
                <c:pt idx="173">
                  <c:v>4156.701787267928</c:v>
                </c:pt>
                <c:pt idx="174">
                  <c:v>2696.8187885718503</c:v>
                </c:pt>
                <c:pt idx="175">
                  <c:v>2815.0847938973252</c:v>
                </c:pt>
                <c:pt idx="176">
                  <c:v>2370.2860148565669</c:v>
                </c:pt>
                <c:pt idx="177">
                  <c:v>2550.7629235793515</c:v>
                </c:pt>
                <c:pt idx="178">
                  <c:v>2020.0340691520928</c:v>
                </c:pt>
                <c:pt idx="179">
                  <c:v>2226.4439855152837</c:v>
                </c:pt>
                <c:pt idx="180">
                  <c:v>1645.9670072069321</c:v>
                </c:pt>
                <c:pt idx="181">
                  <c:v>1916.0756175406279</c:v>
                </c:pt>
                <c:pt idx="182">
                  <c:v>1726.0740437501875</c:v>
                </c:pt>
                <c:pt idx="183">
                  <c:v>1067.3913856896027</c:v>
                </c:pt>
                <c:pt idx="184">
                  <c:v>1345.7976392597041</c:v>
                </c:pt>
                <c:pt idx="185">
                  <c:v>1140.7346684766678</c:v>
                </c:pt>
                <c:pt idx="186">
                  <c:v>998.74847847463695</c:v>
                </c:pt>
                <c:pt idx="187">
                  <c:v>749.24849419839677</c:v>
                </c:pt>
                <c:pt idx="188">
                  <c:v>724.26181975373038</c:v>
                </c:pt>
                <c:pt idx="189">
                  <c:v>131.63777650887346</c:v>
                </c:pt>
                <c:pt idx="190">
                  <c:v>-91.821625269003221</c:v>
                </c:pt>
                <c:pt idx="191">
                  <c:v>-322.8177852333946</c:v>
                </c:pt>
                <c:pt idx="192">
                  <c:v>-561.43134068970096</c:v>
                </c:pt>
                <c:pt idx="193">
                  <c:v>-837.3472500882649</c:v>
                </c:pt>
                <c:pt idx="194">
                  <c:v>-1119.236978705344</c:v>
                </c:pt>
                <c:pt idx="195">
                  <c:v>-1378.702050504955</c:v>
                </c:pt>
                <c:pt idx="196">
                  <c:v>-1646.008518775908</c:v>
                </c:pt>
                <c:pt idx="197">
                  <c:v>-1921.2283986433081</c:v>
                </c:pt>
                <c:pt idx="198">
                  <c:v>-2257.3699589766534</c:v>
                </c:pt>
                <c:pt idx="199">
                  <c:v>-1724.8963506176628</c:v>
                </c:pt>
                <c:pt idx="200">
                  <c:v>-2814.697923173032</c:v>
                </c:pt>
                <c:pt idx="201">
                  <c:v>-3143.3422178281485</c:v>
                </c:pt>
                <c:pt idx="202">
                  <c:v>-3454.2210184938044</c:v>
                </c:pt>
                <c:pt idx="203">
                  <c:v>-2852.9141243033664</c:v>
                </c:pt>
                <c:pt idx="204">
                  <c:v>-4048.2629229901008</c:v>
                </c:pt>
                <c:pt idx="205">
                  <c:v>-3601.5199458360185</c:v>
                </c:pt>
                <c:pt idx="206">
                  <c:v>-4775.9665474643434</c:v>
                </c:pt>
                <c:pt idx="207">
                  <c:v>-5177.0673537549446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4E-4919-91D4-9F21B4DE04C1}"/>
            </c:ext>
          </c:extLst>
        </c:ser>
        <c:ser>
          <c:idx val="1"/>
          <c:order val="1"/>
          <c:tx>
            <c:strRef>
              <c:f>'turnover balance'!$W$1:$W$4</c:f>
              <c:strCache>
                <c:ptCount val="4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'turnover balance'!$B$5:$B$214</c:f>
              <c:strCache>
                <c:ptCount val="209"/>
                <c:pt idx="0">
                  <c:v>Basic assumptions</c:v>
                </c:pt>
                <c:pt idx="1">
                  <c:v>interest rate</c:v>
                </c:pt>
                <c:pt idx="7">
                  <c:v>Time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  <c:pt idx="21">
                  <c:v>11</c:v>
                </c:pt>
                <c:pt idx="22">
                  <c:v>12</c:v>
                </c:pt>
                <c:pt idx="23">
                  <c:v>13</c:v>
                </c:pt>
                <c:pt idx="24">
                  <c:v>14</c:v>
                </c:pt>
                <c:pt idx="25">
                  <c:v>15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20</c:v>
                </c:pt>
                <c:pt idx="31">
                  <c:v>21</c:v>
                </c:pt>
                <c:pt idx="32">
                  <c:v>22</c:v>
                </c:pt>
                <c:pt idx="33">
                  <c:v>23</c:v>
                </c:pt>
                <c:pt idx="34">
                  <c:v>24</c:v>
                </c:pt>
                <c:pt idx="35">
                  <c:v>25</c:v>
                </c:pt>
                <c:pt idx="36">
                  <c:v>26</c:v>
                </c:pt>
                <c:pt idx="37">
                  <c:v>27</c:v>
                </c:pt>
                <c:pt idx="38">
                  <c:v>28</c:v>
                </c:pt>
                <c:pt idx="39">
                  <c:v>29</c:v>
                </c:pt>
                <c:pt idx="40">
                  <c:v>30</c:v>
                </c:pt>
                <c:pt idx="41">
                  <c:v>31</c:v>
                </c:pt>
                <c:pt idx="42">
                  <c:v>32</c:v>
                </c:pt>
                <c:pt idx="43">
                  <c:v>33</c:v>
                </c:pt>
                <c:pt idx="44">
                  <c:v>34</c:v>
                </c:pt>
                <c:pt idx="45">
                  <c:v>35</c:v>
                </c:pt>
                <c:pt idx="46">
                  <c:v>36</c:v>
                </c:pt>
                <c:pt idx="47">
                  <c:v>37</c:v>
                </c:pt>
                <c:pt idx="48">
                  <c:v>38</c:v>
                </c:pt>
                <c:pt idx="49">
                  <c:v>39</c:v>
                </c:pt>
                <c:pt idx="50">
                  <c:v>40</c:v>
                </c:pt>
                <c:pt idx="51">
                  <c:v>41</c:v>
                </c:pt>
                <c:pt idx="52">
                  <c:v>42</c:v>
                </c:pt>
                <c:pt idx="53">
                  <c:v>43</c:v>
                </c:pt>
                <c:pt idx="54">
                  <c:v>44</c:v>
                </c:pt>
                <c:pt idx="55">
                  <c:v>45</c:v>
                </c:pt>
                <c:pt idx="56">
                  <c:v>46</c:v>
                </c:pt>
                <c:pt idx="57">
                  <c:v>47</c:v>
                </c:pt>
                <c:pt idx="58">
                  <c:v>48</c:v>
                </c:pt>
                <c:pt idx="59">
                  <c:v>49</c:v>
                </c:pt>
                <c:pt idx="60">
                  <c:v>50</c:v>
                </c:pt>
                <c:pt idx="61">
                  <c:v>51</c:v>
                </c:pt>
                <c:pt idx="62">
                  <c:v>52</c:v>
                </c:pt>
                <c:pt idx="63">
                  <c:v>53</c:v>
                </c:pt>
                <c:pt idx="64">
                  <c:v>54</c:v>
                </c:pt>
                <c:pt idx="65">
                  <c:v>55</c:v>
                </c:pt>
                <c:pt idx="66">
                  <c:v>56</c:v>
                </c:pt>
                <c:pt idx="67">
                  <c:v>57</c:v>
                </c:pt>
                <c:pt idx="68">
                  <c:v>58</c:v>
                </c:pt>
                <c:pt idx="69">
                  <c:v>59</c:v>
                </c:pt>
                <c:pt idx="70">
                  <c:v>60</c:v>
                </c:pt>
                <c:pt idx="71">
                  <c:v>61</c:v>
                </c:pt>
                <c:pt idx="72">
                  <c:v>62</c:v>
                </c:pt>
                <c:pt idx="73">
                  <c:v>63</c:v>
                </c:pt>
                <c:pt idx="74">
                  <c:v>64</c:v>
                </c:pt>
                <c:pt idx="75">
                  <c:v>65</c:v>
                </c:pt>
                <c:pt idx="76">
                  <c:v>66</c:v>
                </c:pt>
                <c:pt idx="77">
                  <c:v>67</c:v>
                </c:pt>
                <c:pt idx="78">
                  <c:v>68</c:v>
                </c:pt>
                <c:pt idx="79">
                  <c:v>69</c:v>
                </c:pt>
                <c:pt idx="80">
                  <c:v>70</c:v>
                </c:pt>
                <c:pt idx="81">
                  <c:v>71</c:v>
                </c:pt>
                <c:pt idx="82">
                  <c:v>72</c:v>
                </c:pt>
                <c:pt idx="83">
                  <c:v>73</c:v>
                </c:pt>
                <c:pt idx="84">
                  <c:v>74</c:v>
                </c:pt>
                <c:pt idx="85">
                  <c:v>75</c:v>
                </c:pt>
                <c:pt idx="86">
                  <c:v>76</c:v>
                </c:pt>
                <c:pt idx="87">
                  <c:v>77</c:v>
                </c:pt>
                <c:pt idx="88">
                  <c:v>78</c:v>
                </c:pt>
                <c:pt idx="89">
                  <c:v>79</c:v>
                </c:pt>
                <c:pt idx="90">
                  <c:v>80</c:v>
                </c:pt>
                <c:pt idx="91">
                  <c:v>81</c:v>
                </c:pt>
                <c:pt idx="92">
                  <c:v>82</c:v>
                </c:pt>
                <c:pt idx="93">
                  <c:v>83</c:v>
                </c:pt>
                <c:pt idx="94">
                  <c:v>84</c:v>
                </c:pt>
                <c:pt idx="95">
                  <c:v>85</c:v>
                </c:pt>
                <c:pt idx="96">
                  <c:v>86</c:v>
                </c:pt>
                <c:pt idx="97">
                  <c:v>87</c:v>
                </c:pt>
                <c:pt idx="98">
                  <c:v>88</c:v>
                </c:pt>
                <c:pt idx="99">
                  <c:v>89</c:v>
                </c:pt>
                <c:pt idx="100">
                  <c:v>90</c:v>
                </c:pt>
                <c:pt idx="101">
                  <c:v>91</c:v>
                </c:pt>
                <c:pt idx="102">
                  <c:v>92</c:v>
                </c:pt>
                <c:pt idx="103">
                  <c:v>93</c:v>
                </c:pt>
                <c:pt idx="104">
                  <c:v>94</c:v>
                </c:pt>
                <c:pt idx="105">
                  <c:v>95</c:v>
                </c:pt>
                <c:pt idx="106">
                  <c:v>96</c:v>
                </c:pt>
                <c:pt idx="107">
                  <c:v>97</c:v>
                </c:pt>
                <c:pt idx="108">
                  <c:v>98</c:v>
                </c:pt>
                <c:pt idx="109">
                  <c:v>99</c:v>
                </c:pt>
                <c:pt idx="110">
                  <c:v>100</c:v>
                </c:pt>
                <c:pt idx="111">
                  <c:v>101</c:v>
                </c:pt>
                <c:pt idx="112">
                  <c:v>102</c:v>
                </c:pt>
                <c:pt idx="113">
                  <c:v>103</c:v>
                </c:pt>
                <c:pt idx="114">
                  <c:v>104</c:v>
                </c:pt>
                <c:pt idx="115">
                  <c:v>105</c:v>
                </c:pt>
                <c:pt idx="116">
                  <c:v>106</c:v>
                </c:pt>
                <c:pt idx="117">
                  <c:v>107</c:v>
                </c:pt>
                <c:pt idx="118">
                  <c:v>108</c:v>
                </c:pt>
                <c:pt idx="119">
                  <c:v>109</c:v>
                </c:pt>
                <c:pt idx="120">
                  <c:v>110</c:v>
                </c:pt>
                <c:pt idx="121">
                  <c:v>111</c:v>
                </c:pt>
                <c:pt idx="122">
                  <c:v>112</c:v>
                </c:pt>
                <c:pt idx="123">
                  <c:v>113</c:v>
                </c:pt>
                <c:pt idx="124">
                  <c:v>114</c:v>
                </c:pt>
                <c:pt idx="125">
                  <c:v>115</c:v>
                </c:pt>
                <c:pt idx="126">
                  <c:v>116</c:v>
                </c:pt>
                <c:pt idx="127">
                  <c:v>117</c:v>
                </c:pt>
                <c:pt idx="128">
                  <c:v>118</c:v>
                </c:pt>
                <c:pt idx="129">
                  <c:v>119</c:v>
                </c:pt>
                <c:pt idx="130">
                  <c:v>120</c:v>
                </c:pt>
                <c:pt idx="131">
                  <c:v>121</c:v>
                </c:pt>
                <c:pt idx="132">
                  <c:v>122</c:v>
                </c:pt>
                <c:pt idx="133">
                  <c:v>123</c:v>
                </c:pt>
                <c:pt idx="134">
                  <c:v>124</c:v>
                </c:pt>
                <c:pt idx="135">
                  <c:v>125</c:v>
                </c:pt>
                <c:pt idx="136">
                  <c:v>126</c:v>
                </c:pt>
                <c:pt idx="137">
                  <c:v>127</c:v>
                </c:pt>
                <c:pt idx="138">
                  <c:v>128</c:v>
                </c:pt>
                <c:pt idx="139">
                  <c:v>129</c:v>
                </c:pt>
                <c:pt idx="140">
                  <c:v>130</c:v>
                </c:pt>
                <c:pt idx="141">
                  <c:v>131</c:v>
                </c:pt>
                <c:pt idx="142">
                  <c:v>132</c:v>
                </c:pt>
                <c:pt idx="143">
                  <c:v>133</c:v>
                </c:pt>
                <c:pt idx="144">
                  <c:v>134</c:v>
                </c:pt>
                <c:pt idx="145">
                  <c:v>135</c:v>
                </c:pt>
                <c:pt idx="146">
                  <c:v>136</c:v>
                </c:pt>
                <c:pt idx="147">
                  <c:v>137</c:v>
                </c:pt>
                <c:pt idx="148">
                  <c:v>138</c:v>
                </c:pt>
                <c:pt idx="149">
                  <c:v>139</c:v>
                </c:pt>
                <c:pt idx="150">
                  <c:v>140</c:v>
                </c:pt>
                <c:pt idx="151">
                  <c:v>141</c:v>
                </c:pt>
                <c:pt idx="152">
                  <c:v>142</c:v>
                </c:pt>
                <c:pt idx="153">
                  <c:v>143</c:v>
                </c:pt>
                <c:pt idx="154">
                  <c:v>144</c:v>
                </c:pt>
                <c:pt idx="155">
                  <c:v>145</c:v>
                </c:pt>
                <c:pt idx="156">
                  <c:v>146</c:v>
                </c:pt>
                <c:pt idx="157">
                  <c:v>147</c:v>
                </c:pt>
                <c:pt idx="158">
                  <c:v>148</c:v>
                </c:pt>
                <c:pt idx="159">
                  <c:v>149</c:v>
                </c:pt>
                <c:pt idx="160">
                  <c:v>150</c:v>
                </c:pt>
                <c:pt idx="161">
                  <c:v>151</c:v>
                </c:pt>
                <c:pt idx="162">
                  <c:v>152</c:v>
                </c:pt>
                <c:pt idx="163">
                  <c:v>153</c:v>
                </c:pt>
                <c:pt idx="164">
                  <c:v>154</c:v>
                </c:pt>
                <c:pt idx="165">
                  <c:v>155</c:v>
                </c:pt>
                <c:pt idx="166">
                  <c:v>156</c:v>
                </c:pt>
                <c:pt idx="167">
                  <c:v>157</c:v>
                </c:pt>
                <c:pt idx="168">
                  <c:v>158</c:v>
                </c:pt>
                <c:pt idx="169">
                  <c:v>159</c:v>
                </c:pt>
                <c:pt idx="170">
                  <c:v>160</c:v>
                </c:pt>
                <c:pt idx="171">
                  <c:v>161</c:v>
                </c:pt>
                <c:pt idx="172">
                  <c:v>162</c:v>
                </c:pt>
                <c:pt idx="173">
                  <c:v>163</c:v>
                </c:pt>
                <c:pt idx="174">
                  <c:v>164</c:v>
                </c:pt>
                <c:pt idx="175">
                  <c:v>165</c:v>
                </c:pt>
                <c:pt idx="176">
                  <c:v>166</c:v>
                </c:pt>
                <c:pt idx="177">
                  <c:v>167</c:v>
                </c:pt>
                <c:pt idx="178">
                  <c:v>168</c:v>
                </c:pt>
                <c:pt idx="179">
                  <c:v>169</c:v>
                </c:pt>
                <c:pt idx="180">
                  <c:v>170</c:v>
                </c:pt>
                <c:pt idx="181">
                  <c:v>171</c:v>
                </c:pt>
                <c:pt idx="182">
                  <c:v>172</c:v>
                </c:pt>
                <c:pt idx="183">
                  <c:v>173</c:v>
                </c:pt>
                <c:pt idx="184">
                  <c:v>174</c:v>
                </c:pt>
                <c:pt idx="185">
                  <c:v>175</c:v>
                </c:pt>
                <c:pt idx="186">
                  <c:v>176</c:v>
                </c:pt>
                <c:pt idx="187">
                  <c:v>177</c:v>
                </c:pt>
                <c:pt idx="188">
                  <c:v>178</c:v>
                </c:pt>
                <c:pt idx="189">
                  <c:v>179</c:v>
                </c:pt>
                <c:pt idx="190">
                  <c:v>180</c:v>
                </c:pt>
                <c:pt idx="191">
                  <c:v>181</c:v>
                </c:pt>
                <c:pt idx="192">
                  <c:v>182</c:v>
                </c:pt>
                <c:pt idx="193">
                  <c:v>183</c:v>
                </c:pt>
                <c:pt idx="194">
                  <c:v>184</c:v>
                </c:pt>
                <c:pt idx="195">
                  <c:v>185</c:v>
                </c:pt>
                <c:pt idx="196">
                  <c:v>186</c:v>
                </c:pt>
                <c:pt idx="197">
                  <c:v>187</c:v>
                </c:pt>
                <c:pt idx="198">
                  <c:v>188</c:v>
                </c:pt>
                <c:pt idx="199">
                  <c:v>189</c:v>
                </c:pt>
                <c:pt idx="200">
                  <c:v>190</c:v>
                </c:pt>
                <c:pt idx="201">
                  <c:v>191</c:v>
                </c:pt>
                <c:pt idx="202">
                  <c:v>192</c:v>
                </c:pt>
                <c:pt idx="203">
                  <c:v>193</c:v>
                </c:pt>
                <c:pt idx="204">
                  <c:v>194</c:v>
                </c:pt>
                <c:pt idx="205">
                  <c:v>195</c:v>
                </c:pt>
                <c:pt idx="206">
                  <c:v>196</c:v>
                </c:pt>
                <c:pt idx="207">
                  <c:v>197</c:v>
                </c:pt>
                <c:pt idx="208">
                  <c:v>198</c:v>
                </c:pt>
              </c:strCache>
            </c:strRef>
          </c:xVal>
          <c:yVal>
            <c:numRef>
              <c:f>'turnover balance'!$W$5:$W$214</c:f>
              <c:numCache>
                <c:formatCode>General</c:formatCode>
                <c:ptCount val="210"/>
                <c:pt idx="6">
                  <c:v>0</c:v>
                </c:pt>
                <c:pt idx="11">
                  <c:v>-47634.750000000407</c:v>
                </c:pt>
                <c:pt idx="12">
                  <c:v>-24828.42245657594</c:v>
                </c:pt>
                <c:pt idx="13">
                  <c:v>-17226.874966135652</c:v>
                </c:pt>
                <c:pt idx="14">
                  <c:v>-13426.522442254396</c:v>
                </c:pt>
                <c:pt idx="15">
                  <c:v>-11146.647852715441</c:v>
                </c:pt>
                <c:pt idx="16">
                  <c:v>-9421.5398996190888</c:v>
                </c:pt>
                <c:pt idx="17">
                  <c:v>-8189.593012690535</c:v>
                </c:pt>
                <c:pt idx="18">
                  <c:v>-7574.1901872316257</c:v>
                </c:pt>
                <c:pt idx="19">
                  <c:v>-6781.8554895227535</c:v>
                </c:pt>
                <c:pt idx="20">
                  <c:v>-6708.8034646499327</c:v>
                </c:pt>
                <c:pt idx="21">
                  <c:v>-6143.2926308131064</c:v>
                </c:pt>
                <c:pt idx="22">
                  <c:v>-5672.2249954614736</c:v>
                </c:pt>
                <c:pt idx="23">
                  <c:v>-5273.8058843292583</c:v>
                </c:pt>
                <c:pt idx="24">
                  <c:v>-4403.7503114310848</c:v>
                </c:pt>
                <c:pt idx="25">
                  <c:v>-3954.4522480318788</c:v>
                </c:pt>
                <c:pt idx="26">
                  <c:v>-3518.5529497308139</c:v>
                </c:pt>
                <c:pt idx="27">
                  <c:v>-3093.5308448095711</c:v>
                </c:pt>
                <c:pt idx="28">
                  <c:v>-2673.665035247077</c:v>
                </c:pt>
                <c:pt idx="29">
                  <c:v>-2257.8209232403087</c:v>
                </c:pt>
                <c:pt idx="30">
                  <c:v>-1932.2638724644889</c:v>
                </c:pt>
                <c:pt idx="31">
                  <c:v>-1551.2637113654323</c:v>
                </c:pt>
                <c:pt idx="32">
                  <c:v>-1174.8574175671399</c:v>
                </c:pt>
                <c:pt idx="33">
                  <c:v>-799.91492037982039</c:v>
                </c:pt>
                <c:pt idx="34">
                  <c:v>-431.39582070351946</c:v>
                </c:pt>
                <c:pt idx="35">
                  <c:v>-261.62355863827042</c:v>
                </c:pt>
                <c:pt idx="36">
                  <c:v>57.972291083366763</c:v>
                </c:pt>
                <c:pt idx="37">
                  <c:v>372.06170998297864</c:v>
                </c:pt>
                <c:pt idx="38">
                  <c:v>679.04596711070678</c:v>
                </c:pt>
                <c:pt idx="39">
                  <c:v>982.43981078845206</c:v>
                </c:pt>
                <c:pt idx="40">
                  <c:v>1053.5267834196707</c:v>
                </c:pt>
                <c:pt idx="41">
                  <c:v>1313.766476806074</c:v>
                </c:pt>
                <c:pt idx="42">
                  <c:v>1569.4225459364748</c:v>
                </c:pt>
                <c:pt idx="43">
                  <c:v>1817.8868751150508</c:v>
                </c:pt>
                <c:pt idx="44">
                  <c:v>2061.6326474153138</c:v>
                </c:pt>
                <c:pt idx="45">
                  <c:v>1997.1076300435268</c:v>
                </c:pt>
                <c:pt idx="46">
                  <c:v>2205.3336089165828</c:v>
                </c:pt>
                <c:pt idx="47">
                  <c:v>2408.5759859932546</c:v>
                </c:pt>
                <c:pt idx="48">
                  <c:v>2607.726852187302</c:v>
                </c:pt>
                <c:pt idx="49">
                  <c:v>2804.0214523162199</c:v>
                </c:pt>
                <c:pt idx="50">
                  <c:v>2731.6646058860792</c:v>
                </c:pt>
                <c:pt idx="51">
                  <c:v>2904.757528385343</c:v>
                </c:pt>
                <c:pt idx="52">
                  <c:v>3076.0717911139886</c:v>
                </c:pt>
                <c:pt idx="53">
                  <c:v>3244.7766094677272</c:v>
                </c:pt>
                <c:pt idx="54">
                  <c:v>3410.4482720459237</c:v>
                </c:pt>
                <c:pt idx="55">
                  <c:v>3573.0400168816986</c:v>
                </c:pt>
                <c:pt idx="56">
                  <c:v>3313.3127313627247</c:v>
                </c:pt>
                <c:pt idx="57">
                  <c:v>3455.8595255630157</c:v>
                </c:pt>
                <c:pt idx="58">
                  <c:v>3597.6378786536056</c:v>
                </c:pt>
                <c:pt idx="59">
                  <c:v>3738.0782716228155</c:v>
                </c:pt>
                <c:pt idx="60">
                  <c:v>3877.1315299521448</c:v>
                </c:pt>
                <c:pt idx="61">
                  <c:v>4014.9691611903345</c:v>
                </c:pt>
                <c:pt idx="62">
                  <c:v>3757.6952785865137</c:v>
                </c:pt>
                <c:pt idx="63">
                  <c:v>3881.9840980939543</c:v>
                </c:pt>
                <c:pt idx="64">
                  <c:v>4006.8237853572055</c:v>
                </c:pt>
                <c:pt idx="65">
                  <c:v>4131.1906109518332</c:v>
                </c:pt>
                <c:pt idx="66">
                  <c:v>4253.7309700508376</c:v>
                </c:pt>
                <c:pt idx="67">
                  <c:v>4377.3448509937361</c:v>
                </c:pt>
                <c:pt idx="68">
                  <c:v>4499.1414170774096</c:v>
                </c:pt>
                <c:pt idx="69">
                  <c:v>4170.3501538964101</c:v>
                </c:pt>
                <c:pt idx="70">
                  <c:v>4283.1965854346272</c:v>
                </c:pt>
                <c:pt idx="71">
                  <c:v>4396.1042740224402</c:v>
                </c:pt>
                <c:pt idx="72">
                  <c:v>4507.4797900998537</c:v>
                </c:pt>
                <c:pt idx="73">
                  <c:v>4620.5963843640902</c:v>
                </c:pt>
                <c:pt idx="74">
                  <c:v>4733.9280780636473</c:v>
                </c:pt>
                <c:pt idx="75">
                  <c:v>4847.5191713380063</c:v>
                </c:pt>
                <c:pt idx="76">
                  <c:v>4521.3023470950693</c:v>
                </c:pt>
                <c:pt idx="77">
                  <c:v>4627.7708653215241</c:v>
                </c:pt>
                <c:pt idx="78">
                  <c:v>4731.9043884200564</c:v>
                </c:pt>
                <c:pt idx="79">
                  <c:v>4838.1891281224007</c:v>
                </c:pt>
                <c:pt idx="80">
                  <c:v>4945.8590425170241</c:v>
                </c:pt>
                <c:pt idx="81">
                  <c:v>5053.0821861318273</c:v>
                </c:pt>
                <c:pt idx="82">
                  <c:v>5159.8984513405048</c:v>
                </c:pt>
                <c:pt idx="83">
                  <c:v>4835.1076159809718</c:v>
                </c:pt>
                <c:pt idx="84">
                  <c:v>4936.7701475202794</c:v>
                </c:pt>
                <c:pt idx="85">
                  <c:v>5040.9275015654212</c:v>
                </c:pt>
                <c:pt idx="86">
                  <c:v>5143.8107759114801</c:v>
                </c:pt>
                <c:pt idx="87">
                  <c:v>5247.298703145957</c:v>
                </c:pt>
                <c:pt idx="88">
                  <c:v>5350.5143463984814</c:v>
                </c:pt>
                <c:pt idx="89">
                  <c:v>5453.1286792534293</c:v>
                </c:pt>
                <c:pt idx="90">
                  <c:v>5182.070243411682</c:v>
                </c:pt>
                <c:pt idx="91">
                  <c:v>5282.3233246433165</c:v>
                </c:pt>
                <c:pt idx="92">
                  <c:v>5384.3728753746391</c:v>
                </c:pt>
                <c:pt idx="93">
                  <c:v>5485.9972702216264</c:v>
                </c:pt>
                <c:pt idx="94">
                  <c:v>5587.4230778613619</c:v>
                </c:pt>
                <c:pt idx="95">
                  <c:v>5689.5298968320558</c:v>
                </c:pt>
                <c:pt idx="96">
                  <c:v>5792.3207548535047</c:v>
                </c:pt>
                <c:pt idx="97">
                  <c:v>5894.9381269412797</c:v>
                </c:pt>
                <c:pt idx="98">
                  <c:v>5496.7404947202658</c:v>
                </c:pt>
                <c:pt idx="99">
                  <c:v>5597.1680314106825</c:v>
                </c:pt>
                <c:pt idx="100">
                  <c:v>5696.3609103628414</c:v>
                </c:pt>
                <c:pt idx="101">
                  <c:v>5796.2383047769554</c:v>
                </c:pt>
                <c:pt idx="102">
                  <c:v>5895.9510948686384</c:v>
                </c:pt>
                <c:pt idx="103">
                  <c:v>5995.5039545367208</c:v>
                </c:pt>
                <c:pt idx="104">
                  <c:v>6098.6417282076327</c:v>
                </c:pt>
                <c:pt idx="105">
                  <c:v>6199.5741223228961</c:v>
                </c:pt>
                <c:pt idx="106">
                  <c:v>6300.3419271381836</c:v>
                </c:pt>
                <c:pt idx="107">
                  <c:v>5792.8553642802608</c:v>
                </c:pt>
                <c:pt idx="108">
                  <c:v>5891.3349988263699</c:v>
                </c:pt>
                <c:pt idx="109">
                  <c:v>5988.7051350438778</c:v>
                </c:pt>
                <c:pt idx="110">
                  <c:v>6087.6648782989105</c:v>
                </c:pt>
                <c:pt idx="111">
                  <c:v>6185.4903856823748</c:v>
                </c:pt>
                <c:pt idx="112">
                  <c:v>6283.1177951266427</c:v>
                </c:pt>
                <c:pt idx="113">
                  <c:v>6383.9572669527279</c:v>
                </c:pt>
                <c:pt idx="114">
                  <c:v>6481.9876725614622</c:v>
                </c:pt>
                <c:pt idx="115">
                  <c:v>6581.4412775991814</c:v>
                </c:pt>
                <c:pt idx="116">
                  <c:v>6070.4403969935574</c:v>
                </c:pt>
                <c:pt idx="117">
                  <c:v>6167.0700855592713</c:v>
                </c:pt>
                <c:pt idx="118">
                  <c:v>6261.9974623382295</c:v>
                </c:pt>
                <c:pt idx="119">
                  <c:v>6358.8774373687793</c:v>
                </c:pt>
                <c:pt idx="120">
                  <c:v>6456.2477295773542</c:v>
                </c:pt>
                <c:pt idx="121">
                  <c:v>6551.942180711766</c:v>
                </c:pt>
                <c:pt idx="122">
                  <c:v>6648.6399218274501</c:v>
                </c:pt>
                <c:pt idx="123">
                  <c:v>6745.3121350328247</c:v>
                </c:pt>
                <c:pt idx="124">
                  <c:v>6842.8781966167189</c:v>
                </c:pt>
                <c:pt idx="125">
                  <c:v>6304.2975327733966</c:v>
                </c:pt>
                <c:pt idx="126">
                  <c:v>6397.9618441996063</c:v>
                </c:pt>
                <c:pt idx="127">
                  <c:v>6491.1747953341701</c:v>
                </c:pt>
                <c:pt idx="128">
                  <c:v>6584.7130834696773</c:v>
                </c:pt>
                <c:pt idx="129">
                  <c:v>6678.5472424637865</c:v>
                </c:pt>
                <c:pt idx="130">
                  <c:v>6771.8502200849107</c:v>
                </c:pt>
                <c:pt idx="131">
                  <c:v>6864.7574177851884</c:v>
                </c:pt>
                <c:pt idx="132">
                  <c:v>6957.7837775187745</c:v>
                </c:pt>
                <c:pt idx="133">
                  <c:v>7050.9910362669107</c:v>
                </c:pt>
                <c:pt idx="134">
                  <c:v>6505.8846634204192</c:v>
                </c:pt>
                <c:pt idx="135">
                  <c:v>6595.3232836524558</c:v>
                </c:pt>
                <c:pt idx="136">
                  <c:v>6684.5790981137543</c:v>
                </c:pt>
                <c:pt idx="137">
                  <c:v>6773.1418369608446</c:v>
                </c:pt>
                <c:pt idx="138">
                  <c:v>6861.7639081304178</c:v>
                </c:pt>
                <c:pt idx="139">
                  <c:v>6950.40921629682</c:v>
                </c:pt>
                <c:pt idx="140">
                  <c:v>7038.0256577573437</c:v>
                </c:pt>
                <c:pt idx="141">
                  <c:v>7125.7270239665568</c:v>
                </c:pt>
                <c:pt idx="142">
                  <c:v>7213.3374500407781</c:v>
                </c:pt>
                <c:pt idx="143">
                  <c:v>7299.2759679733763</c:v>
                </c:pt>
                <c:pt idx="144">
                  <c:v>6666.2630248548749</c:v>
                </c:pt>
                <c:pt idx="145">
                  <c:v>6749.0965161156792</c:v>
                </c:pt>
                <c:pt idx="146">
                  <c:v>6830.8519272259337</c:v>
                </c:pt>
                <c:pt idx="147">
                  <c:v>6911.3689403109538</c:v>
                </c:pt>
                <c:pt idx="148">
                  <c:v>6992.5442012255171</c:v>
                </c:pt>
                <c:pt idx="149">
                  <c:v>7073.4146428379854</c:v>
                </c:pt>
                <c:pt idx="150">
                  <c:v>7151.7224391874479</c:v>
                </c:pt>
                <c:pt idx="151">
                  <c:v>7230.212236068558</c:v>
                </c:pt>
                <c:pt idx="152">
                  <c:v>7307.2400836681172</c:v>
                </c:pt>
                <c:pt idx="153">
                  <c:v>7383.9195242664982</c:v>
                </c:pt>
                <c:pt idx="154">
                  <c:v>7460.8156905772703</c:v>
                </c:pt>
                <c:pt idx="155">
                  <c:v>7535.6608923744634</c:v>
                </c:pt>
                <c:pt idx="156">
                  <c:v>7608.1720544948212</c:v>
                </c:pt>
                <c:pt idx="157">
                  <c:v>7680.8309538769663</c:v>
                </c:pt>
                <c:pt idx="158">
                  <c:v>7752.7792634628195</c:v>
                </c:pt>
                <c:pt idx="159">
                  <c:v>6749.8375543095162</c:v>
                </c:pt>
                <c:pt idx="160">
                  <c:v>6815.2013980980846</c:v>
                </c:pt>
                <c:pt idx="161">
                  <c:v>6879.4754807293648</c:v>
                </c:pt>
                <c:pt idx="162">
                  <c:v>6941.8820200430036</c:v>
                </c:pt>
                <c:pt idx="163">
                  <c:v>7003.0686817842807</c:v>
                </c:pt>
                <c:pt idx="164">
                  <c:v>7062.9646941649207</c:v>
                </c:pt>
                <c:pt idx="165">
                  <c:v>7121.4981095001513</c:v>
                </c:pt>
                <c:pt idx="166">
                  <c:v>7177.904561645938</c:v>
                </c:pt>
                <c:pt idx="167">
                  <c:v>7232.123986220322</c:v>
                </c:pt>
                <c:pt idx="168">
                  <c:v>7284.7775180726358</c:v>
                </c:pt>
                <c:pt idx="169">
                  <c:v>7340.5775292490043</c:v>
                </c:pt>
                <c:pt idx="170">
                  <c:v>7389.4582550208233</c:v>
                </c:pt>
                <c:pt idx="171">
                  <c:v>7435.8930264673163</c:v>
                </c:pt>
                <c:pt idx="172">
                  <c:v>7486.0401693035265</c:v>
                </c:pt>
                <c:pt idx="173">
                  <c:v>7528.9817627131424</c:v>
                </c:pt>
                <c:pt idx="174">
                  <c:v>6559.0282699693626</c:v>
                </c:pt>
                <c:pt idx="175">
                  <c:v>6594.712315622307</c:v>
                </c:pt>
                <c:pt idx="176">
                  <c:v>6632.4004480303911</c:v>
                </c:pt>
                <c:pt idx="177">
                  <c:v>6662.7339318248896</c:v>
                </c:pt>
                <c:pt idx="178">
                  <c:v>6696.1125504153806</c:v>
                </c:pt>
                <c:pt idx="179">
                  <c:v>6720.7445813262148</c:v>
                </c:pt>
                <c:pt idx="180">
                  <c:v>6748.8572596444355</c:v>
                </c:pt>
                <c:pt idx="181">
                  <c:v>6767.4372619438054</c:v>
                </c:pt>
                <c:pt idx="182">
                  <c:v>6790.554345286203</c:v>
                </c:pt>
                <c:pt idx="183">
                  <c:v>6810.6086827499657</c:v>
                </c:pt>
                <c:pt idx="184">
                  <c:v>6819.8968409364061</c:v>
                </c:pt>
                <c:pt idx="185">
                  <c:v>6833.8617976639707</c:v>
                </c:pt>
                <c:pt idx="186">
                  <c:v>6844.5471845732336</c:v>
                </c:pt>
                <c:pt idx="187">
                  <c:v>6852.9978679555797</c:v>
                </c:pt>
                <c:pt idx="188">
                  <c:v>6857.4589714279346</c:v>
                </c:pt>
                <c:pt idx="189">
                  <c:v>5957.456470621787</c:v>
                </c:pt>
                <c:pt idx="190">
                  <c:v>5953.0299065498048</c:v>
                </c:pt>
                <c:pt idx="191">
                  <c:v>5945.0614262083282</c:v>
                </c:pt>
                <c:pt idx="192">
                  <c:v>5933.4378186012473</c:v>
                </c:pt>
                <c:pt idx="193">
                  <c:v>5918.0447253578859</c:v>
                </c:pt>
                <c:pt idx="194">
                  <c:v>5898.2847822189851</c:v>
                </c:pt>
                <c:pt idx="195">
                  <c:v>5874.0721454324148</c:v>
                </c:pt>
                <c:pt idx="196">
                  <c:v>5845.7822485407069</c:v>
                </c:pt>
                <c:pt idx="197">
                  <c:v>5813.2975395826161</c:v>
                </c:pt>
                <c:pt idx="198">
                  <c:v>5776.4994400249889</c:v>
                </c:pt>
                <c:pt idx="199">
                  <c:v>5734.4109719203825</c:v>
                </c:pt>
                <c:pt idx="200">
                  <c:v>5701.0993530836849</c:v>
                </c:pt>
                <c:pt idx="201">
                  <c:v>5650.3115154549178</c:v>
                </c:pt>
                <c:pt idx="202">
                  <c:v>5594.3863954997951</c:v>
                </c:pt>
                <c:pt idx="203">
                  <c:v>5533.6213090321198</c:v>
                </c:pt>
                <c:pt idx="204">
                  <c:v>4787.8362016962374</c:v>
                </c:pt>
                <c:pt idx="205">
                  <c:v>4718.4577783607483</c:v>
                </c:pt>
                <c:pt idx="206">
                  <c:v>4656.449936571159</c:v>
                </c:pt>
                <c:pt idx="207">
                  <c:v>4575.7200379826618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4E-4919-91D4-9F21B4DE04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0363184"/>
        <c:axId val="260363664"/>
      </c:scatterChart>
      <c:valAx>
        <c:axId val="260363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363664"/>
        <c:crosses val="autoZero"/>
        <c:crossBetween val="midCat"/>
      </c:valAx>
      <c:valAx>
        <c:axId val="26036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363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'turnover balance'!$Y$1:$Y$4</c:f>
              <c:strCache>
                <c:ptCount val="4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'turnover balance'!$B$5:$B$214</c:f>
              <c:strCache>
                <c:ptCount val="209"/>
                <c:pt idx="0">
                  <c:v>Basic assumptions</c:v>
                </c:pt>
                <c:pt idx="1">
                  <c:v>interest rate</c:v>
                </c:pt>
                <c:pt idx="7">
                  <c:v>Time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  <c:pt idx="21">
                  <c:v>11</c:v>
                </c:pt>
                <c:pt idx="22">
                  <c:v>12</c:v>
                </c:pt>
                <c:pt idx="23">
                  <c:v>13</c:v>
                </c:pt>
                <c:pt idx="24">
                  <c:v>14</c:v>
                </c:pt>
                <c:pt idx="25">
                  <c:v>15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20</c:v>
                </c:pt>
                <c:pt idx="31">
                  <c:v>21</c:v>
                </c:pt>
                <c:pt idx="32">
                  <c:v>22</c:v>
                </c:pt>
                <c:pt idx="33">
                  <c:v>23</c:v>
                </c:pt>
                <c:pt idx="34">
                  <c:v>24</c:v>
                </c:pt>
                <c:pt idx="35">
                  <c:v>25</c:v>
                </c:pt>
                <c:pt idx="36">
                  <c:v>26</c:v>
                </c:pt>
                <c:pt idx="37">
                  <c:v>27</c:v>
                </c:pt>
                <c:pt idx="38">
                  <c:v>28</c:v>
                </c:pt>
                <c:pt idx="39">
                  <c:v>29</c:v>
                </c:pt>
                <c:pt idx="40">
                  <c:v>30</c:v>
                </c:pt>
                <c:pt idx="41">
                  <c:v>31</c:v>
                </c:pt>
                <c:pt idx="42">
                  <c:v>32</c:v>
                </c:pt>
                <c:pt idx="43">
                  <c:v>33</c:v>
                </c:pt>
                <c:pt idx="44">
                  <c:v>34</c:v>
                </c:pt>
                <c:pt idx="45">
                  <c:v>35</c:v>
                </c:pt>
                <c:pt idx="46">
                  <c:v>36</c:v>
                </c:pt>
                <c:pt idx="47">
                  <c:v>37</c:v>
                </c:pt>
                <c:pt idx="48">
                  <c:v>38</c:v>
                </c:pt>
                <c:pt idx="49">
                  <c:v>39</c:v>
                </c:pt>
                <c:pt idx="50">
                  <c:v>40</c:v>
                </c:pt>
                <c:pt idx="51">
                  <c:v>41</c:v>
                </c:pt>
                <c:pt idx="52">
                  <c:v>42</c:v>
                </c:pt>
                <c:pt idx="53">
                  <c:v>43</c:v>
                </c:pt>
                <c:pt idx="54">
                  <c:v>44</c:v>
                </c:pt>
                <c:pt idx="55">
                  <c:v>45</c:v>
                </c:pt>
                <c:pt idx="56">
                  <c:v>46</c:v>
                </c:pt>
                <c:pt idx="57">
                  <c:v>47</c:v>
                </c:pt>
                <c:pt idx="58">
                  <c:v>48</c:v>
                </c:pt>
                <c:pt idx="59">
                  <c:v>49</c:v>
                </c:pt>
                <c:pt idx="60">
                  <c:v>50</c:v>
                </c:pt>
                <c:pt idx="61">
                  <c:v>51</c:v>
                </c:pt>
                <c:pt idx="62">
                  <c:v>52</c:v>
                </c:pt>
                <c:pt idx="63">
                  <c:v>53</c:v>
                </c:pt>
                <c:pt idx="64">
                  <c:v>54</c:v>
                </c:pt>
                <c:pt idx="65">
                  <c:v>55</c:v>
                </c:pt>
                <c:pt idx="66">
                  <c:v>56</c:v>
                </c:pt>
                <c:pt idx="67">
                  <c:v>57</c:v>
                </c:pt>
                <c:pt idx="68">
                  <c:v>58</c:v>
                </c:pt>
                <c:pt idx="69">
                  <c:v>59</c:v>
                </c:pt>
                <c:pt idx="70">
                  <c:v>60</c:v>
                </c:pt>
                <c:pt idx="71">
                  <c:v>61</c:v>
                </c:pt>
                <c:pt idx="72">
                  <c:v>62</c:v>
                </c:pt>
                <c:pt idx="73">
                  <c:v>63</c:v>
                </c:pt>
                <c:pt idx="74">
                  <c:v>64</c:v>
                </c:pt>
                <c:pt idx="75">
                  <c:v>65</c:v>
                </c:pt>
                <c:pt idx="76">
                  <c:v>66</c:v>
                </c:pt>
                <c:pt idx="77">
                  <c:v>67</c:v>
                </c:pt>
                <c:pt idx="78">
                  <c:v>68</c:v>
                </c:pt>
                <c:pt idx="79">
                  <c:v>69</c:v>
                </c:pt>
                <c:pt idx="80">
                  <c:v>70</c:v>
                </c:pt>
                <c:pt idx="81">
                  <c:v>71</c:v>
                </c:pt>
                <c:pt idx="82">
                  <c:v>72</c:v>
                </c:pt>
                <c:pt idx="83">
                  <c:v>73</c:v>
                </c:pt>
                <c:pt idx="84">
                  <c:v>74</c:v>
                </c:pt>
                <c:pt idx="85">
                  <c:v>75</c:v>
                </c:pt>
                <c:pt idx="86">
                  <c:v>76</c:v>
                </c:pt>
                <c:pt idx="87">
                  <c:v>77</c:v>
                </c:pt>
                <c:pt idx="88">
                  <c:v>78</c:v>
                </c:pt>
                <c:pt idx="89">
                  <c:v>79</c:v>
                </c:pt>
                <c:pt idx="90">
                  <c:v>80</c:v>
                </c:pt>
                <c:pt idx="91">
                  <c:v>81</c:v>
                </c:pt>
                <c:pt idx="92">
                  <c:v>82</c:v>
                </c:pt>
                <c:pt idx="93">
                  <c:v>83</c:v>
                </c:pt>
                <c:pt idx="94">
                  <c:v>84</c:v>
                </c:pt>
                <c:pt idx="95">
                  <c:v>85</c:v>
                </c:pt>
                <c:pt idx="96">
                  <c:v>86</c:v>
                </c:pt>
                <c:pt idx="97">
                  <c:v>87</c:v>
                </c:pt>
                <c:pt idx="98">
                  <c:v>88</c:v>
                </c:pt>
                <c:pt idx="99">
                  <c:v>89</c:v>
                </c:pt>
                <c:pt idx="100">
                  <c:v>90</c:v>
                </c:pt>
                <c:pt idx="101">
                  <c:v>91</c:v>
                </c:pt>
                <c:pt idx="102">
                  <c:v>92</c:v>
                </c:pt>
                <c:pt idx="103">
                  <c:v>93</c:v>
                </c:pt>
                <c:pt idx="104">
                  <c:v>94</c:v>
                </c:pt>
                <c:pt idx="105">
                  <c:v>95</c:v>
                </c:pt>
                <c:pt idx="106">
                  <c:v>96</c:v>
                </c:pt>
                <c:pt idx="107">
                  <c:v>97</c:v>
                </c:pt>
                <c:pt idx="108">
                  <c:v>98</c:v>
                </c:pt>
                <c:pt idx="109">
                  <c:v>99</c:v>
                </c:pt>
                <c:pt idx="110">
                  <c:v>100</c:v>
                </c:pt>
                <c:pt idx="111">
                  <c:v>101</c:v>
                </c:pt>
                <c:pt idx="112">
                  <c:v>102</c:v>
                </c:pt>
                <c:pt idx="113">
                  <c:v>103</c:v>
                </c:pt>
                <c:pt idx="114">
                  <c:v>104</c:v>
                </c:pt>
                <c:pt idx="115">
                  <c:v>105</c:v>
                </c:pt>
                <c:pt idx="116">
                  <c:v>106</c:v>
                </c:pt>
                <c:pt idx="117">
                  <c:v>107</c:v>
                </c:pt>
                <c:pt idx="118">
                  <c:v>108</c:v>
                </c:pt>
                <c:pt idx="119">
                  <c:v>109</c:v>
                </c:pt>
                <c:pt idx="120">
                  <c:v>110</c:v>
                </c:pt>
                <c:pt idx="121">
                  <c:v>111</c:v>
                </c:pt>
                <c:pt idx="122">
                  <c:v>112</c:v>
                </c:pt>
                <c:pt idx="123">
                  <c:v>113</c:v>
                </c:pt>
                <c:pt idx="124">
                  <c:v>114</c:v>
                </c:pt>
                <c:pt idx="125">
                  <c:v>115</c:v>
                </c:pt>
                <c:pt idx="126">
                  <c:v>116</c:v>
                </c:pt>
                <c:pt idx="127">
                  <c:v>117</c:v>
                </c:pt>
                <c:pt idx="128">
                  <c:v>118</c:v>
                </c:pt>
                <c:pt idx="129">
                  <c:v>119</c:v>
                </c:pt>
                <c:pt idx="130">
                  <c:v>120</c:v>
                </c:pt>
                <c:pt idx="131">
                  <c:v>121</c:v>
                </c:pt>
                <c:pt idx="132">
                  <c:v>122</c:v>
                </c:pt>
                <c:pt idx="133">
                  <c:v>123</c:v>
                </c:pt>
                <c:pt idx="134">
                  <c:v>124</c:v>
                </c:pt>
                <c:pt idx="135">
                  <c:v>125</c:v>
                </c:pt>
                <c:pt idx="136">
                  <c:v>126</c:v>
                </c:pt>
                <c:pt idx="137">
                  <c:v>127</c:v>
                </c:pt>
                <c:pt idx="138">
                  <c:v>128</c:v>
                </c:pt>
                <c:pt idx="139">
                  <c:v>129</c:v>
                </c:pt>
                <c:pt idx="140">
                  <c:v>130</c:v>
                </c:pt>
                <c:pt idx="141">
                  <c:v>131</c:v>
                </c:pt>
                <c:pt idx="142">
                  <c:v>132</c:v>
                </c:pt>
                <c:pt idx="143">
                  <c:v>133</c:v>
                </c:pt>
                <c:pt idx="144">
                  <c:v>134</c:v>
                </c:pt>
                <c:pt idx="145">
                  <c:v>135</c:v>
                </c:pt>
                <c:pt idx="146">
                  <c:v>136</c:v>
                </c:pt>
                <c:pt idx="147">
                  <c:v>137</c:v>
                </c:pt>
                <c:pt idx="148">
                  <c:v>138</c:v>
                </c:pt>
                <c:pt idx="149">
                  <c:v>139</c:v>
                </c:pt>
                <c:pt idx="150">
                  <c:v>140</c:v>
                </c:pt>
                <c:pt idx="151">
                  <c:v>141</c:v>
                </c:pt>
                <c:pt idx="152">
                  <c:v>142</c:v>
                </c:pt>
                <c:pt idx="153">
                  <c:v>143</c:v>
                </c:pt>
                <c:pt idx="154">
                  <c:v>144</c:v>
                </c:pt>
                <c:pt idx="155">
                  <c:v>145</c:v>
                </c:pt>
                <c:pt idx="156">
                  <c:v>146</c:v>
                </c:pt>
                <c:pt idx="157">
                  <c:v>147</c:v>
                </c:pt>
                <c:pt idx="158">
                  <c:v>148</c:v>
                </c:pt>
                <c:pt idx="159">
                  <c:v>149</c:v>
                </c:pt>
                <c:pt idx="160">
                  <c:v>150</c:v>
                </c:pt>
                <c:pt idx="161">
                  <c:v>151</c:v>
                </c:pt>
                <c:pt idx="162">
                  <c:v>152</c:v>
                </c:pt>
                <c:pt idx="163">
                  <c:v>153</c:v>
                </c:pt>
                <c:pt idx="164">
                  <c:v>154</c:v>
                </c:pt>
                <c:pt idx="165">
                  <c:v>155</c:v>
                </c:pt>
                <c:pt idx="166">
                  <c:v>156</c:v>
                </c:pt>
                <c:pt idx="167">
                  <c:v>157</c:v>
                </c:pt>
                <c:pt idx="168">
                  <c:v>158</c:v>
                </c:pt>
                <c:pt idx="169">
                  <c:v>159</c:v>
                </c:pt>
                <c:pt idx="170">
                  <c:v>160</c:v>
                </c:pt>
                <c:pt idx="171">
                  <c:v>161</c:v>
                </c:pt>
                <c:pt idx="172">
                  <c:v>162</c:v>
                </c:pt>
                <c:pt idx="173">
                  <c:v>163</c:v>
                </c:pt>
                <c:pt idx="174">
                  <c:v>164</c:v>
                </c:pt>
                <c:pt idx="175">
                  <c:v>165</c:v>
                </c:pt>
                <c:pt idx="176">
                  <c:v>166</c:v>
                </c:pt>
                <c:pt idx="177">
                  <c:v>167</c:v>
                </c:pt>
                <c:pt idx="178">
                  <c:v>168</c:v>
                </c:pt>
                <c:pt idx="179">
                  <c:v>169</c:v>
                </c:pt>
                <c:pt idx="180">
                  <c:v>170</c:v>
                </c:pt>
                <c:pt idx="181">
                  <c:v>171</c:v>
                </c:pt>
                <c:pt idx="182">
                  <c:v>172</c:v>
                </c:pt>
                <c:pt idx="183">
                  <c:v>173</c:v>
                </c:pt>
                <c:pt idx="184">
                  <c:v>174</c:v>
                </c:pt>
                <c:pt idx="185">
                  <c:v>175</c:v>
                </c:pt>
                <c:pt idx="186">
                  <c:v>176</c:v>
                </c:pt>
                <c:pt idx="187">
                  <c:v>177</c:v>
                </c:pt>
                <c:pt idx="188">
                  <c:v>178</c:v>
                </c:pt>
                <c:pt idx="189">
                  <c:v>179</c:v>
                </c:pt>
                <c:pt idx="190">
                  <c:v>180</c:v>
                </c:pt>
                <c:pt idx="191">
                  <c:v>181</c:v>
                </c:pt>
                <c:pt idx="192">
                  <c:v>182</c:v>
                </c:pt>
                <c:pt idx="193">
                  <c:v>183</c:v>
                </c:pt>
                <c:pt idx="194">
                  <c:v>184</c:v>
                </c:pt>
                <c:pt idx="195">
                  <c:v>185</c:v>
                </c:pt>
                <c:pt idx="196">
                  <c:v>186</c:v>
                </c:pt>
                <c:pt idx="197">
                  <c:v>187</c:v>
                </c:pt>
                <c:pt idx="198">
                  <c:v>188</c:v>
                </c:pt>
                <c:pt idx="199">
                  <c:v>189</c:v>
                </c:pt>
                <c:pt idx="200">
                  <c:v>190</c:v>
                </c:pt>
                <c:pt idx="201">
                  <c:v>191</c:v>
                </c:pt>
                <c:pt idx="202">
                  <c:v>192</c:v>
                </c:pt>
                <c:pt idx="203">
                  <c:v>193</c:v>
                </c:pt>
                <c:pt idx="204">
                  <c:v>194</c:v>
                </c:pt>
                <c:pt idx="205">
                  <c:v>195</c:v>
                </c:pt>
                <c:pt idx="206">
                  <c:v>196</c:v>
                </c:pt>
                <c:pt idx="207">
                  <c:v>197</c:v>
                </c:pt>
                <c:pt idx="208">
                  <c:v>198</c:v>
                </c:pt>
              </c:strCache>
            </c:strRef>
          </c:xVal>
          <c:yVal>
            <c:numRef>
              <c:f>'turnover balance'!$Y$5:$Y$214</c:f>
              <c:numCache>
                <c:formatCode>General</c:formatCode>
                <c:ptCount val="210"/>
                <c:pt idx="6">
                  <c:v>0</c:v>
                </c:pt>
                <c:pt idx="7">
                  <c:v>0</c:v>
                </c:pt>
                <c:pt idx="11" formatCode="0.0">
                  <c:v>0</c:v>
                </c:pt>
                <c:pt idx="12" formatCode="0.0">
                  <c:v>0</c:v>
                </c:pt>
                <c:pt idx="13" formatCode="0.0">
                  <c:v>0</c:v>
                </c:pt>
                <c:pt idx="14" formatCode="0.0">
                  <c:v>0</c:v>
                </c:pt>
                <c:pt idx="15" formatCode="0.0">
                  <c:v>0</c:v>
                </c:pt>
                <c:pt idx="16" formatCode="0.0">
                  <c:v>0</c:v>
                </c:pt>
                <c:pt idx="17" formatCode="0.0">
                  <c:v>0</c:v>
                </c:pt>
                <c:pt idx="18" formatCode="0.0">
                  <c:v>0</c:v>
                </c:pt>
                <c:pt idx="19" formatCode="0.0">
                  <c:v>0</c:v>
                </c:pt>
                <c:pt idx="20" formatCode="0.0">
                  <c:v>0</c:v>
                </c:pt>
                <c:pt idx="21" formatCode="0.0">
                  <c:v>0</c:v>
                </c:pt>
                <c:pt idx="22" formatCode="0.0">
                  <c:v>0</c:v>
                </c:pt>
                <c:pt idx="23" formatCode="0.0">
                  <c:v>0</c:v>
                </c:pt>
                <c:pt idx="24" formatCode="0.0">
                  <c:v>1.2142857142857142</c:v>
                </c:pt>
                <c:pt idx="25" formatCode="0.0">
                  <c:v>1.5599999999999998</c:v>
                </c:pt>
                <c:pt idx="26" formatCode="0.0">
                  <c:v>1.95625</c:v>
                </c:pt>
                <c:pt idx="27" formatCode="0.0">
                  <c:v>2.3941176470588239</c:v>
                </c:pt>
                <c:pt idx="28" formatCode="0.0">
                  <c:v>2.8722222222222222</c:v>
                </c:pt>
                <c:pt idx="29" formatCode="0.0">
                  <c:v>3.3842105263157891</c:v>
                </c:pt>
                <c:pt idx="30" formatCode="0.0">
                  <c:v>3.8450000000000002</c:v>
                </c:pt>
                <c:pt idx="31" formatCode="0.0">
                  <c:v>4.3380952380952387</c:v>
                </c:pt>
                <c:pt idx="32" formatCode="0.0">
                  <c:v>4.8454545454545457</c:v>
                </c:pt>
                <c:pt idx="33" formatCode="0.0">
                  <c:v>5.3695652173913047</c:v>
                </c:pt>
                <c:pt idx="34" formatCode="0.0">
                  <c:v>5.895833333333333</c:v>
                </c:pt>
                <c:pt idx="35" formatCode="0.0">
                  <c:v>6.3120000000000003</c:v>
                </c:pt>
                <c:pt idx="36" formatCode="0.0">
                  <c:v>6.7461538461538462</c:v>
                </c:pt>
                <c:pt idx="37" formatCode="0.0">
                  <c:v>7.177777777777778</c:v>
                </c:pt>
                <c:pt idx="38" formatCode="0.0">
                  <c:v>7.6035714285714286</c:v>
                </c:pt>
                <c:pt idx="39" formatCode="0.0">
                  <c:v>8.0275862068965527</c:v>
                </c:pt>
                <c:pt idx="40" formatCode="0.0">
                  <c:v>8.3566666666666656</c:v>
                </c:pt>
                <c:pt idx="41" formatCode="0.0">
                  <c:v>8.6903225806451605</c:v>
                </c:pt>
                <c:pt idx="42" formatCode="0.0">
                  <c:v>9.0187500000000007</c:v>
                </c:pt>
                <c:pt idx="43" formatCode="0.0">
                  <c:v>9.3363636363636378</c:v>
                </c:pt>
                <c:pt idx="44" formatCode="0.0">
                  <c:v>9.6470588235294112</c:v>
                </c:pt>
                <c:pt idx="45" formatCode="0.0">
                  <c:v>9.877142857142859</c:v>
                </c:pt>
                <c:pt idx="46" formatCode="0.0">
                  <c:v>10.108333333333333</c:v>
                </c:pt>
                <c:pt idx="47" formatCode="0.0">
                  <c:v>10.332432432432432</c:v>
                </c:pt>
                <c:pt idx="48" formatCode="0.0">
                  <c:v>10.55</c:v>
                </c:pt>
                <c:pt idx="49" formatCode="0.0">
                  <c:v>10.764102564102565</c:v>
                </c:pt>
                <c:pt idx="50" formatCode="0.0">
                  <c:v>10.93</c:v>
                </c:pt>
                <c:pt idx="51" formatCode="0.0">
                  <c:v>11.092682926829269</c:v>
                </c:pt>
                <c:pt idx="52" formatCode="0.0">
                  <c:v>11.252380952380953</c:v>
                </c:pt>
                <c:pt idx="53" formatCode="0.0">
                  <c:v>11.409302325581395</c:v>
                </c:pt>
                <c:pt idx="54" formatCode="0.0">
                  <c:v>11.561363636363636</c:v>
                </c:pt>
                <c:pt idx="55" formatCode="0.0">
                  <c:v>11.706666666666665</c:v>
                </c:pt>
                <c:pt idx="56" formatCode="0.0">
                  <c:v>11.81086956521739</c:v>
                </c:pt>
                <c:pt idx="57" formatCode="0.0">
                  <c:v>11.910638297872339</c:v>
                </c:pt>
                <c:pt idx="58" formatCode="0.0">
                  <c:v>12.008333333333333</c:v>
                </c:pt>
                <c:pt idx="59" formatCode="0.0">
                  <c:v>12.106122448979592</c:v>
                </c:pt>
                <c:pt idx="60" formatCode="0.0">
                  <c:v>12.2</c:v>
                </c:pt>
                <c:pt idx="61" formatCode="0.0">
                  <c:v>12.294117647058824</c:v>
                </c:pt>
                <c:pt idx="62" formatCode="0.0">
                  <c:v>12.36153846153846</c:v>
                </c:pt>
                <c:pt idx="63" formatCode="0.0">
                  <c:v>12.424528301886792</c:v>
                </c:pt>
                <c:pt idx="64" formatCode="0.0">
                  <c:v>12.487037037037036</c:v>
                </c:pt>
                <c:pt idx="65" formatCode="0.0">
                  <c:v>12.549090909090911</c:v>
                </c:pt>
                <c:pt idx="66" formatCode="0.0">
                  <c:v>12.610714285714286</c:v>
                </c:pt>
                <c:pt idx="67" formatCode="0.0">
                  <c:v>12.671929824561403</c:v>
                </c:pt>
                <c:pt idx="68" formatCode="0.0">
                  <c:v>12.732758620689655</c:v>
                </c:pt>
                <c:pt idx="69" formatCode="0.0">
                  <c:v>12.774576271186442</c:v>
                </c:pt>
                <c:pt idx="70" formatCode="0.0">
                  <c:v>12.811666666666667</c:v>
                </c:pt>
                <c:pt idx="71" formatCode="0.0">
                  <c:v>12.849180327868853</c:v>
                </c:pt>
                <c:pt idx="72" formatCode="0.0">
                  <c:v>12.887096774193548</c:v>
                </c:pt>
                <c:pt idx="73" formatCode="0.0">
                  <c:v>12.925396825396824</c:v>
                </c:pt>
                <c:pt idx="74" formatCode="0.0">
                  <c:v>12.964062500000001</c:v>
                </c:pt>
                <c:pt idx="75" formatCode="0.0">
                  <c:v>13.003076923076923</c:v>
                </c:pt>
                <c:pt idx="76" formatCode="0.0">
                  <c:v>13.028787878787881</c:v>
                </c:pt>
                <c:pt idx="77" formatCode="0.0">
                  <c:v>13.052238805970148</c:v>
                </c:pt>
                <c:pt idx="78" formatCode="0.0">
                  <c:v>13.075000000000001</c:v>
                </c:pt>
                <c:pt idx="79" formatCode="0.0">
                  <c:v>13.098550724637681</c:v>
                </c:pt>
                <c:pt idx="80" formatCode="0.0">
                  <c:v>13.124285714285715</c:v>
                </c:pt>
                <c:pt idx="81" formatCode="0.0">
                  <c:v>13.149295774647888</c:v>
                </c:pt>
                <c:pt idx="82" formatCode="0.0">
                  <c:v>13.173611111111111</c:v>
                </c:pt>
                <c:pt idx="83" formatCode="0.0">
                  <c:v>13.191780821917808</c:v>
                </c:pt>
                <c:pt idx="84" formatCode="0.0">
                  <c:v>13.205405405405406</c:v>
                </c:pt>
                <c:pt idx="85" formatCode="0.0">
                  <c:v>13.22</c:v>
                </c:pt>
                <c:pt idx="86" formatCode="0.0">
                  <c:v>13.235526315789475</c:v>
                </c:pt>
                <c:pt idx="87" formatCode="0.0">
                  <c:v>13.251948051948053</c:v>
                </c:pt>
                <c:pt idx="88" formatCode="0.0">
                  <c:v>13.26794871794872</c:v>
                </c:pt>
                <c:pt idx="89" formatCode="0.0">
                  <c:v>13.286075949367087</c:v>
                </c:pt>
                <c:pt idx="90" formatCode="0.0">
                  <c:v>13.297499999999999</c:v>
                </c:pt>
                <c:pt idx="91" formatCode="0.0">
                  <c:v>13.307407407407409</c:v>
                </c:pt>
                <c:pt idx="92" formatCode="0.0">
                  <c:v>13.317073170731707</c:v>
                </c:pt>
                <c:pt idx="93" formatCode="0.0">
                  <c:v>13.328915662650605</c:v>
                </c:pt>
                <c:pt idx="94" formatCode="0.0">
                  <c:v>13.34047619047619</c:v>
                </c:pt>
                <c:pt idx="95" formatCode="0.0">
                  <c:v>13.352941176470589</c:v>
                </c:pt>
                <c:pt idx="96" formatCode="0.0">
                  <c:v>13.366279069767442</c:v>
                </c:pt>
                <c:pt idx="97" formatCode="0.0">
                  <c:v>13.379310344827585</c:v>
                </c:pt>
                <c:pt idx="98" formatCode="0.0">
                  <c:v>13.387499999999999</c:v>
                </c:pt>
                <c:pt idx="99" formatCode="0.0">
                  <c:v>13.393258426966293</c:v>
                </c:pt>
                <c:pt idx="100" formatCode="0.0">
                  <c:v>13.4</c:v>
                </c:pt>
                <c:pt idx="101" formatCode="0.0">
                  <c:v>13.407692307692306</c:v>
                </c:pt>
                <c:pt idx="102" formatCode="0.0">
                  <c:v>13.415217391304346</c:v>
                </c:pt>
                <c:pt idx="103" formatCode="0.0">
                  <c:v>13.42258064516129</c:v>
                </c:pt>
                <c:pt idx="104" formatCode="0.0">
                  <c:v>13.431914893617021</c:v>
                </c:pt>
                <c:pt idx="105" formatCode="0.0">
                  <c:v>13.441052631578948</c:v>
                </c:pt>
                <c:pt idx="106" formatCode="0.0">
                  <c:v>13.449999999999998</c:v>
                </c:pt>
                <c:pt idx="107" formatCode="0.0">
                  <c:v>13.455670103092782</c:v>
                </c:pt>
                <c:pt idx="108" formatCode="0.0">
                  <c:v>13.458163265306123</c:v>
                </c:pt>
                <c:pt idx="109" formatCode="0.0">
                  <c:v>13.46161616161616</c:v>
                </c:pt>
                <c:pt idx="110" formatCode="0.0">
                  <c:v>13.465</c:v>
                </c:pt>
                <c:pt idx="111" formatCode="0.0">
                  <c:v>13.469306930693071</c:v>
                </c:pt>
                <c:pt idx="112" formatCode="0.0">
                  <c:v>13.473529411764705</c:v>
                </c:pt>
                <c:pt idx="113" formatCode="0.0">
                  <c:v>13.479611650485438</c:v>
                </c:pt>
                <c:pt idx="114" formatCode="0.0">
                  <c:v>13.484615384615385</c:v>
                </c:pt>
                <c:pt idx="115" formatCode="0.0">
                  <c:v>13.491428571428571</c:v>
                </c:pt>
                <c:pt idx="116" formatCode="0.0">
                  <c:v>13.495283018867925</c:v>
                </c:pt>
                <c:pt idx="117" formatCode="0.0">
                  <c:v>13.49626168224299</c:v>
                </c:pt>
                <c:pt idx="118" formatCode="0.0">
                  <c:v>13.49722222222222</c:v>
                </c:pt>
                <c:pt idx="119" formatCode="0.0">
                  <c:v>13.49908256880734</c:v>
                </c:pt>
                <c:pt idx="120" formatCode="0.0">
                  <c:v>13.50181818181818</c:v>
                </c:pt>
                <c:pt idx="121" formatCode="0.0">
                  <c:v>13.504504504504505</c:v>
                </c:pt>
                <c:pt idx="122" formatCode="0.0">
                  <c:v>13.507142857142856</c:v>
                </c:pt>
                <c:pt idx="123" formatCode="0.0">
                  <c:v>13.51150442477876</c:v>
                </c:pt>
                <c:pt idx="124" formatCode="0.0">
                  <c:v>13.51578947368421</c:v>
                </c:pt>
                <c:pt idx="125" formatCode="0.0">
                  <c:v>13.518260869565216</c:v>
                </c:pt>
                <c:pt idx="126" formatCode="0.0">
                  <c:v>13.518103448275861</c:v>
                </c:pt>
                <c:pt idx="127" formatCode="0.0">
                  <c:v>13.517948717948718</c:v>
                </c:pt>
                <c:pt idx="128" formatCode="0.0">
                  <c:v>13.518644067796609</c:v>
                </c:pt>
                <c:pt idx="129" formatCode="0.0">
                  <c:v>13.520168067226891</c:v>
                </c:pt>
                <c:pt idx="130" formatCode="0.0">
                  <c:v>13.521666666666667</c:v>
                </c:pt>
                <c:pt idx="131" formatCode="0.0">
                  <c:v>13.52396694214876</c:v>
                </c:pt>
                <c:pt idx="132" formatCode="0.0">
                  <c:v>13.526229508196719</c:v>
                </c:pt>
                <c:pt idx="133" formatCode="0.0">
                  <c:v>13.529268292682927</c:v>
                </c:pt>
                <c:pt idx="134" formatCode="0.0">
                  <c:v>13.53225806451613</c:v>
                </c:pt>
                <c:pt idx="135" formatCode="0.0">
                  <c:v>13.5312</c:v>
                </c:pt>
                <c:pt idx="136" formatCode="0.0">
                  <c:v>13.530952380952382</c:v>
                </c:pt>
                <c:pt idx="137" formatCode="0.0">
                  <c:v>13.530708661417323</c:v>
                </c:pt>
                <c:pt idx="138" formatCode="0.0">
                  <c:v>13.53125</c:v>
                </c:pt>
                <c:pt idx="139" formatCode="0.0">
                  <c:v>13.532558139534885</c:v>
                </c:pt>
                <c:pt idx="140" formatCode="0.0">
                  <c:v>13.533846153846154</c:v>
                </c:pt>
                <c:pt idx="141" formatCode="0.0">
                  <c:v>13.53587786259542</c:v>
                </c:pt>
                <c:pt idx="142" formatCode="0.0">
                  <c:v>13.538636363636362</c:v>
                </c:pt>
                <c:pt idx="143" formatCode="0.0">
                  <c:v>13.540601503759399</c:v>
                </c:pt>
                <c:pt idx="144" formatCode="0.0">
                  <c:v>13.54402985074627</c:v>
                </c:pt>
                <c:pt idx="145" formatCode="0.0">
                  <c:v>13.542962962962962</c:v>
                </c:pt>
                <c:pt idx="146" formatCode="0.0">
                  <c:v>13.54264705882353</c:v>
                </c:pt>
                <c:pt idx="147" formatCode="0.0">
                  <c:v>13.542335766423358</c:v>
                </c:pt>
                <c:pt idx="148" formatCode="0.0">
                  <c:v>13.542753623188407</c:v>
                </c:pt>
                <c:pt idx="149" formatCode="0.0">
                  <c:v>13.54388489208633</c:v>
                </c:pt>
                <c:pt idx="150" formatCode="0.0">
                  <c:v>13.545</c:v>
                </c:pt>
                <c:pt idx="151" formatCode="0.0">
                  <c:v>13.546099290780141</c:v>
                </c:pt>
                <c:pt idx="152" formatCode="0.0">
                  <c:v>13.548591549295775</c:v>
                </c:pt>
                <c:pt idx="153" formatCode="0.0">
                  <c:v>13.550349650349649</c:v>
                </c:pt>
                <c:pt idx="154" formatCode="0.0">
                  <c:v>13.55347222222222</c:v>
                </c:pt>
                <c:pt idx="155" formatCode="0.0">
                  <c:v>13.555862068965517</c:v>
                </c:pt>
                <c:pt idx="156" formatCode="0.0">
                  <c:v>13.559589041095888</c:v>
                </c:pt>
                <c:pt idx="157" formatCode="0.0">
                  <c:v>13.562585034013605</c:v>
                </c:pt>
                <c:pt idx="158" formatCode="0.0">
                  <c:v>13.566216216216215</c:v>
                </c:pt>
                <c:pt idx="159" formatCode="0.0">
                  <c:v>13.57248322147651</c:v>
                </c:pt>
                <c:pt idx="160" formatCode="0.0">
                  <c:v>13.571333333333333</c:v>
                </c:pt>
                <c:pt idx="161" formatCode="0.0">
                  <c:v>13.570860927152317</c:v>
                </c:pt>
                <c:pt idx="162" formatCode="0.0">
                  <c:v>13.570394736842104</c:v>
                </c:pt>
                <c:pt idx="163" formatCode="0.0">
                  <c:v>13.570588235294119</c:v>
                </c:pt>
                <c:pt idx="164" formatCode="0.0">
                  <c:v>13.571428571428571</c:v>
                </c:pt>
                <c:pt idx="165" formatCode="0.0">
                  <c:v>13.572903225806453</c:v>
                </c:pt>
                <c:pt idx="166" formatCode="0.0">
                  <c:v>13.574358974358974</c:v>
                </c:pt>
                <c:pt idx="167" formatCode="0.0">
                  <c:v>13.57579617834395</c:v>
                </c:pt>
                <c:pt idx="168" formatCode="0.0">
                  <c:v>13.577848101265824</c:v>
                </c:pt>
                <c:pt idx="169" formatCode="0.0">
                  <c:v>13.58050314465409</c:v>
                </c:pt>
                <c:pt idx="170" formatCode="0.0">
                  <c:v>13.583125000000001</c:v>
                </c:pt>
                <c:pt idx="171" formatCode="0.0">
                  <c:v>13.585714285714287</c:v>
                </c:pt>
                <c:pt idx="172" formatCode="0.0">
                  <c:v>13.588888888888889</c:v>
                </c:pt>
                <c:pt idx="173" formatCode="0.0">
                  <c:v>13.592638036809815</c:v>
                </c:pt>
                <c:pt idx="174" formatCode="0.0">
                  <c:v>13.598780487804877</c:v>
                </c:pt>
                <c:pt idx="175" formatCode="0.0">
                  <c:v>13.59878787878788</c:v>
                </c:pt>
                <c:pt idx="176" formatCode="0.0">
                  <c:v>13.598192771084339</c:v>
                </c:pt>
                <c:pt idx="177" formatCode="0.0">
                  <c:v>13.598802395209582</c:v>
                </c:pt>
                <c:pt idx="178" formatCode="0.0">
                  <c:v>13.599404761904761</c:v>
                </c:pt>
                <c:pt idx="179" formatCode="0.0">
                  <c:v>13.600591715976332</c:v>
                </c:pt>
                <c:pt idx="180" formatCode="0.0">
                  <c:v>13.601764705882355</c:v>
                </c:pt>
                <c:pt idx="181" formatCode="0.0">
                  <c:v>13.603508771929823</c:v>
                </c:pt>
                <c:pt idx="182" formatCode="0.0">
                  <c:v>13.60581395348837</c:v>
                </c:pt>
                <c:pt idx="183" formatCode="0.0">
                  <c:v>13.608092485549133</c:v>
                </c:pt>
                <c:pt idx="184" formatCode="0.0">
                  <c:v>13.610919540229887</c:v>
                </c:pt>
                <c:pt idx="185" formatCode="0.0">
                  <c:v>13.613714285714284</c:v>
                </c:pt>
                <c:pt idx="186" formatCode="0.0">
                  <c:v>13.616477272727273</c:v>
                </c:pt>
                <c:pt idx="187" formatCode="0.0">
                  <c:v>13.620338983050848</c:v>
                </c:pt>
                <c:pt idx="188" formatCode="0.0">
                  <c:v>13.623595505617978</c:v>
                </c:pt>
                <c:pt idx="189" formatCode="0.0">
                  <c:v>13.630726256983241</c:v>
                </c:pt>
                <c:pt idx="190" formatCode="0.0">
                  <c:v>13.630555555555556</c:v>
                </c:pt>
                <c:pt idx="191" formatCode="0.0">
                  <c:v>13.630939226519336</c:v>
                </c:pt>
                <c:pt idx="192" formatCode="0.0">
                  <c:v>13.631868131868131</c:v>
                </c:pt>
                <c:pt idx="193" formatCode="0.0">
                  <c:v>13.633333333333335</c:v>
                </c:pt>
                <c:pt idx="194" formatCode="0.0">
                  <c:v>13.634782608695653</c:v>
                </c:pt>
                <c:pt idx="195" formatCode="0.0">
                  <c:v>13.636216216216216</c:v>
                </c:pt>
                <c:pt idx="196" formatCode="0.0">
                  <c:v>13.638172043010751</c:v>
                </c:pt>
                <c:pt idx="197" formatCode="0.0">
                  <c:v>13.640641711229948</c:v>
                </c:pt>
                <c:pt idx="198" formatCode="0.0">
                  <c:v>13.643617021276595</c:v>
                </c:pt>
                <c:pt idx="199" formatCode="0.0">
                  <c:v>13.646031746031746</c:v>
                </c:pt>
                <c:pt idx="200" formatCode="0.0">
                  <c:v>13.649473684210527</c:v>
                </c:pt>
                <c:pt idx="201" formatCode="0.0">
                  <c:v>13.652879581151831</c:v>
                </c:pt>
                <c:pt idx="202" formatCode="0.0">
                  <c:v>13.65625</c:v>
                </c:pt>
                <c:pt idx="203" formatCode="0.0">
                  <c:v>13.660103626943005</c:v>
                </c:pt>
                <c:pt idx="204" formatCode="0.0">
                  <c:v>13.667525773195877</c:v>
                </c:pt>
                <c:pt idx="205" formatCode="0.0">
                  <c:v>13.668717948717946</c:v>
                </c:pt>
                <c:pt idx="206" formatCode="0.0">
                  <c:v>13.669897959183674</c:v>
                </c:pt>
                <c:pt idx="207" formatCode="0.0">
                  <c:v>13.671573604060915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AC-4CA7-84B5-E652B6664A19}"/>
            </c:ext>
          </c:extLst>
        </c:ser>
        <c:ser>
          <c:idx val="1"/>
          <c:order val="1"/>
          <c:tx>
            <c:strRef>
              <c:f>'turnover balance'!$Z$1:$Z$4</c:f>
              <c:strCache>
                <c:ptCount val="4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'turnover balance'!$B$5:$B$214</c:f>
              <c:strCache>
                <c:ptCount val="209"/>
                <c:pt idx="0">
                  <c:v>Basic assumptions</c:v>
                </c:pt>
                <c:pt idx="1">
                  <c:v>interest rate</c:v>
                </c:pt>
                <c:pt idx="7">
                  <c:v>Time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  <c:pt idx="21">
                  <c:v>11</c:v>
                </c:pt>
                <c:pt idx="22">
                  <c:v>12</c:v>
                </c:pt>
                <c:pt idx="23">
                  <c:v>13</c:v>
                </c:pt>
                <c:pt idx="24">
                  <c:v>14</c:v>
                </c:pt>
                <c:pt idx="25">
                  <c:v>15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20</c:v>
                </c:pt>
                <c:pt idx="31">
                  <c:v>21</c:v>
                </c:pt>
                <c:pt idx="32">
                  <c:v>22</c:v>
                </c:pt>
                <c:pt idx="33">
                  <c:v>23</c:v>
                </c:pt>
                <c:pt idx="34">
                  <c:v>24</c:v>
                </c:pt>
                <c:pt idx="35">
                  <c:v>25</c:v>
                </c:pt>
                <c:pt idx="36">
                  <c:v>26</c:v>
                </c:pt>
                <c:pt idx="37">
                  <c:v>27</c:v>
                </c:pt>
                <c:pt idx="38">
                  <c:v>28</c:v>
                </c:pt>
                <c:pt idx="39">
                  <c:v>29</c:v>
                </c:pt>
                <c:pt idx="40">
                  <c:v>30</c:v>
                </c:pt>
                <c:pt idx="41">
                  <c:v>31</c:v>
                </c:pt>
                <c:pt idx="42">
                  <c:v>32</c:v>
                </c:pt>
                <c:pt idx="43">
                  <c:v>33</c:v>
                </c:pt>
                <c:pt idx="44">
                  <c:v>34</c:v>
                </c:pt>
                <c:pt idx="45">
                  <c:v>35</c:v>
                </c:pt>
                <c:pt idx="46">
                  <c:v>36</c:v>
                </c:pt>
                <c:pt idx="47">
                  <c:v>37</c:v>
                </c:pt>
                <c:pt idx="48">
                  <c:v>38</c:v>
                </c:pt>
                <c:pt idx="49">
                  <c:v>39</c:v>
                </c:pt>
                <c:pt idx="50">
                  <c:v>40</c:v>
                </c:pt>
                <c:pt idx="51">
                  <c:v>41</c:v>
                </c:pt>
                <c:pt idx="52">
                  <c:v>42</c:v>
                </c:pt>
                <c:pt idx="53">
                  <c:v>43</c:v>
                </c:pt>
                <c:pt idx="54">
                  <c:v>44</c:v>
                </c:pt>
                <c:pt idx="55">
                  <c:v>45</c:v>
                </c:pt>
                <c:pt idx="56">
                  <c:v>46</c:v>
                </c:pt>
                <c:pt idx="57">
                  <c:v>47</c:v>
                </c:pt>
                <c:pt idx="58">
                  <c:v>48</c:v>
                </c:pt>
                <c:pt idx="59">
                  <c:v>49</c:v>
                </c:pt>
                <c:pt idx="60">
                  <c:v>50</c:v>
                </c:pt>
                <c:pt idx="61">
                  <c:v>51</c:v>
                </c:pt>
                <c:pt idx="62">
                  <c:v>52</c:v>
                </c:pt>
                <c:pt idx="63">
                  <c:v>53</c:v>
                </c:pt>
                <c:pt idx="64">
                  <c:v>54</c:v>
                </c:pt>
                <c:pt idx="65">
                  <c:v>55</c:v>
                </c:pt>
                <c:pt idx="66">
                  <c:v>56</c:v>
                </c:pt>
                <c:pt idx="67">
                  <c:v>57</c:v>
                </c:pt>
                <c:pt idx="68">
                  <c:v>58</c:v>
                </c:pt>
                <c:pt idx="69">
                  <c:v>59</c:v>
                </c:pt>
                <c:pt idx="70">
                  <c:v>60</c:v>
                </c:pt>
                <c:pt idx="71">
                  <c:v>61</c:v>
                </c:pt>
                <c:pt idx="72">
                  <c:v>62</c:v>
                </c:pt>
                <c:pt idx="73">
                  <c:v>63</c:v>
                </c:pt>
                <c:pt idx="74">
                  <c:v>64</c:v>
                </c:pt>
                <c:pt idx="75">
                  <c:v>65</c:v>
                </c:pt>
                <c:pt idx="76">
                  <c:v>66</c:v>
                </c:pt>
                <c:pt idx="77">
                  <c:v>67</c:v>
                </c:pt>
                <c:pt idx="78">
                  <c:v>68</c:v>
                </c:pt>
                <c:pt idx="79">
                  <c:v>69</c:v>
                </c:pt>
                <c:pt idx="80">
                  <c:v>70</c:v>
                </c:pt>
                <c:pt idx="81">
                  <c:v>71</c:v>
                </c:pt>
                <c:pt idx="82">
                  <c:v>72</c:v>
                </c:pt>
                <c:pt idx="83">
                  <c:v>73</c:v>
                </c:pt>
                <c:pt idx="84">
                  <c:v>74</c:v>
                </c:pt>
                <c:pt idx="85">
                  <c:v>75</c:v>
                </c:pt>
                <c:pt idx="86">
                  <c:v>76</c:v>
                </c:pt>
                <c:pt idx="87">
                  <c:v>77</c:v>
                </c:pt>
                <c:pt idx="88">
                  <c:v>78</c:v>
                </c:pt>
                <c:pt idx="89">
                  <c:v>79</c:v>
                </c:pt>
                <c:pt idx="90">
                  <c:v>80</c:v>
                </c:pt>
                <c:pt idx="91">
                  <c:v>81</c:v>
                </c:pt>
                <c:pt idx="92">
                  <c:v>82</c:v>
                </c:pt>
                <c:pt idx="93">
                  <c:v>83</c:v>
                </c:pt>
                <c:pt idx="94">
                  <c:v>84</c:v>
                </c:pt>
                <c:pt idx="95">
                  <c:v>85</c:v>
                </c:pt>
                <c:pt idx="96">
                  <c:v>86</c:v>
                </c:pt>
                <c:pt idx="97">
                  <c:v>87</c:v>
                </c:pt>
                <c:pt idx="98">
                  <c:v>88</c:v>
                </c:pt>
                <c:pt idx="99">
                  <c:v>89</c:v>
                </c:pt>
                <c:pt idx="100">
                  <c:v>90</c:v>
                </c:pt>
                <c:pt idx="101">
                  <c:v>91</c:v>
                </c:pt>
                <c:pt idx="102">
                  <c:v>92</c:v>
                </c:pt>
                <c:pt idx="103">
                  <c:v>93</c:v>
                </c:pt>
                <c:pt idx="104">
                  <c:v>94</c:v>
                </c:pt>
                <c:pt idx="105">
                  <c:v>95</c:v>
                </c:pt>
                <c:pt idx="106">
                  <c:v>96</c:v>
                </c:pt>
                <c:pt idx="107">
                  <c:v>97</c:v>
                </c:pt>
                <c:pt idx="108">
                  <c:v>98</c:v>
                </c:pt>
                <c:pt idx="109">
                  <c:v>99</c:v>
                </c:pt>
                <c:pt idx="110">
                  <c:v>100</c:v>
                </c:pt>
                <c:pt idx="111">
                  <c:v>101</c:v>
                </c:pt>
                <c:pt idx="112">
                  <c:v>102</c:v>
                </c:pt>
                <c:pt idx="113">
                  <c:v>103</c:v>
                </c:pt>
                <c:pt idx="114">
                  <c:v>104</c:v>
                </c:pt>
                <c:pt idx="115">
                  <c:v>105</c:v>
                </c:pt>
                <c:pt idx="116">
                  <c:v>106</c:v>
                </c:pt>
                <c:pt idx="117">
                  <c:v>107</c:v>
                </c:pt>
                <c:pt idx="118">
                  <c:v>108</c:v>
                </c:pt>
                <c:pt idx="119">
                  <c:v>109</c:v>
                </c:pt>
                <c:pt idx="120">
                  <c:v>110</c:v>
                </c:pt>
                <c:pt idx="121">
                  <c:v>111</c:v>
                </c:pt>
                <c:pt idx="122">
                  <c:v>112</c:v>
                </c:pt>
                <c:pt idx="123">
                  <c:v>113</c:v>
                </c:pt>
                <c:pt idx="124">
                  <c:v>114</c:v>
                </c:pt>
                <c:pt idx="125">
                  <c:v>115</c:v>
                </c:pt>
                <c:pt idx="126">
                  <c:v>116</c:v>
                </c:pt>
                <c:pt idx="127">
                  <c:v>117</c:v>
                </c:pt>
                <c:pt idx="128">
                  <c:v>118</c:v>
                </c:pt>
                <c:pt idx="129">
                  <c:v>119</c:v>
                </c:pt>
                <c:pt idx="130">
                  <c:v>120</c:v>
                </c:pt>
                <c:pt idx="131">
                  <c:v>121</c:v>
                </c:pt>
                <c:pt idx="132">
                  <c:v>122</c:v>
                </c:pt>
                <c:pt idx="133">
                  <c:v>123</c:v>
                </c:pt>
                <c:pt idx="134">
                  <c:v>124</c:v>
                </c:pt>
                <c:pt idx="135">
                  <c:v>125</c:v>
                </c:pt>
                <c:pt idx="136">
                  <c:v>126</c:v>
                </c:pt>
                <c:pt idx="137">
                  <c:v>127</c:v>
                </c:pt>
                <c:pt idx="138">
                  <c:v>128</c:v>
                </c:pt>
                <c:pt idx="139">
                  <c:v>129</c:v>
                </c:pt>
                <c:pt idx="140">
                  <c:v>130</c:v>
                </c:pt>
                <c:pt idx="141">
                  <c:v>131</c:v>
                </c:pt>
                <c:pt idx="142">
                  <c:v>132</c:v>
                </c:pt>
                <c:pt idx="143">
                  <c:v>133</c:v>
                </c:pt>
                <c:pt idx="144">
                  <c:v>134</c:v>
                </c:pt>
                <c:pt idx="145">
                  <c:v>135</c:v>
                </c:pt>
                <c:pt idx="146">
                  <c:v>136</c:v>
                </c:pt>
                <c:pt idx="147">
                  <c:v>137</c:v>
                </c:pt>
                <c:pt idx="148">
                  <c:v>138</c:v>
                </c:pt>
                <c:pt idx="149">
                  <c:v>139</c:v>
                </c:pt>
                <c:pt idx="150">
                  <c:v>140</c:v>
                </c:pt>
                <c:pt idx="151">
                  <c:v>141</c:v>
                </c:pt>
                <c:pt idx="152">
                  <c:v>142</c:v>
                </c:pt>
                <c:pt idx="153">
                  <c:v>143</c:v>
                </c:pt>
                <c:pt idx="154">
                  <c:v>144</c:v>
                </c:pt>
                <c:pt idx="155">
                  <c:v>145</c:v>
                </c:pt>
                <c:pt idx="156">
                  <c:v>146</c:v>
                </c:pt>
                <c:pt idx="157">
                  <c:v>147</c:v>
                </c:pt>
                <c:pt idx="158">
                  <c:v>148</c:v>
                </c:pt>
                <c:pt idx="159">
                  <c:v>149</c:v>
                </c:pt>
                <c:pt idx="160">
                  <c:v>150</c:v>
                </c:pt>
                <c:pt idx="161">
                  <c:v>151</c:v>
                </c:pt>
                <c:pt idx="162">
                  <c:v>152</c:v>
                </c:pt>
                <c:pt idx="163">
                  <c:v>153</c:v>
                </c:pt>
                <c:pt idx="164">
                  <c:v>154</c:v>
                </c:pt>
                <c:pt idx="165">
                  <c:v>155</c:v>
                </c:pt>
                <c:pt idx="166">
                  <c:v>156</c:v>
                </c:pt>
                <c:pt idx="167">
                  <c:v>157</c:v>
                </c:pt>
                <c:pt idx="168">
                  <c:v>158</c:v>
                </c:pt>
                <c:pt idx="169">
                  <c:v>159</c:v>
                </c:pt>
                <c:pt idx="170">
                  <c:v>160</c:v>
                </c:pt>
                <c:pt idx="171">
                  <c:v>161</c:v>
                </c:pt>
                <c:pt idx="172">
                  <c:v>162</c:v>
                </c:pt>
                <c:pt idx="173">
                  <c:v>163</c:v>
                </c:pt>
                <c:pt idx="174">
                  <c:v>164</c:v>
                </c:pt>
                <c:pt idx="175">
                  <c:v>165</c:v>
                </c:pt>
                <c:pt idx="176">
                  <c:v>166</c:v>
                </c:pt>
                <c:pt idx="177">
                  <c:v>167</c:v>
                </c:pt>
                <c:pt idx="178">
                  <c:v>168</c:v>
                </c:pt>
                <c:pt idx="179">
                  <c:v>169</c:v>
                </c:pt>
                <c:pt idx="180">
                  <c:v>170</c:v>
                </c:pt>
                <c:pt idx="181">
                  <c:v>171</c:v>
                </c:pt>
                <c:pt idx="182">
                  <c:v>172</c:v>
                </c:pt>
                <c:pt idx="183">
                  <c:v>173</c:v>
                </c:pt>
                <c:pt idx="184">
                  <c:v>174</c:v>
                </c:pt>
                <c:pt idx="185">
                  <c:v>175</c:v>
                </c:pt>
                <c:pt idx="186">
                  <c:v>176</c:v>
                </c:pt>
                <c:pt idx="187">
                  <c:v>177</c:v>
                </c:pt>
                <c:pt idx="188">
                  <c:v>178</c:v>
                </c:pt>
                <c:pt idx="189">
                  <c:v>179</c:v>
                </c:pt>
                <c:pt idx="190">
                  <c:v>180</c:v>
                </c:pt>
                <c:pt idx="191">
                  <c:v>181</c:v>
                </c:pt>
                <c:pt idx="192">
                  <c:v>182</c:v>
                </c:pt>
                <c:pt idx="193">
                  <c:v>183</c:v>
                </c:pt>
                <c:pt idx="194">
                  <c:v>184</c:v>
                </c:pt>
                <c:pt idx="195">
                  <c:v>185</c:v>
                </c:pt>
                <c:pt idx="196">
                  <c:v>186</c:v>
                </c:pt>
                <c:pt idx="197">
                  <c:v>187</c:v>
                </c:pt>
                <c:pt idx="198">
                  <c:v>188</c:v>
                </c:pt>
                <c:pt idx="199">
                  <c:v>189</c:v>
                </c:pt>
                <c:pt idx="200">
                  <c:v>190</c:v>
                </c:pt>
                <c:pt idx="201">
                  <c:v>191</c:v>
                </c:pt>
                <c:pt idx="202">
                  <c:v>192</c:v>
                </c:pt>
                <c:pt idx="203">
                  <c:v>193</c:v>
                </c:pt>
                <c:pt idx="204">
                  <c:v>194</c:v>
                </c:pt>
                <c:pt idx="205">
                  <c:v>195</c:v>
                </c:pt>
                <c:pt idx="206">
                  <c:v>196</c:v>
                </c:pt>
                <c:pt idx="207">
                  <c:v>197</c:v>
                </c:pt>
                <c:pt idx="208">
                  <c:v>198</c:v>
                </c:pt>
              </c:strCache>
            </c:strRef>
          </c:xVal>
          <c:yVal>
            <c:numRef>
              <c:f>'turnover balance'!$Z$5:$Z$214</c:f>
              <c:numCache>
                <c:formatCode>General</c:formatCode>
                <c:ptCount val="210"/>
                <c:pt idx="7">
                  <c:v>0</c:v>
                </c:pt>
                <c:pt idx="11" formatCode="0.0">
                  <c:v>0</c:v>
                </c:pt>
                <c:pt idx="12" formatCode="0.0">
                  <c:v>0</c:v>
                </c:pt>
                <c:pt idx="13" formatCode="0.0">
                  <c:v>0</c:v>
                </c:pt>
                <c:pt idx="14" formatCode="0.0">
                  <c:v>0</c:v>
                </c:pt>
                <c:pt idx="15" formatCode="0.0">
                  <c:v>0</c:v>
                </c:pt>
                <c:pt idx="16" formatCode="0.0">
                  <c:v>0</c:v>
                </c:pt>
                <c:pt idx="17" formatCode="0.0">
                  <c:v>0</c:v>
                </c:pt>
                <c:pt idx="18" formatCode="0.0">
                  <c:v>0</c:v>
                </c:pt>
                <c:pt idx="19" formatCode="0.0">
                  <c:v>0</c:v>
                </c:pt>
                <c:pt idx="20" formatCode="0.0">
                  <c:v>0</c:v>
                </c:pt>
                <c:pt idx="21" formatCode="0.0">
                  <c:v>0</c:v>
                </c:pt>
                <c:pt idx="22" formatCode="0.0">
                  <c:v>0</c:v>
                </c:pt>
                <c:pt idx="23" formatCode="0.0">
                  <c:v>17</c:v>
                </c:pt>
                <c:pt idx="24" formatCode="0.0">
                  <c:v>6.3999999999999986</c:v>
                </c:pt>
                <c:pt idx="25" formatCode="0.0">
                  <c:v>7.9000000000000021</c:v>
                </c:pt>
                <c:pt idx="26" formatCode="0.0">
                  <c:v>9.4000000000000021</c:v>
                </c:pt>
                <c:pt idx="27" formatCode="0.0">
                  <c:v>11</c:v>
                </c:pt>
                <c:pt idx="28" formatCode="0.0">
                  <c:v>12.599999999999994</c:v>
                </c:pt>
                <c:pt idx="29" formatCode="0.0">
                  <c:v>12.5</c:v>
                </c:pt>
                <c:pt idx="30" formatCode="0.0">
                  <c:v>14.200000000000003</c:v>
                </c:pt>
                <c:pt idx="31" formatCode="0.0">
                  <c:v>15.5</c:v>
                </c:pt>
                <c:pt idx="32" formatCode="0.0">
                  <c:v>16.899999999999991</c:v>
                </c:pt>
                <c:pt idx="33" formatCode="0.0">
                  <c:v>18</c:v>
                </c:pt>
                <c:pt idx="34" formatCode="0.0">
                  <c:v>16.299999999999997</c:v>
                </c:pt>
                <c:pt idx="35" formatCode="0.0">
                  <c:v>17.600000000000009</c:v>
                </c:pt>
                <c:pt idx="36" formatCode="0.0">
                  <c:v>18.400000000000006</c:v>
                </c:pt>
                <c:pt idx="37" formatCode="0.0">
                  <c:v>19.099999999999994</c:v>
                </c:pt>
                <c:pt idx="38" formatCode="0.0">
                  <c:v>19.900000000000006</c:v>
                </c:pt>
                <c:pt idx="39" formatCode="0.0">
                  <c:v>17.900000000000006</c:v>
                </c:pt>
                <c:pt idx="40" formatCode="0.0">
                  <c:v>18.699999999999989</c:v>
                </c:pt>
                <c:pt idx="41" formatCode="0.0">
                  <c:v>19.200000000000017</c:v>
                </c:pt>
                <c:pt idx="42" formatCode="0.0">
                  <c:v>19.5</c:v>
                </c:pt>
                <c:pt idx="43" formatCode="0.0">
                  <c:v>19.900000000000006</c:v>
                </c:pt>
                <c:pt idx="44" formatCode="0.0">
                  <c:v>17.700000000000017</c:v>
                </c:pt>
                <c:pt idx="45" formatCode="0.0">
                  <c:v>18.199999999999989</c:v>
                </c:pt>
                <c:pt idx="46" formatCode="0.0">
                  <c:v>18.400000000000006</c:v>
                </c:pt>
                <c:pt idx="47" formatCode="0.0">
                  <c:v>18.600000000000023</c:v>
                </c:pt>
                <c:pt idx="48" formatCode="0.0">
                  <c:v>18.899999999999977</c:v>
                </c:pt>
                <c:pt idx="49" formatCode="0.0">
                  <c:v>17.399999999999977</c:v>
                </c:pt>
                <c:pt idx="50" formatCode="0.0">
                  <c:v>17.600000000000023</c:v>
                </c:pt>
                <c:pt idx="51" formatCode="0.0">
                  <c:v>17.800000000000011</c:v>
                </c:pt>
                <c:pt idx="52" formatCode="0.0">
                  <c:v>18</c:v>
                </c:pt>
                <c:pt idx="53" formatCode="0.0">
                  <c:v>18.099999999999966</c:v>
                </c:pt>
                <c:pt idx="54" formatCode="0.0">
                  <c:v>18.100000000000023</c:v>
                </c:pt>
                <c:pt idx="55" formatCode="0.0">
                  <c:v>16.400000000000034</c:v>
                </c:pt>
                <c:pt idx="56" formatCode="0.0">
                  <c:v>16.5</c:v>
                </c:pt>
                <c:pt idx="57" formatCode="0.0">
                  <c:v>16.599999999999966</c:v>
                </c:pt>
                <c:pt idx="58" formatCode="0.0">
                  <c:v>16.800000000000011</c:v>
                </c:pt>
                <c:pt idx="59" formatCode="0.0">
                  <c:v>16.800000000000011</c:v>
                </c:pt>
                <c:pt idx="60" formatCode="0.0">
                  <c:v>17</c:v>
                </c:pt>
                <c:pt idx="61" formatCode="0.0">
                  <c:v>15.800000000000011</c:v>
                </c:pt>
                <c:pt idx="62" formatCode="0.0">
                  <c:v>15.699999999999989</c:v>
                </c:pt>
                <c:pt idx="63" formatCode="0.0">
                  <c:v>15.800000000000011</c:v>
                </c:pt>
                <c:pt idx="64" formatCode="0.0">
                  <c:v>15.899999999999977</c:v>
                </c:pt>
                <c:pt idx="65" formatCode="0.0">
                  <c:v>16</c:v>
                </c:pt>
                <c:pt idx="66" formatCode="0.0">
                  <c:v>16.100000000000023</c:v>
                </c:pt>
                <c:pt idx="67" formatCode="0.0">
                  <c:v>16.199999999999989</c:v>
                </c:pt>
                <c:pt idx="68" formatCode="0.0">
                  <c:v>15.199999999999989</c:v>
                </c:pt>
                <c:pt idx="69" formatCode="0.0">
                  <c:v>15</c:v>
                </c:pt>
                <c:pt idx="70" formatCode="0.0">
                  <c:v>15.100000000000023</c:v>
                </c:pt>
                <c:pt idx="71" formatCode="0.0">
                  <c:v>15.199999999999989</c:v>
                </c:pt>
                <c:pt idx="72" formatCode="0.0">
                  <c:v>15.300000000000011</c:v>
                </c:pt>
                <c:pt idx="73" formatCode="0.0">
                  <c:v>15.399999999999977</c:v>
                </c:pt>
                <c:pt idx="74" formatCode="0.0">
                  <c:v>15.5</c:v>
                </c:pt>
                <c:pt idx="75" formatCode="0.0">
                  <c:v>14.699999999999989</c:v>
                </c:pt>
                <c:pt idx="76" formatCode="0.0">
                  <c:v>14.599999999999966</c:v>
                </c:pt>
                <c:pt idx="77" formatCode="0.0">
                  <c:v>14.600000000000023</c:v>
                </c:pt>
                <c:pt idx="78" formatCode="0.0">
                  <c:v>14.699999999999989</c:v>
                </c:pt>
                <c:pt idx="79" formatCode="0.0">
                  <c:v>14.900000000000034</c:v>
                </c:pt>
                <c:pt idx="80" formatCode="0.0">
                  <c:v>14.899999999999977</c:v>
                </c:pt>
                <c:pt idx="81" formatCode="0.0">
                  <c:v>14.899999999999977</c:v>
                </c:pt>
                <c:pt idx="82" formatCode="0.0">
                  <c:v>14.5</c:v>
                </c:pt>
                <c:pt idx="83" formatCode="0.0">
                  <c:v>14.199999999999989</c:v>
                </c:pt>
                <c:pt idx="84" formatCode="0.0">
                  <c:v>14.300000000000011</c:v>
                </c:pt>
                <c:pt idx="85" formatCode="0.0">
                  <c:v>14.400000000000034</c:v>
                </c:pt>
                <c:pt idx="86" formatCode="0.0">
                  <c:v>14.5</c:v>
                </c:pt>
                <c:pt idx="87" formatCode="0.0">
                  <c:v>14.5</c:v>
                </c:pt>
                <c:pt idx="88" formatCode="0.0">
                  <c:v>14.699999999999932</c:v>
                </c:pt>
                <c:pt idx="89" formatCode="0.0">
                  <c:v>14.300000000000011</c:v>
                </c:pt>
                <c:pt idx="90" formatCode="0.0">
                  <c:v>14.100000000000023</c:v>
                </c:pt>
                <c:pt idx="91" formatCode="0.0">
                  <c:v>14.099999999999966</c:v>
                </c:pt>
                <c:pt idx="92" formatCode="0.0">
                  <c:v>14.300000000000068</c:v>
                </c:pt>
                <c:pt idx="93" formatCode="0.0">
                  <c:v>14.299999999999955</c:v>
                </c:pt>
                <c:pt idx="94" formatCode="0.0">
                  <c:v>14.399999999999977</c:v>
                </c:pt>
                <c:pt idx="95" formatCode="0.0">
                  <c:v>14.5</c:v>
                </c:pt>
                <c:pt idx="96" formatCode="0.0">
                  <c:v>14.5</c:v>
                </c:pt>
                <c:pt idx="97" formatCode="0.0">
                  <c:v>14.100000000000023</c:v>
                </c:pt>
                <c:pt idx="98" formatCode="0.0">
                  <c:v>13.899999999999977</c:v>
                </c:pt>
                <c:pt idx="99" formatCode="0.0">
                  <c:v>14</c:v>
                </c:pt>
                <c:pt idx="100" formatCode="0.0">
                  <c:v>14.100000000000023</c:v>
                </c:pt>
                <c:pt idx="101" formatCode="0.0">
                  <c:v>14.099999999999909</c:v>
                </c:pt>
                <c:pt idx="102" formatCode="0.0">
                  <c:v>14.100000000000023</c:v>
                </c:pt>
                <c:pt idx="103" formatCode="0.0">
                  <c:v>14.300000000000068</c:v>
                </c:pt>
                <c:pt idx="104" formatCode="0.0">
                  <c:v>14.299999999999955</c:v>
                </c:pt>
                <c:pt idx="105" formatCode="0.0">
                  <c:v>14.299999999999955</c:v>
                </c:pt>
                <c:pt idx="106" formatCode="0.0">
                  <c:v>14</c:v>
                </c:pt>
                <c:pt idx="107" formatCode="0.0">
                  <c:v>13.700000000000045</c:v>
                </c:pt>
                <c:pt idx="108" formatCode="0.0">
                  <c:v>13.799999999999955</c:v>
                </c:pt>
                <c:pt idx="109" formatCode="0.0">
                  <c:v>13.800000000000068</c:v>
                </c:pt>
                <c:pt idx="110" formatCode="0.0">
                  <c:v>13.899999999999977</c:v>
                </c:pt>
                <c:pt idx="111" formatCode="0.0">
                  <c:v>13.899999999999977</c:v>
                </c:pt>
                <c:pt idx="112" formatCode="0.0">
                  <c:v>14.100000000000023</c:v>
                </c:pt>
                <c:pt idx="113" formatCode="0.0">
                  <c:v>14</c:v>
                </c:pt>
                <c:pt idx="114" formatCode="0.0">
                  <c:v>14.199999999999932</c:v>
                </c:pt>
                <c:pt idx="115" formatCode="0.0">
                  <c:v>13.899999999999977</c:v>
                </c:pt>
                <c:pt idx="116" formatCode="0.0">
                  <c:v>13.600000000000023</c:v>
                </c:pt>
                <c:pt idx="117" formatCode="0.0">
                  <c:v>13.599999999999909</c:v>
                </c:pt>
                <c:pt idx="118" formatCode="0.0">
                  <c:v>13.700000000000045</c:v>
                </c:pt>
                <c:pt idx="119" formatCode="0.0">
                  <c:v>13.799999999999955</c:v>
                </c:pt>
                <c:pt idx="120" formatCode="0.0">
                  <c:v>13.800000000000068</c:v>
                </c:pt>
                <c:pt idx="121" formatCode="0.0">
                  <c:v>13.799999999999955</c:v>
                </c:pt>
                <c:pt idx="122" formatCode="0.0">
                  <c:v>14</c:v>
                </c:pt>
                <c:pt idx="123" formatCode="0.0">
                  <c:v>14</c:v>
                </c:pt>
                <c:pt idx="124" formatCode="0.0">
                  <c:v>13.799999999999955</c:v>
                </c:pt>
                <c:pt idx="125" formatCode="0.0">
                  <c:v>13.5</c:v>
                </c:pt>
                <c:pt idx="126" formatCode="0.0">
                  <c:v>13.5</c:v>
                </c:pt>
                <c:pt idx="127" formatCode="0.0">
                  <c:v>13.600000000000023</c:v>
                </c:pt>
                <c:pt idx="128" formatCode="0.0">
                  <c:v>13.700000000000045</c:v>
                </c:pt>
                <c:pt idx="129" formatCode="0.0">
                  <c:v>13.699999999999932</c:v>
                </c:pt>
                <c:pt idx="130" formatCode="0.0">
                  <c:v>13.800000000000068</c:v>
                </c:pt>
                <c:pt idx="131" formatCode="0.0">
                  <c:v>13.799999999999955</c:v>
                </c:pt>
                <c:pt idx="132" formatCode="0.0">
                  <c:v>13.899999999999977</c:v>
                </c:pt>
                <c:pt idx="133" formatCode="0.0">
                  <c:v>13.899999999999977</c:v>
                </c:pt>
                <c:pt idx="134" formatCode="0.0">
                  <c:v>13.399999999999977</c:v>
                </c:pt>
                <c:pt idx="135" formatCode="0.0">
                  <c:v>13.5</c:v>
                </c:pt>
                <c:pt idx="136" formatCode="0.0">
                  <c:v>13.5</c:v>
                </c:pt>
                <c:pt idx="137" formatCode="0.0">
                  <c:v>13.600000000000023</c:v>
                </c:pt>
                <c:pt idx="138" formatCode="0.0">
                  <c:v>13.700000000000045</c:v>
                </c:pt>
                <c:pt idx="139" formatCode="0.0">
                  <c:v>13.699999999999932</c:v>
                </c:pt>
                <c:pt idx="140" formatCode="0.0">
                  <c:v>13.800000000000068</c:v>
                </c:pt>
                <c:pt idx="141" formatCode="0.0">
                  <c:v>13.899999999999977</c:v>
                </c:pt>
                <c:pt idx="142" formatCode="0.0">
                  <c:v>13.799999999999955</c:v>
                </c:pt>
                <c:pt idx="143" formatCode="0.0">
                  <c:v>13.899999999999977</c:v>
                </c:pt>
                <c:pt idx="144" formatCode="0.0">
                  <c:v>13.399999999999977</c:v>
                </c:pt>
                <c:pt idx="145" formatCode="0.0">
                  <c:v>13.5</c:v>
                </c:pt>
                <c:pt idx="146" formatCode="0.0">
                  <c:v>13.5</c:v>
                </c:pt>
                <c:pt idx="147" formatCode="0.0">
                  <c:v>13.600000000000023</c:v>
                </c:pt>
                <c:pt idx="148" formatCode="0.0">
                  <c:v>13.699999999999932</c:v>
                </c:pt>
                <c:pt idx="149" formatCode="0.0">
                  <c:v>13.700000000000045</c:v>
                </c:pt>
                <c:pt idx="150" formatCode="0.0">
                  <c:v>13.700000000000045</c:v>
                </c:pt>
                <c:pt idx="151" formatCode="0.0">
                  <c:v>13.899999999999977</c:v>
                </c:pt>
                <c:pt idx="152" formatCode="0.0">
                  <c:v>13.799999999999955</c:v>
                </c:pt>
                <c:pt idx="153" formatCode="0.0">
                  <c:v>14</c:v>
                </c:pt>
                <c:pt idx="154" formatCode="0.0">
                  <c:v>13.899999999999977</c:v>
                </c:pt>
                <c:pt idx="155" formatCode="0.0">
                  <c:v>14.100000000000023</c:v>
                </c:pt>
                <c:pt idx="156" formatCode="0.0">
                  <c:v>14</c:v>
                </c:pt>
                <c:pt idx="157" formatCode="0.0">
                  <c:v>14.100000000000023</c:v>
                </c:pt>
                <c:pt idx="158" formatCode="0.0">
                  <c:v>14.5</c:v>
                </c:pt>
                <c:pt idx="159" formatCode="0.0">
                  <c:v>13.400000000000091</c:v>
                </c:pt>
                <c:pt idx="160" formatCode="0.0">
                  <c:v>13.5</c:v>
                </c:pt>
                <c:pt idx="161" formatCode="0.0">
                  <c:v>13.5</c:v>
                </c:pt>
                <c:pt idx="162" formatCode="0.0">
                  <c:v>13.599999999999909</c:v>
                </c:pt>
                <c:pt idx="163" formatCode="0.0">
                  <c:v>13.700000000000045</c:v>
                </c:pt>
                <c:pt idx="164" formatCode="0.0">
                  <c:v>13.799999999999955</c:v>
                </c:pt>
                <c:pt idx="165" formatCode="0.0">
                  <c:v>13.800000000000068</c:v>
                </c:pt>
                <c:pt idx="166" formatCode="0.0">
                  <c:v>13.799999999999955</c:v>
                </c:pt>
                <c:pt idx="167" formatCode="0.0">
                  <c:v>13.899999999999977</c:v>
                </c:pt>
                <c:pt idx="168" formatCode="0.0">
                  <c:v>14</c:v>
                </c:pt>
                <c:pt idx="169" formatCode="0.0">
                  <c:v>14</c:v>
                </c:pt>
                <c:pt idx="170" formatCode="0.0">
                  <c:v>14</c:v>
                </c:pt>
                <c:pt idx="171" formatCode="0.0">
                  <c:v>14.100000000000023</c:v>
                </c:pt>
                <c:pt idx="172" formatCode="0.0">
                  <c:v>14.200000000000045</c:v>
                </c:pt>
                <c:pt idx="173" formatCode="0.0">
                  <c:v>14.600000000000023</c:v>
                </c:pt>
                <c:pt idx="174" formatCode="0.0">
                  <c:v>13.600000000000023</c:v>
                </c:pt>
                <c:pt idx="175" formatCode="0.0">
                  <c:v>13.5</c:v>
                </c:pt>
                <c:pt idx="176" formatCode="0.0">
                  <c:v>13.699999999999932</c:v>
                </c:pt>
                <c:pt idx="177" formatCode="0.0">
                  <c:v>13.700000000000045</c:v>
                </c:pt>
                <c:pt idx="178" formatCode="0.0">
                  <c:v>13.799999999999955</c:v>
                </c:pt>
                <c:pt idx="179" formatCode="0.0">
                  <c:v>13.800000000000068</c:v>
                </c:pt>
                <c:pt idx="180" formatCode="0.0">
                  <c:v>13.899999999999977</c:v>
                </c:pt>
                <c:pt idx="181" formatCode="0.0">
                  <c:v>14</c:v>
                </c:pt>
                <c:pt idx="182" formatCode="0.0">
                  <c:v>14</c:v>
                </c:pt>
                <c:pt idx="183" formatCode="0.0">
                  <c:v>14.100000000000023</c:v>
                </c:pt>
                <c:pt idx="184" formatCode="0.0">
                  <c:v>14.099999999999909</c:v>
                </c:pt>
                <c:pt idx="185" formatCode="0.0">
                  <c:v>14.100000000000023</c:v>
                </c:pt>
                <c:pt idx="186" formatCode="0.0">
                  <c:v>14.300000000000068</c:v>
                </c:pt>
                <c:pt idx="187" formatCode="0.0">
                  <c:v>14.199999999999932</c:v>
                </c:pt>
                <c:pt idx="188" formatCode="0.0">
                  <c:v>14.899999999999977</c:v>
                </c:pt>
                <c:pt idx="189" formatCode="0.0">
                  <c:v>13.600000000000023</c:v>
                </c:pt>
                <c:pt idx="190" formatCode="0.0">
                  <c:v>13.699999999999932</c:v>
                </c:pt>
                <c:pt idx="191" formatCode="0.0">
                  <c:v>13.800000000000068</c:v>
                </c:pt>
                <c:pt idx="192" formatCode="0.0">
                  <c:v>13.899999999999977</c:v>
                </c:pt>
                <c:pt idx="193" formatCode="0.0">
                  <c:v>13.899999999999977</c:v>
                </c:pt>
                <c:pt idx="194" formatCode="0.0">
                  <c:v>13.899999999999977</c:v>
                </c:pt>
                <c:pt idx="195" formatCode="0.0">
                  <c:v>14</c:v>
                </c:pt>
                <c:pt idx="196" formatCode="0.0">
                  <c:v>14.100000000000023</c:v>
                </c:pt>
                <c:pt idx="197" formatCode="0.0">
                  <c:v>14.200000000000045</c:v>
                </c:pt>
                <c:pt idx="198" formatCode="0.0">
                  <c:v>14.099999999999909</c:v>
                </c:pt>
                <c:pt idx="199" formatCode="0.0">
                  <c:v>14.300000000000068</c:v>
                </c:pt>
                <c:pt idx="200" formatCode="0.0">
                  <c:v>14.299999999999955</c:v>
                </c:pt>
                <c:pt idx="201" formatCode="0.0">
                  <c:v>14.300000000000068</c:v>
                </c:pt>
                <c:pt idx="202" formatCode="0.0">
                  <c:v>14.399999999999977</c:v>
                </c:pt>
                <c:pt idx="203" formatCode="0.0">
                  <c:v>15.100000000000023</c:v>
                </c:pt>
                <c:pt idx="204" formatCode="0.0">
                  <c:v>13.899999999999977</c:v>
                </c:pt>
                <c:pt idx="205" formatCode="0.0">
                  <c:v>13.900000000000091</c:v>
                </c:pt>
                <c:pt idx="206" formatCode="0.0">
                  <c:v>14</c:v>
                </c:pt>
                <c:pt idx="207" formatCode="0.0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FAC-4CA7-84B5-E652B6664A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726720"/>
        <c:axId val="270728640"/>
      </c:scatterChart>
      <c:valAx>
        <c:axId val="270726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728640"/>
        <c:crosses val="autoZero"/>
        <c:crossBetween val="midCat"/>
      </c:valAx>
      <c:valAx>
        <c:axId val="27072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726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Price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'Assortment distribution &amp; Price'!$C$7:$V$7</c:f>
              <c:numCache>
                <c:formatCode>General</c:formatCode>
                <c:ptCount val="20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  <c:pt idx="15">
                  <c:v>77.5</c:v>
                </c:pt>
                <c:pt idx="16">
                  <c:v>82.5</c:v>
                </c:pt>
                <c:pt idx="17">
                  <c:v>87.5</c:v>
                </c:pt>
                <c:pt idx="18">
                  <c:v>92.5</c:v>
                </c:pt>
                <c:pt idx="19">
                  <c:v>97.5</c:v>
                </c:pt>
              </c:numCache>
            </c:numRef>
          </c:xVal>
          <c:yVal>
            <c:numRef>
              <c:f>'Assortment distribution &amp; Price'!$C$23:$V$23</c:f>
              <c:numCache>
                <c:formatCode>General</c:formatCode>
                <c:ptCount val="20"/>
                <c:pt idx="0">
                  <c:v>385.98766874128779</c:v>
                </c:pt>
                <c:pt idx="1">
                  <c:v>386.01009072715971</c:v>
                </c:pt>
                <c:pt idx="2">
                  <c:v>386.05551226899121</c:v>
                </c:pt>
                <c:pt idx="3">
                  <c:v>386.20536300330843</c:v>
                </c:pt>
                <c:pt idx="4">
                  <c:v>386.87920553843929</c:v>
                </c:pt>
                <c:pt idx="5">
                  <c:v>389.59570479793786</c:v>
                </c:pt>
                <c:pt idx="6">
                  <c:v>393.73248625258429</c:v>
                </c:pt>
                <c:pt idx="7">
                  <c:v>401.58688364773013</c:v>
                </c:pt>
                <c:pt idx="8">
                  <c:v>421.52694732243157</c:v>
                </c:pt>
                <c:pt idx="9">
                  <c:v>422.01818922488093</c:v>
                </c:pt>
                <c:pt idx="10">
                  <c:v>440.69719778927146</c:v>
                </c:pt>
                <c:pt idx="11">
                  <c:v>442.01689286640902</c:v>
                </c:pt>
                <c:pt idx="12">
                  <c:v>442.45998754211928</c:v>
                </c:pt>
                <c:pt idx="13">
                  <c:v>449.35474154543948</c:v>
                </c:pt>
                <c:pt idx="14">
                  <c:v>456.84060976927992</c:v>
                </c:pt>
                <c:pt idx="15">
                  <c:v>461.77054400226393</c:v>
                </c:pt>
                <c:pt idx="16">
                  <c:v>426.36813686391957</c:v>
                </c:pt>
                <c:pt idx="17">
                  <c:v>386</c:v>
                </c:pt>
                <c:pt idx="18">
                  <c:v>386</c:v>
                </c:pt>
                <c:pt idx="19">
                  <c:v>386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00-4B38-8942-72635C70372D}"/>
            </c:ext>
          </c:extLst>
        </c:ser>
        <c:ser>
          <c:idx val="1"/>
          <c:order val="1"/>
          <c:tx>
            <c:v>Price Using Polynomium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'Assortment distribution &amp; Price'!$C$7:$V$7</c:f>
              <c:numCache>
                <c:formatCode>General</c:formatCode>
                <c:ptCount val="20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  <c:pt idx="15">
                  <c:v>77.5</c:v>
                </c:pt>
                <c:pt idx="16">
                  <c:v>82.5</c:v>
                </c:pt>
                <c:pt idx="17">
                  <c:v>87.5</c:v>
                </c:pt>
                <c:pt idx="18">
                  <c:v>92.5</c:v>
                </c:pt>
                <c:pt idx="19">
                  <c:v>97.5</c:v>
                </c:pt>
              </c:numCache>
            </c:numRef>
          </c:xVal>
          <c:yVal>
            <c:numRef>
              <c:f>'Assortment distribution &amp; Price'!$C$24:$V$24</c:f>
              <c:numCache>
                <c:formatCode>General</c:formatCode>
                <c:ptCount val="20"/>
                <c:pt idx="0">
                  <c:v>392.57949218749997</c:v>
                </c:pt>
                <c:pt idx="1">
                  <c:v>383.64011718749998</c:v>
                </c:pt>
                <c:pt idx="2">
                  <c:v>379.95011718749998</c:v>
                </c:pt>
                <c:pt idx="3">
                  <c:v>380.54949218749999</c:v>
                </c:pt>
                <c:pt idx="4">
                  <c:v>384.52324218749999</c:v>
                </c:pt>
                <c:pt idx="5">
                  <c:v>391.00136718750002</c:v>
                </c:pt>
                <c:pt idx="6">
                  <c:v>399.15886718749994</c:v>
                </c:pt>
                <c:pt idx="7">
                  <c:v>408.21574218749998</c:v>
                </c:pt>
                <c:pt idx="8">
                  <c:v>417.43699218749998</c:v>
                </c:pt>
                <c:pt idx="9">
                  <c:v>426.13261718749993</c:v>
                </c:pt>
                <c:pt idx="10">
                  <c:v>433.65761718749997</c:v>
                </c:pt>
                <c:pt idx="11">
                  <c:v>439.4119921875</c:v>
                </c:pt>
                <c:pt idx="12">
                  <c:v>442.84074218749998</c:v>
                </c:pt>
                <c:pt idx="13">
                  <c:v>443.43386718749997</c:v>
                </c:pt>
                <c:pt idx="14">
                  <c:v>440.72636718749993</c:v>
                </c:pt>
                <c:pt idx="15">
                  <c:v>434.29824218749991</c:v>
                </c:pt>
                <c:pt idx="16">
                  <c:v>423.77449218749996</c:v>
                </c:pt>
                <c:pt idx="17">
                  <c:v>408.82511718749998</c:v>
                </c:pt>
                <c:pt idx="18">
                  <c:v>389.16511718750002</c:v>
                </c:pt>
                <c:pt idx="19">
                  <c:v>364.55449218749987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D00-4B38-8942-72635C7037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6116831"/>
        <c:axId val="1846106271"/>
      </c:scatterChart>
      <c:valAx>
        <c:axId val="1846116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106271"/>
        <c:crosses val="autoZero"/>
        <c:crossBetween val="midCat"/>
      </c:valAx>
      <c:valAx>
        <c:axId val="1846106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1168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1% RoI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coppice!$A$10:$A$25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coppice!$B$10:$B$25</c:f>
              <c:numCache>
                <c:formatCode>General</c:formatCode>
                <c:ptCount val="16"/>
                <c:pt idx="0">
                  <c:v>496.99024147926173</c:v>
                </c:pt>
                <c:pt idx="1">
                  <c:v>501.96014389405434</c:v>
                </c:pt>
                <c:pt idx="2">
                  <c:v>506.97974533299487</c:v>
                </c:pt>
                <c:pt idx="3">
                  <c:v>512.04954278632476</c:v>
                </c:pt>
                <c:pt idx="4">
                  <c:v>517.17003821418803</c:v>
                </c:pt>
                <c:pt idx="5">
                  <c:v>522.34173859632995</c:v>
                </c:pt>
                <c:pt idx="6">
                  <c:v>527.56515598229328</c:v>
                </c:pt>
                <c:pt idx="7">
                  <c:v>532.84080754211618</c:v>
                </c:pt>
                <c:pt idx="8">
                  <c:v>538.16921561753736</c:v>
                </c:pt>
                <c:pt idx="9">
                  <c:v>543.55090777371277</c:v>
                </c:pt>
                <c:pt idx="10">
                  <c:v>548.98641685144992</c:v>
                </c:pt>
                <c:pt idx="11">
                  <c:v>554.4762810199644</c:v>
                </c:pt>
                <c:pt idx="12">
                  <c:v>560.0210438301641</c:v>
                </c:pt>
                <c:pt idx="13">
                  <c:v>565.6212542684658</c:v>
                </c:pt>
                <c:pt idx="14">
                  <c:v>571.27746681115048</c:v>
                </c:pt>
                <c:pt idx="15">
                  <c:v>576.99024147926195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3A-4A9B-8C95-D1B2153FF265}"/>
            </c:ext>
          </c:extLst>
        </c:ser>
        <c:ser>
          <c:idx val="1"/>
          <c:order val="1"/>
          <c:tx>
            <c:v>3% RoI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coppice!$A$10:$A$25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coppice!$C$10:$C$25</c:f>
              <c:numCache>
                <c:formatCode>General</c:formatCode>
                <c:ptCount val="16"/>
                <c:pt idx="0">
                  <c:v>143.37754789943477</c:v>
                </c:pt>
                <c:pt idx="1">
                  <c:v>147.67887433641783</c:v>
                </c:pt>
                <c:pt idx="2">
                  <c:v>152.10924056651038</c:v>
                </c:pt>
                <c:pt idx="3">
                  <c:v>156.6725177835057</c:v>
                </c:pt>
                <c:pt idx="4">
                  <c:v>161.37269331701089</c:v>
                </c:pt>
                <c:pt idx="5">
                  <c:v>166.21387411652123</c:v>
                </c:pt>
                <c:pt idx="6">
                  <c:v>171.20029034001686</c:v>
                </c:pt>
                <c:pt idx="7">
                  <c:v>176.33629905021738</c:v>
                </c:pt>
                <c:pt idx="8">
                  <c:v>181.6263880217239</c:v>
                </c:pt>
                <c:pt idx="9">
                  <c:v>187.07517966237563</c:v>
                </c:pt>
                <c:pt idx="10">
                  <c:v>192.68743505224691</c:v>
                </c:pt>
                <c:pt idx="11">
                  <c:v>198.46805810381431</c:v>
                </c:pt>
                <c:pt idx="12">
                  <c:v>204.42209984692875</c:v>
                </c:pt>
                <c:pt idx="13">
                  <c:v>210.5547628423366</c:v>
                </c:pt>
                <c:pt idx="14">
                  <c:v>216.87140572760671</c:v>
                </c:pt>
                <c:pt idx="15">
                  <c:v>223.37754789943492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3A-4A9B-8C95-D1B2153FF265}"/>
            </c:ext>
          </c:extLst>
        </c:ser>
        <c:ser>
          <c:idx val="2"/>
          <c:order val="2"/>
          <c:tx>
            <c:v>5% RoI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coppice!$A$10:$A$25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coppice!$D$10:$D$25</c:f>
              <c:numCache>
                <c:formatCode>General</c:formatCode>
                <c:ptCount val="16"/>
                <c:pt idx="0">
                  <c:v>74.147660174790985</c:v>
                </c:pt>
                <c:pt idx="1">
                  <c:v>77.85504318353054</c:v>
                </c:pt>
                <c:pt idx="2">
                  <c:v>81.747795342707064</c:v>
                </c:pt>
                <c:pt idx="3">
                  <c:v>85.835185109842428</c:v>
                </c:pt>
                <c:pt idx="4">
                  <c:v>90.126944365334552</c:v>
                </c:pt>
                <c:pt idx="5">
                  <c:v>94.633291583601277</c:v>
                </c:pt>
                <c:pt idx="6">
                  <c:v>99.36495616278134</c:v>
                </c:pt>
                <c:pt idx="7">
                  <c:v>104.33320397092041</c:v>
                </c:pt>
                <c:pt idx="8">
                  <c:v>109.54986416946643</c:v>
                </c:pt>
                <c:pt idx="9">
                  <c:v>115.02735737793975</c:v>
                </c:pt>
                <c:pt idx="10">
                  <c:v>120.77872524683674</c:v>
                </c:pt>
                <c:pt idx="11">
                  <c:v>126.81766150917859</c:v>
                </c:pt>
                <c:pt idx="12">
                  <c:v>133.15854458463753</c:v>
                </c:pt>
                <c:pt idx="13">
                  <c:v>139.81647181386941</c:v>
                </c:pt>
                <c:pt idx="14">
                  <c:v>146.80729540456289</c:v>
                </c:pt>
                <c:pt idx="15">
                  <c:v>154.14766017479104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23A-4A9B-8C95-D1B2153FF2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661408"/>
        <c:axId val="223662368"/>
      </c:scatterChart>
      <c:valAx>
        <c:axId val="223661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 (years)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662368"/>
        <c:crosses val="autoZero"/>
        <c:crossBetween val="midCat"/>
      </c:valAx>
      <c:valAx>
        <c:axId val="22366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EV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661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 before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Cyclic beech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'cyclic beech'!$A$3:$A$163</c:f>
              <c:numCache>
                <c:formatCode>General</c:formatCode>
                <c:ptCount val="1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</c:numCache>
            </c:numRef>
          </c:xVal>
          <c:yVal>
            <c:numRef>
              <c:f>'cyclic beech'!$G$3:$G$95</c:f>
              <c:numCache>
                <c:formatCode>0</c:formatCode>
                <c:ptCount val="9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11-4DC8-8112-5680E3941853}"/>
            </c:ext>
          </c:extLst>
        </c:ser>
        <c:ser>
          <c:idx val="1"/>
          <c:order val="1"/>
          <c:tx>
            <c:v>plantation beech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'turnover balance'!$A$15:$A$125</c:f>
              <c:numCache>
                <c:formatCode>General</c:formatCode>
                <c:ptCount val="1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</c:numCache>
            </c:numRef>
          </c:xVal>
          <c:yVal>
            <c:numRef>
              <c:f>'turnover balance'!$Q$15:$Q$125</c:f>
              <c:numCache>
                <c:formatCode>General</c:formatCode>
                <c:ptCount val="111"/>
                <c:pt idx="0">
                  <c:v>154233.01274265698</c:v>
                </c:pt>
                <c:pt idx="1">
                  <c:v>199024.25793379682</c:v>
                </c:pt>
                <c:pt idx="2">
                  <c:v>207243.97680280375</c:v>
                </c:pt>
                <c:pt idx="3">
                  <c:v>212057.83645484579</c:v>
                </c:pt>
                <c:pt idx="4">
                  <c:v>216943.90400166844</c:v>
                </c:pt>
                <c:pt idx="5">
                  <c:v>221903.26256169344</c:v>
                </c:pt>
                <c:pt idx="6">
                  <c:v>226937.01150011882</c:v>
                </c:pt>
                <c:pt idx="7">
                  <c:v>230747.0666726206</c:v>
                </c:pt>
                <c:pt idx="8">
                  <c:v>234614.27267270989</c:v>
                </c:pt>
                <c:pt idx="9">
                  <c:v>241178.48676280052</c:v>
                </c:pt>
                <c:pt idx="10">
                  <c:v>244796.1640642425</c:v>
                </c:pt>
                <c:pt idx="11">
                  <c:v>254558.10652520612</c:v>
                </c:pt>
                <c:pt idx="12">
                  <c:v>258376.47812308418</c:v>
                </c:pt>
                <c:pt idx="13">
                  <c:v>262252.12529493042</c:v>
                </c:pt>
                <c:pt idx="14">
                  <c:v>266185.90717435436</c:v>
                </c:pt>
                <c:pt idx="15">
                  <c:v>270178.69578196964</c:v>
                </c:pt>
                <c:pt idx="16">
                  <c:v>274231.37621869915</c:v>
                </c:pt>
                <c:pt idx="17">
                  <c:v>278344.84686197963</c:v>
                </c:pt>
                <c:pt idx="18">
                  <c:v>282520.01956490928</c:v>
                </c:pt>
                <c:pt idx="19">
                  <c:v>286757.81985838286</c:v>
                </c:pt>
                <c:pt idx="20">
                  <c:v>287371.29803199961</c:v>
                </c:pt>
                <c:pt idx="21">
                  <c:v>291681.86750247958</c:v>
                </c:pt>
                <c:pt idx="22">
                  <c:v>296057.09551501676</c:v>
                </c:pt>
                <c:pt idx="23">
                  <c:v>300497.95194774197</c:v>
                </c:pt>
                <c:pt idx="24">
                  <c:v>305005.42122695805</c:v>
                </c:pt>
                <c:pt idx="25">
                  <c:v>299624.34982624138</c:v>
                </c:pt>
                <c:pt idx="26">
                  <c:v>304118.71507363499</c:v>
                </c:pt>
                <c:pt idx="27">
                  <c:v>308680.4957997395</c:v>
                </c:pt>
                <c:pt idx="28">
                  <c:v>313310.70323673554</c:v>
                </c:pt>
                <c:pt idx="29">
                  <c:v>318010.36378528655</c:v>
                </c:pt>
                <c:pt idx="30">
                  <c:v>309941.93394338578</c:v>
                </c:pt>
                <c:pt idx="31">
                  <c:v>314591.06295253657</c:v>
                </c:pt>
                <c:pt idx="32">
                  <c:v>319309.9288968246</c:v>
                </c:pt>
                <c:pt idx="33">
                  <c:v>324099.57783027692</c:v>
                </c:pt>
                <c:pt idx="34">
                  <c:v>328961.07149773103</c:v>
                </c:pt>
                <c:pt idx="35">
                  <c:v>315348.29867198906</c:v>
                </c:pt>
                <c:pt idx="36">
                  <c:v>320078.52315206884</c:v>
                </c:pt>
                <c:pt idx="37">
                  <c:v>324879.70099934982</c:v>
                </c:pt>
                <c:pt idx="38">
                  <c:v>329752.89651434001</c:v>
                </c:pt>
                <c:pt idx="39">
                  <c:v>334699.18996205507</c:v>
                </c:pt>
                <c:pt idx="40">
                  <c:v>322873.44013825111</c:v>
                </c:pt>
                <c:pt idx="41">
                  <c:v>327716.54174032487</c:v>
                </c:pt>
                <c:pt idx="42">
                  <c:v>332632.2898664297</c:v>
                </c:pt>
                <c:pt idx="43">
                  <c:v>337621.77421442611</c:v>
                </c:pt>
                <c:pt idx="44">
                  <c:v>342686.10082764248</c:v>
                </c:pt>
                <c:pt idx="45">
                  <c:v>347826.39234005706</c:v>
                </c:pt>
                <c:pt idx="46">
                  <c:v>325519.3828158126</c:v>
                </c:pt>
                <c:pt idx="47">
                  <c:v>330402.17355804978</c:v>
                </c:pt>
                <c:pt idx="48">
                  <c:v>335358.2061614205</c:v>
                </c:pt>
                <c:pt idx="49">
                  <c:v>340388.57925384177</c:v>
                </c:pt>
                <c:pt idx="50">
                  <c:v>345494.40794264938</c:v>
                </c:pt>
                <c:pt idx="51">
                  <c:v>350676.82406178908</c:v>
                </c:pt>
                <c:pt idx="52">
                  <c:v>329759.76601615472</c:v>
                </c:pt>
                <c:pt idx="53">
                  <c:v>334706.162506397</c:v>
                </c:pt>
                <c:pt idx="54">
                  <c:v>339726.75494399294</c:v>
                </c:pt>
                <c:pt idx="55">
                  <c:v>344822.65626815282</c:v>
                </c:pt>
                <c:pt idx="56">
                  <c:v>349994.99611217505</c:v>
                </c:pt>
                <c:pt idx="57">
                  <c:v>355244.92105385766</c:v>
                </c:pt>
                <c:pt idx="58">
                  <c:v>360573.59486966551</c:v>
                </c:pt>
                <c:pt idx="59">
                  <c:v>335785.77332793188</c:v>
                </c:pt>
                <c:pt idx="60">
                  <c:v>340822.55992785085</c:v>
                </c:pt>
                <c:pt idx="61">
                  <c:v>345934.8983267686</c:v>
                </c:pt>
                <c:pt idx="62">
                  <c:v>351123.92180167011</c:v>
                </c:pt>
                <c:pt idx="63">
                  <c:v>356390.78062869509</c:v>
                </c:pt>
                <c:pt idx="64">
                  <c:v>361736.6423381255</c:v>
                </c:pt>
                <c:pt idx="65">
                  <c:v>367162.69197319733</c:v>
                </c:pt>
                <c:pt idx="66">
                  <c:v>343255.66348167474</c:v>
                </c:pt>
                <c:pt idx="67">
                  <c:v>348404.49843389983</c:v>
                </c:pt>
                <c:pt idx="68">
                  <c:v>353630.56591040827</c:v>
                </c:pt>
                <c:pt idx="69">
                  <c:v>358935.02439906436</c:v>
                </c:pt>
                <c:pt idx="70">
                  <c:v>364319.04976505029</c:v>
                </c:pt>
                <c:pt idx="71">
                  <c:v>369783.83551152603</c:v>
                </c:pt>
                <c:pt idx="72">
                  <c:v>375330.59304419887</c:v>
                </c:pt>
                <c:pt idx="73">
                  <c:v>351911.5658008579</c:v>
                </c:pt>
                <c:pt idx="74">
                  <c:v>357190.23928787076</c:v>
                </c:pt>
                <c:pt idx="75">
                  <c:v>362548.09287718881</c:v>
                </c:pt>
                <c:pt idx="76">
                  <c:v>367986.3142703466</c:v>
                </c:pt>
                <c:pt idx="77">
                  <c:v>373506.10898440174</c:v>
                </c:pt>
                <c:pt idx="78">
                  <c:v>379108.70061916771</c:v>
                </c:pt>
                <c:pt idx="79">
                  <c:v>384795.33112845517</c:v>
                </c:pt>
                <c:pt idx="80">
                  <c:v>365294.68454490503</c:v>
                </c:pt>
                <c:pt idx="81">
                  <c:v>370774.10481307859</c:v>
                </c:pt>
                <c:pt idx="82">
                  <c:v>376335.71638527472</c:v>
                </c:pt>
                <c:pt idx="83">
                  <c:v>381980.75213105383</c:v>
                </c:pt>
                <c:pt idx="84">
                  <c:v>387710.46341301961</c:v>
                </c:pt>
                <c:pt idx="85">
                  <c:v>393526.12036421488</c:v>
                </c:pt>
                <c:pt idx="86">
                  <c:v>399429.01216967806</c:v>
                </c:pt>
                <c:pt idx="87">
                  <c:v>405420.44735222321</c:v>
                </c:pt>
                <c:pt idx="88">
                  <c:v>377777.31636201689</c:v>
                </c:pt>
                <c:pt idx="89">
                  <c:v>383443.97610744712</c:v>
                </c:pt>
                <c:pt idx="90">
                  <c:v>389195.6357490588</c:v>
                </c:pt>
                <c:pt idx="91">
                  <c:v>395033.57028529467</c:v>
                </c:pt>
                <c:pt idx="92">
                  <c:v>400959.07383957406</c:v>
                </c:pt>
                <c:pt idx="93">
                  <c:v>406973.45994716766</c:v>
                </c:pt>
                <c:pt idx="94">
                  <c:v>413078.06184637512</c:v>
                </c:pt>
                <c:pt idx="95">
                  <c:v>419274.2327740707</c:v>
                </c:pt>
                <c:pt idx="96">
                  <c:v>425563.34626568173</c:v>
                </c:pt>
                <c:pt idx="97">
                  <c:v>390829.6845808138</c:v>
                </c:pt>
                <c:pt idx="98">
                  <c:v>396692.12984952598</c:v>
                </c:pt>
                <c:pt idx="99">
                  <c:v>402642.51179726882</c:v>
                </c:pt>
                <c:pt idx="100">
                  <c:v>408682.1494742278</c:v>
                </c:pt>
                <c:pt idx="101">
                  <c:v>414812.38171634119</c:v>
                </c:pt>
                <c:pt idx="102">
                  <c:v>421034.56744208629</c:v>
                </c:pt>
                <c:pt idx="103">
                  <c:v>427350.08595371753</c:v>
                </c:pt>
                <c:pt idx="104">
                  <c:v>433760.33724302327</c:v>
                </c:pt>
                <c:pt idx="105">
                  <c:v>440266.74230166856</c:v>
                </c:pt>
                <c:pt idx="106">
                  <c:v>405531.65317548666</c:v>
                </c:pt>
                <c:pt idx="107">
                  <c:v>411614.62797311891</c:v>
                </c:pt>
                <c:pt idx="108">
                  <c:v>417788.84739271563</c:v>
                </c:pt>
                <c:pt idx="109">
                  <c:v>424055.68010360631</c:v>
                </c:pt>
                <c:pt idx="110">
                  <c:v>430416.51530516037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11-4DC8-8112-5680E39418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292640"/>
        <c:axId val="396293624"/>
      </c:scatterChart>
      <c:valAx>
        <c:axId val="396292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293624"/>
        <c:crosses val="autoZero"/>
        <c:crossBetween val="midCat"/>
      </c:valAx>
      <c:valAx>
        <c:axId val="396293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292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333375</xdr:colOff>
      <xdr:row>214</xdr:row>
      <xdr:rowOff>33338</xdr:rowOff>
    </xdr:from>
    <xdr:to>
      <xdr:col>5</xdr:col>
      <xdr:colOff>0</xdr:colOff>
      <xdr:row>229</xdr:row>
      <xdr:rowOff>61913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269AAB6-5275-97C8-A82F-34E5EEF7CF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214</xdr:row>
      <xdr:rowOff>49530</xdr:rowOff>
    </xdr:from>
    <xdr:to>
      <xdr:col>9</xdr:col>
      <xdr:colOff>529590</xdr:colOff>
      <xdr:row>229</xdr:row>
      <xdr:rowOff>49530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5F722D65-E16A-E5FD-D373-0537A0EC5E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542925</xdr:colOff>
      <xdr:row>230</xdr:row>
      <xdr:rowOff>104775</xdr:rowOff>
    </xdr:from>
    <xdr:to>
      <xdr:col>5</xdr:col>
      <xdr:colOff>0</xdr:colOff>
      <xdr:row>245</xdr:row>
      <xdr:rowOff>144340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2166E117-AE03-40F2-871C-587CD5A8EB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0</xdr:colOff>
      <xdr:row>230</xdr:row>
      <xdr:rowOff>166688</xdr:rowOff>
    </xdr:from>
    <xdr:to>
      <xdr:col>9</xdr:col>
      <xdr:colOff>552450</xdr:colOff>
      <xdr:row>246</xdr:row>
      <xdr:rowOff>14288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3347A33-381A-8270-BC25-EEDAC8186B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242455</xdr:colOff>
      <xdr:row>214</xdr:row>
      <xdr:rowOff>110836</xdr:rowOff>
    </xdr:from>
    <xdr:to>
      <xdr:col>14</xdr:col>
      <xdr:colOff>588818</xdr:colOff>
      <xdr:row>229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9E15C6-9B0B-9C31-9726-81C188C698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234950</xdr:colOff>
      <xdr:row>230</xdr:row>
      <xdr:rowOff>146050</xdr:rowOff>
    </xdr:from>
    <xdr:to>
      <xdr:col>14</xdr:col>
      <xdr:colOff>603250</xdr:colOff>
      <xdr:row>246</xdr:row>
      <xdr:rowOff>44450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E31BCAC-C213-5024-387F-9BEF7E7A6E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180975</xdr:colOff>
      <xdr:row>24</xdr:row>
      <xdr:rowOff>38108</xdr:rowOff>
    </xdr:from>
    <xdr:to>
      <xdr:col>13</xdr:col>
      <xdr:colOff>485775</xdr:colOff>
      <xdr:row>39</xdr:row>
      <xdr:rowOff>66683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4D07F6-5F6B-41E8-FF85-18C4510988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533400</xdr:colOff>
      <xdr:row>8</xdr:row>
      <xdr:rowOff>57150</xdr:rowOff>
    </xdr:from>
    <xdr:to>
      <xdr:col>14</xdr:col>
      <xdr:colOff>228600</xdr:colOff>
      <xdr:row>23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9B97C2-4DC0-330E-6878-0970F26BE0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439965</xdr:colOff>
      <xdr:row>25</xdr:row>
      <xdr:rowOff>66221</xdr:rowOff>
    </xdr:from>
    <xdr:to>
      <xdr:col>21</xdr:col>
      <xdr:colOff>149679</xdr:colOff>
      <xdr:row>40</xdr:row>
      <xdr:rowOff>87993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14"/>
  <sheetViews>
    <sheetView topLeftCell="A10" workbookViewId="0">
      <selection activeCell="C16" sqref="C16"/>
    </sheetView>
  </sheetViews>
  <sheetFormatPr defaultRowHeight="14.4" x14ac:dyDescent="0.3"/>
  <sheetData>
    <row r="1" spans="1:15" x14ac:dyDescent="0.3">
      <c r="A1" s="1" t="s">
        <v>0</v>
      </c>
    </row>
    <row r="2" spans="1:15" x14ac:dyDescent="0.3">
      <c r="A2" t="s">
        <v>125</v>
      </c>
    </row>
    <row r="3" spans="1:15" x14ac:dyDescent="0.3">
      <c r="A3" t="s">
        <v>84</v>
      </c>
    </row>
    <row r="4" spans="1:15" x14ac:dyDescent="0.3">
      <c r="A4" s="2" t="s">
        <v>1</v>
      </c>
      <c r="B4" s="3" t="s">
        <v>2</v>
      </c>
      <c r="C4" s="3"/>
      <c r="D4" s="3">
        <v>1</v>
      </c>
      <c r="E4" s="3" t="s">
        <v>3</v>
      </c>
      <c r="F4" s="4"/>
    </row>
    <row r="5" spans="1:15" x14ac:dyDescent="0.3">
      <c r="A5" s="5" t="s">
        <v>4</v>
      </c>
      <c r="B5" t="s">
        <v>5</v>
      </c>
      <c r="D5">
        <v>2</v>
      </c>
      <c r="E5" t="s">
        <v>6</v>
      </c>
      <c r="F5" s="6"/>
    </row>
    <row r="6" spans="1:15" x14ac:dyDescent="0.3">
      <c r="A6" s="7" t="s">
        <v>7</v>
      </c>
      <c r="B6" t="s">
        <v>8</v>
      </c>
      <c r="D6">
        <v>3</v>
      </c>
      <c r="E6" t="s">
        <v>9</v>
      </c>
      <c r="F6" s="6"/>
    </row>
    <row r="7" spans="1:15" x14ac:dyDescent="0.3">
      <c r="A7" s="7" t="s">
        <v>10</v>
      </c>
      <c r="B7" t="s">
        <v>11</v>
      </c>
      <c r="F7" s="6"/>
    </row>
    <row r="8" spans="1:15" x14ac:dyDescent="0.3">
      <c r="A8" s="52" t="s">
        <v>81</v>
      </c>
      <c r="B8" s="8" t="s">
        <v>82</v>
      </c>
      <c r="C8" s="8"/>
      <c r="D8" s="8"/>
      <c r="E8" s="8"/>
      <c r="F8" s="9"/>
    </row>
    <row r="10" spans="1:15" x14ac:dyDescent="0.3">
      <c r="A10" s="10" t="s">
        <v>83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</row>
    <row r="11" spans="1:15" x14ac:dyDescent="0.3">
      <c r="A11" s="10"/>
      <c r="B11" s="12" t="s">
        <v>32</v>
      </c>
      <c r="C11" s="13"/>
      <c r="D11" s="13"/>
      <c r="E11" s="13"/>
      <c r="F11" s="14"/>
      <c r="G11" s="12" t="s">
        <v>33</v>
      </c>
      <c r="H11" s="13"/>
      <c r="I11" s="13"/>
      <c r="J11" s="14"/>
      <c r="K11" s="12" t="s">
        <v>34</v>
      </c>
      <c r="L11" s="13"/>
      <c r="M11" s="13"/>
      <c r="N11" s="13"/>
      <c r="O11" s="14"/>
    </row>
    <row r="12" spans="1:15" x14ac:dyDescent="0.3">
      <c r="A12" s="10" t="s">
        <v>55</v>
      </c>
      <c r="B12" s="15" t="s">
        <v>12</v>
      </c>
      <c r="C12" s="10" t="s">
        <v>13</v>
      </c>
      <c r="D12" s="10" t="s">
        <v>14</v>
      </c>
      <c r="E12" s="10" t="s">
        <v>15</v>
      </c>
      <c r="F12" s="16" t="s">
        <v>16</v>
      </c>
      <c r="G12" s="15" t="s">
        <v>17</v>
      </c>
      <c r="H12" s="10" t="s">
        <v>18</v>
      </c>
      <c r="I12" s="10" t="s">
        <v>19</v>
      </c>
      <c r="J12" s="16" t="s">
        <v>20</v>
      </c>
      <c r="K12" s="15" t="s">
        <v>21</v>
      </c>
      <c r="L12" s="10" t="s">
        <v>22</v>
      </c>
      <c r="M12" s="10" t="s">
        <v>23</v>
      </c>
      <c r="N12" s="10" t="s">
        <v>24</v>
      </c>
      <c r="O12" s="16" t="s">
        <v>25</v>
      </c>
    </row>
    <row r="13" spans="1:15" x14ac:dyDescent="0.3">
      <c r="A13" s="10" t="s">
        <v>26</v>
      </c>
      <c r="B13" s="15" t="s">
        <v>27</v>
      </c>
      <c r="C13" s="10" t="s">
        <v>28</v>
      </c>
      <c r="D13" s="10" t="s">
        <v>29</v>
      </c>
      <c r="E13" s="10" t="s">
        <v>30</v>
      </c>
      <c r="F13" s="16" t="s">
        <v>31</v>
      </c>
      <c r="G13" s="15" t="s">
        <v>28</v>
      </c>
      <c r="H13" s="10" t="s">
        <v>29</v>
      </c>
      <c r="I13" s="10" t="s">
        <v>30</v>
      </c>
      <c r="J13" s="16" t="s">
        <v>31</v>
      </c>
      <c r="K13" s="15" t="s">
        <v>27</v>
      </c>
      <c r="L13" s="10" t="s">
        <v>28</v>
      </c>
      <c r="M13" s="10" t="s">
        <v>29</v>
      </c>
      <c r="N13" s="10" t="s">
        <v>30</v>
      </c>
      <c r="O13" s="16" t="s">
        <v>31</v>
      </c>
    </row>
    <row r="14" spans="1:15" x14ac:dyDescent="0.3">
      <c r="A14" s="11">
        <v>0</v>
      </c>
      <c r="B14" s="17"/>
      <c r="C14" s="11"/>
      <c r="D14" s="11"/>
      <c r="E14" s="11"/>
      <c r="F14" s="18"/>
      <c r="G14" s="17"/>
      <c r="H14" s="11"/>
      <c r="I14" s="11"/>
      <c r="J14" s="18"/>
      <c r="K14" s="17"/>
      <c r="L14" s="11"/>
      <c r="M14" s="11"/>
      <c r="N14" s="11"/>
      <c r="O14" s="18"/>
    </row>
    <row r="15" spans="1:15" x14ac:dyDescent="0.3">
      <c r="A15" s="11">
        <v>1</v>
      </c>
      <c r="B15" s="17"/>
      <c r="C15" s="11"/>
      <c r="D15" s="11"/>
      <c r="E15" s="11"/>
      <c r="F15" s="18"/>
      <c r="G15" s="17"/>
      <c r="H15" s="11"/>
      <c r="I15" s="11"/>
      <c r="J15" s="18"/>
      <c r="K15" s="17"/>
      <c r="L15" s="11"/>
      <c r="M15" s="11"/>
      <c r="N15" s="11"/>
      <c r="O15" s="18"/>
    </row>
    <row r="16" spans="1:15" x14ac:dyDescent="0.3">
      <c r="A16" s="11">
        <v>2</v>
      </c>
      <c r="B16" s="17"/>
      <c r="C16" s="11"/>
      <c r="D16" s="11"/>
      <c r="E16" s="11"/>
      <c r="F16" s="18"/>
      <c r="G16" s="17"/>
      <c r="H16" s="11"/>
      <c r="I16" s="11"/>
      <c r="J16" s="18"/>
      <c r="K16" s="17"/>
      <c r="L16" s="11"/>
      <c r="M16" s="11"/>
      <c r="N16" s="11"/>
      <c r="O16" s="18"/>
    </row>
    <row r="17" spans="1:19" x14ac:dyDescent="0.3">
      <c r="A17" s="11">
        <v>3</v>
      </c>
      <c r="B17" s="17"/>
      <c r="C17" s="11"/>
      <c r="D17" s="11"/>
      <c r="E17" s="11"/>
      <c r="F17" s="18"/>
      <c r="G17" s="17"/>
      <c r="H17" s="11"/>
      <c r="I17" s="11"/>
      <c r="J17" s="18"/>
      <c r="K17" s="17"/>
      <c r="L17" s="11"/>
      <c r="M17" s="11"/>
      <c r="N17" s="11"/>
      <c r="O17" s="18"/>
    </row>
    <row r="18" spans="1:19" x14ac:dyDescent="0.3">
      <c r="A18" s="11">
        <v>4</v>
      </c>
      <c r="B18" s="17"/>
      <c r="C18" s="11"/>
      <c r="D18" s="11"/>
      <c r="E18" s="11"/>
      <c r="F18" s="18"/>
      <c r="G18" s="17"/>
      <c r="H18" s="11"/>
      <c r="I18" s="11"/>
      <c r="J18" s="18"/>
      <c r="K18" s="17"/>
      <c r="L18" s="11"/>
      <c r="M18" s="11"/>
      <c r="N18" s="11"/>
      <c r="O18" s="18"/>
    </row>
    <row r="19" spans="1:19" x14ac:dyDescent="0.3">
      <c r="A19" s="11">
        <v>5</v>
      </c>
      <c r="B19" s="17"/>
      <c r="C19" s="11"/>
      <c r="D19" s="11"/>
      <c r="E19" s="11"/>
      <c r="F19" s="18"/>
      <c r="G19" s="17"/>
      <c r="H19" s="11"/>
      <c r="I19" s="11"/>
      <c r="J19" s="18"/>
      <c r="K19" s="17"/>
      <c r="L19" s="11"/>
      <c r="M19" s="11"/>
      <c r="N19" s="11"/>
      <c r="O19" s="18"/>
    </row>
    <row r="20" spans="1:19" x14ac:dyDescent="0.3">
      <c r="A20" s="11">
        <v>6</v>
      </c>
      <c r="B20" s="17"/>
      <c r="C20" s="11"/>
      <c r="D20" s="11"/>
      <c r="E20" s="11"/>
      <c r="F20" s="18"/>
      <c r="G20" s="17"/>
      <c r="H20" s="11"/>
      <c r="I20" s="11"/>
      <c r="J20" s="18"/>
      <c r="K20" s="17"/>
      <c r="L20" s="11"/>
      <c r="M20" s="11"/>
      <c r="N20" s="11"/>
      <c r="O20" s="18"/>
    </row>
    <row r="21" spans="1:19" x14ac:dyDescent="0.3">
      <c r="A21" s="11">
        <v>7</v>
      </c>
      <c r="B21" s="17"/>
      <c r="C21" s="11"/>
      <c r="D21" s="11"/>
      <c r="E21" s="11"/>
      <c r="F21" s="18"/>
      <c r="G21" s="17"/>
      <c r="H21" s="11"/>
      <c r="I21" s="11"/>
      <c r="J21" s="18"/>
      <c r="K21" s="17"/>
      <c r="L21" s="11"/>
      <c r="M21" s="11"/>
      <c r="N21" s="11"/>
      <c r="O21" s="18"/>
    </row>
    <row r="22" spans="1:19" x14ac:dyDescent="0.3">
      <c r="A22" s="11">
        <v>8</v>
      </c>
      <c r="B22" s="17"/>
      <c r="C22" s="11"/>
      <c r="D22" s="11"/>
      <c r="E22" s="11"/>
      <c r="F22" s="18"/>
      <c r="G22" s="17"/>
      <c r="H22" s="11"/>
      <c r="I22" s="11"/>
      <c r="J22" s="18"/>
      <c r="K22" s="17"/>
      <c r="L22" s="11"/>
      <c r="M22" s="11"/>
      <c r="N22" s="11"/>
      <c r="O22" s="18"/>
    </row>
    <row r="23" spans="1:19" x14ac:dyDescent="0.3">
      <c r="A23" s="11">
        <v>9</v>
      </c>
      <c r="B23" s="17"/>
      <c r="C23" s="11"/>
      <c r="D23" s="11"/>
      <c r="E23" s="11"/>
      <c r="F23" s="18"/>
      <c r="G23" s="17"/>
      <c r="H23" s="11"/>
      <c r="I23" s="11"/>
      <c r="J23" s="18"/>
      <c r="K23" s="17"/>
      <c r="L23" s="11"/>
      <c r="M23" s="11"/>
      <c r="N23" s="11"/>
      <c r="O23" s="18"/>
    </row>
    <row r="24" spans="1:19" x14ac:dyDescent="0.3">
      <c r="A24" s="11">
        <v>10</v>
      </c>
      <c r="B24" s="17"/>
      <c r="C24" s="11"/>
      <c r="D24" s="11"/>
      <c r="E24" s="11"/>
      <c r="F24" s="18"/>
      <c r="G24" s="17"/>
      <c r="H24" s="11"/>
      <c r="I24" s="11"/>
      <c r="J24" s="18"/>
      <c r="K24" s="17"/>
      <c r="L24" s="11"/>
      <c r="M24" s="11"/>
      <c r="N24" s="11"/>
      <c r="O24" s="18"/>
    </row>
    <row r="25" spans="1:19" x14ac:dyDescent="0.3">
      <c r="A25" s="11">
        <v>11</v>
      </c>
      <c r="B25" s="17"/>
      <c r="C25" s="11"/>
      <c r="D25" s="11"/>
      <c r="E25" s="11"/>
      <c r="F25" s="18"/>
      <c r="G25" s="17"/>
      <c r="H25" s="11"/>
      <c r="I25" s="11"/>
      <c r="J25" s="18"/>
      <c r="K25" s="17"/>
      <c r="L25" s="11"/>
      <c r="M25" s="11"/>
      <c r="N25" s="11"/>
      <c r="O25" s="18"/>
    </row>
    <row r="26" spans="1:19" x14ac:dyDescent="0.3">
      <c r="A26" s="11">
        <v>12</v>
      </c>
      <c r="B26" s="17"/>
      <c r="C26" s="11"/>
      <c r="D26" s="11"/>
      <c r="E26" s="11"/>
      <c r="F26" s="18"/>
      <c r="G26" s="17"/>
      <c r="H26" s="11"/>
      <c r="I26" s="11"/>
      <c r="J26" s="18"/>
      <c r="K26" s="17"/>
      <c r="L26" s="11"/>
      <c r="M26" s="11"/>
      <c r="N26" s="11"/>
      <c r="O26" s="18"/>
    </row>
    <row r="27" spans="1:19" x14ac:dyDescent="0.3">
      <c r="A27" s="11">
        <v>13</v>
      </c>
      <c r="B27" s="17"/>
      <c r="C27" s="11"/>
      <c r="D27" s="11"/>
      <c r="E27" s="11"/>
      <c r="F27" s="18"/>
      <c r="G27" s="17"/>
      <c r="H27" s="11"/>
      <c r="I27" s="11"/>
      <c r="J27" s="18"/>
      <c r="K27" s="17"/>
      <c r="L27" s="11"/>
      <c r="M27" s="11"/>
      <c r="N27" s="11"/>
      <c r="O27" s="18"/>
    </row>
    <row r="28" spans="1:19" x14ac:dyDescent="0.3">
      <c r="A28" s="11">
        <v>14</v>
      </c>
      <c r="B28" s="17"/>
      <c r="C28" s="11"/>
      <c r="D28" s="11"/>
      <c r="E28" s="11"/>
      <c r="F28" s="18"/>
      <c r="G28" s="17"/>
      <c r="H28" s="11"/>
      <c r="I28" s="11"/>
      <c r="J28" s="18"/>
      <c r="K28" s="17"/>
      <c r="L28" s="11"/>
      <c r="M28" s="11"/>
      <c r="N28" s="11"/>
      <c r="O28" s="18"/>
    </row>
    <row r="29" spans="1:19" x14ac:dyDescent="0.3">
      <c r="A29" s="11">
        <v>15</v>
      </c>
      <c r="B29" s="17"/>
      <c r="C29" s="11"/>
      <c r="D29" s="11"/>
      <c r="E29" s="11"/>
      <c r="F29" s="18"/>
      <c r="G29" s="17"/>
      <c r="H29" s="11"/>
      <c r="I29" s="11"/>
      <c r="J29" s="18"/>
      <c r="K29" s="17"/>
      <c r="L29" s="11"/>
      <c r="M29" s="11"/>
      <c r="N29" s="11"/>
      <c r="O29" s="18"/>
    </row>
    <row r="30" spans="1:19" x14ac:dyDescent="0.3">
      <c r="A30" s="11">
        <v>16</v>
      </c>
      <c r="B30" s="17">
        <v>4.8</v>
      </c>
      <c r="C30" s="11">
        <v>3.6</v>
      </c>
      <c r="D30" s="11">
        <v>4050</v>
      </c>
      <c r="E30" s="11">
        <v>4.0999999999999996</v>
      </c>
      <c r="F30" s="18">
        <v>17</v>
      </c>
      <c r="G30" s="17">
        <v>3.2</v>
      </c>
      <c r="H30" s="11">
        <v>0</v>
      </c>
      <c r="I30" s="11">
        <v>0</v>
      </c>
      <c r="J30" s="18">
        <v>0</v>
      </c>
      <c r="K30" s="17">
        <v>4.8</v>
      </c>
      <c r="L30" s="11">
        <v>3.6</v>
      </c>
      <c r="M30" s="11">
        <v>4050</v>
      </c>
      <c r="N30" s="11">
        <v>4.0999999999999996</v>
      </c>
      <c r="O30" s="18">
        <v>17</v>
      </c>
      <c r="P30" s="41"/>
      <c r="Q30" s="41"/>
      <c r="R30" s="41"/>
      <c r="S30" s="41"/>
    </row>
    <row r="31" spans="1:19" x14ac:dyDescent="0.3">
      <c r="A31" s="11">
        <v>17</v>
      </c>
      <c r="B31" s="17">
        <v>5.2</v>
      </c>
      <c r="C31" s="11">
        <v>4.0999999999999996</v>
      </c>
      <c r="D31" s="11">
        <v>4035</v>
      </c>
      <c r="E31" s="11">
        <v>5.36</v>
      </c>
      <c r="F31" s="18">
        <v>23.4</v>
      </c>
      <c r="G31" s="17"/>
      <c r="H31" s="11">
        <v>0</v>
      </c>
      <c r="I31" s="11">
        <v>0</v>
      </c>
      <c r="J31" s="18">
        <v>0</v>
      </c>
      <c r="K31" s="17">
        <v>5.2</v>
      </c>
      <c r="L31" s="11">
        <v>4.0999999999999996</v>
      </c>
      <c r="M31" s="11">
        <v>4035</v>
      </c>
      <c r="N31" s="11">
        <v>5.36</v>
      </c>
      <c r="O31" s="18">
        <v>23.4</v>
      </c>
      <c r="P31" s="41"/>
      <c r="Q31" s="41"/>
      <c r="R31" s="41"/>
      <c r="S31" s="41"/>
    </row>
    <row r="32" spans="1:19" x14ac:dyDescent="0.3">
      <c r="A32" s="11">
        <v>18</v>
      </c>
      <c r="B32" s="17">
        <v>5.7</v>
      </c>
      <c r="C32" s="11">
        <v>4.5999999999999996</v>
      </c>
      <c r="D32" s="11">
        <v>4019</v>
      </c>
      <c r="E32" s="11">
        <v>6.79</v>
      </c>
      <c r="F32" s="18">
        <v>31.3</v>
      </c>
      <c r="G32" s="17"/>
      <c r="H32" s="11">
        <v>0</v>
      </c>
      <c r="I32" s="11">
        <v>0</v>
      </c>
      <c r="J32" s="18">
        <v>0</v>
      </c>
      <c r="K32" s="17">
        <v>5.7</v>
      </c>
      <c r="L32" s="11">
        <v>4.5999999999999996</v>
      </c>
      <c r="M32" s="11">
        <v>4019</v>
      </c>
      <c r="N32" s="11">
        <v>6.79</v>
      </c>
      <c r="O32" s="18">
        <v>31.3</v>
      </c>
      <c r="P32" s="41"/>
      <c r="Q32" s="41"/>
      <c r="R32" s="41"/>
      <c r="S32" s="41"/>
    </row>
    <row r="33" spans="1:19" x14ac:dyDescent="0.3">
      <c r="A33" s="11">
        <v>19</v>
      </c>
      <c r="B33" s="17">
        <v>6.2</v>
      </c>
      <c r="C33" s="11">
        <v>5.2</v>
      </c>
      <c r="D33" s="11">
        <v>4002</v>
      </c>
      <c r="E33" s="11">
        <v>8.35</v>
      </c>
      <c r="F33" s="18">
        <v>40.700000000000003</v>
      </c>
      <c r="G33" s="17"/>
      <c r="H33" s="11">
        <v>0</v>
      </c>
      <c r="I33" s="11">
        <v>0</v>
      </c>
      <c r="J33" s="18">
        <v>0</v>
      </c>
      <c r="K33" s="17">
        <v>6.2</v>
      </c>
      <c r="L33" s="11">
        <v>5.2</v>
      </c>
      <c r="M33" s="11">
        <v>4002</v>
      </c>
      <c r="N33" s="11">
        <v>8.35</v>
      </c>
      <c r="O33" s="18">
        <v>40.700000000000003</v>
      </c>
      <c r="P33" s="41"/>
      <c r="Q33" s="41"/>
      <c r="R33" s="41"/>
      <c r="S33" s="41"/>
    </row>
    <row r="34" spans="1:19" x14ac:dyDescent="0.3">
      <c r="A34" s="11">
        <v>20</v>
      </c>
      <c r="B34" s="17">
        <v>6.7</v>
      </c>
      <c r="C34" s="11">
        <v>5.7</v>
      </c>
      <c r="D34" s="11">
        <v>3982</v>
      </c>
      <c r="E34" s="11">
        <v>10.029999999999999</v>
      </c>
      <c r="F34" s="18">
        <v>51.7</v>
      </c>
      <c r="G34" s="17"/>
      <c r="H34" s="11">
        <v>0</v>
      </c>
      <c r="I34" s="11">
        <v>0</v>
      </c>
      <c r="J34" s="18">
        <v>0</v>
      </c>
      <c r="K34" s="17">
        <v>6.7</v>
      </c>
      <c r="L34" s="11">
        <v>5.7</v>
      </c>
      <c r="M34" s="11">
        <v>3982</v>
      </c>
      <c r="N34" s="11">
        <v>10.029999999999999</v>
      </c>
      <c r="O34" s="18">
        <v>51.7</v>
      </c>
      <c r="P34" s="41"/>
      <c r="Q34" s="41"/>
      <c r="R34" s="41"/>
      <c r="S34" s="41"/>
    </row>
    <row r="35" spans="1:19" x14ac:dyDescent="0.3">
      <c r="A35" s="11">
        <v>21</v>
      </c>
      <c r="B35" s="17">
        <v>7.3</v>
      </c>
      <c r="C35" s="11">
        <v>6.2</v>
      </c>
      <c r="D35" s="11">
        <v>3961</v>
      </c>
      <c r="E35" s="11">
        <v>11.8</v>
      </c>
      <c r="F35" s="18">
        <v>64.3</v>
      </c>
      <c r="G35" s="17">
        <v>5.5</v>
      </c>
      <c r="H35" s="11">
        <v>762</v>
      </c>
      <c r="I35" s="11">
        <v>1.8</v>
      </c>
      <c r="J35" s="18">
        <v>9.4</v>
      </c>
      <c r="K35" s="17">
        <v>7.4</v>
      </c>
      <c r="L35" s="11">
        <v>6.3</v>
      </c>
      <c r="M35" s="11">
        <v>3200</v>
      </c>
      <c r="N35" s="11">
        <v>10</v>
      </c>
      <c r="O35" s="18">
        <v>55</v>
      </c>
      <c r="P35" s="41"/>
      <c r="Q35" s="41"/>
      <c r="R35" s="41"/>
      <c r="S35" s="41"/>
    </row>
    <row r="36" spans="1:19" x14ac:dyDescent="0.3">
      <c r="A36" s="11">
        <v>22</v>
      </c>
      <c r="B36" s="17">
        <v>7.9</v>
      </c>
      <c r="C36" s="11">
        <v>6.8</v>
      </c>
      <c r="D36" s="11">
        <v>3184</v>
      </c>
      <c r="E36" s="11">
        <v>11.69</v>
      </c>
      <c r="F36" s="18">
        <v>67.5</v>
      </c>
      <c r="G36" s="17"/>
      <c r="H36" s="11">
        <v>0</v>
      </c>
      <c r="I36" s="11">
        <v>0</v>
      </c>
      <c r="J36" s="18">
        <v>0</v>
      </c>
      <c r="K36" s="17">
        <v>7.9</v>
      </c>
      <c r="L36" s="11">
        <v>6.8</v>
      </c>
      <c r="M36" s="11">
        <v>3184</v>
      </c>
      <c r="N36" s="11">
        <v>11.69</v>
      </c>
      <c r="O36" s="18">
        <v>67.5</v>
      </c>
      <c r="P36" s="41"/>
      <c r="Q36" s="41"/>
      <c r="R36" s="41"/>
      <c r="S36" s="41"/>
    </row>
    <row r="37" spans="1:19" x14ac:dyDescent="0.3">
      <c r="A37" s="11">
        <v>23</v>
      </c>
      <c r="B37" s="17">
        <v>8.5</v>
      </c>
      <c r="C37" s="11">
        <v>7.3</v>
      </c>
      <c r="D37" s="11">
        <v>3166</v>
      </c>
      <c r="E37" s="11">
        <v>13.43</v>
      </c>
      <c r="F37" s="18">
        <v>81.7</v>
      </c>
      <c r="G37" s="17"/>
      <c r="H37" s="11">
        <v>0</v>
      </c>
      <c r="I37" s="11">
        <v>0</v>
      </c>
      <c r="J37" s="18">
        <v>0</v>
      </c>
      <c r="K37" s="17">
        <v>8.5</v>
      </c>
      <c r="L37" s="11">
        <v>7.3</v>
      </c>
      <c r="M37" s="11">
        <v>3166</v>
      </c>
      <c r="N37" s="11">
        <v>13.43</v>
      </c>
      <c r="O37" s="18">
        <v>81.7</v>
      </c>
      <c r="P37" s="41"/>
      <c r="Q37" s="41"/>
      <c r="R37" s="41"/>
      <c r="S37" s="41"/>
    </row>
    <row r="38" spans="1:19" x14ac:dyDescent="0.3">
      <c r="A38" s="11">
        <v>24</v>
      </c>
      <c r="B38" s="17">
        <v>9.1</v>
      </c>
      <c r="C38" s="11">
        <v>7.8</v>
      </c>
      <c r="D38" s="11">
        <v>3147</v>
      </c>
      <c r="E38" s="11">
        <v>15.21</v>
      </c>
      <c r="F38" s="18">
        <v>97.2</v>
      </c>
      <c r="G38" s="17"/>
      <c r="H38" s="11">
        <v>0</v>
      </c>
      <c r="I38" s="11">
        <v>0</v>
      </c>
      <c r="J38" s="18">
        <v>0</v>
      </c>
      <c r="K38" s="17">
        <v>9.1</v>
      </c>
      <c r="L38" s="11">
        <v>7.8</v>
      </c>
      <c r="M38" s="11">
        <v>3147</v>
      </c>
      <c r="N38" s="11">
        <v>15.21</v>
      </c>
      <c r="O38" s="18">
        <v>97.2</v>
      </c>
      <c r="P38" s="41"/>
      <c r="Q38" s="41"/>
      <c r="R38" s="41"/>
      <c r="S38" s="41"/>
    </row>
    <row r="39" spans="1:19" x14ac:dyDescent="0.3">
      <c r="A39" s="11">
        <v>25</v>
      </c>
      <c r="B39" s="17">
        <v>9.8000000000000007</v>
      </c>
      <c r="C39" s="11">
        <v>8.3000000000000007</v>
      </c>
      <c r="D39" s="11">
        <v>3127</v>
      </c>
      <c r="E39" s="11">
        <v>17.010000000000002</v>
      </c>
      <c r="F39" s="18">
        <v>114.1</v>
      </c>
      <c r="G39" s="17"/>
      <c r="H39" s="11">
        <v>0</v>
      </c>
      <c r="I39" s="11">
        <v>0</v>
      </c>
      <c r="J39" s="18">
        <v>0</v>
      </c>
      <c r="K39" s="17">
        <v>9.8000000000000007</v>
      </c>
      <c r="L39" s="11">
        <v>8.3000000000000007</v>
      </c>
      <c r="M39" s="11">
        <v>3127</v>
      </c>
      <c r="N39" s="11">
        <v>17.010000000000002</v>
      </c>
      <c r="O39" s="18">
        <v>114.1</v>
      </c>
      <c r="P39" s="41"/>
      <c r="Q39" s="41"/>
      <c r="R39" s="41"/>
      <c r="S39" s="41"/>
    </row>
    <row r="40" spans="1:19" x14ac:dyDescent="0.3">
      <c r="A40" s="11">
        <v>26</v>
      </c>
      <c r="B40" s="17">
        <v>10.4</v>
      </c>
      <c r="C40" s="11">
        <v>8.8000000000000007</v>
      </c>
      <c r="D40" s="11">
        <v>3104</v>
      </c>
      <c r="E40" s="11">
        <v>18.8</v>
      </c>
      <c r="F40" s="18">
        <v>132.1</v>
      </c>
      <c r="G40" s="17">
        <v>7.9</v>
      </c>
      <c r="H40" s="11">
        <v>778</v>
      </c>
      <c r="I40" s="11">
        <v>3.8</v>
      </c>
      <c r="J40" s="18">
        <v>25.6</v>
      </c>
      <c r="K40" s="17">
        <v>10.5</v>
      </c>
      <c r="L40" s="11">
        <v>9.1</v>
      </c>
      <c r="M40" s="11">
        <v>2326</v>
      </c>
      <c r="N40" s="11">
        <v>15</v>
      </c>
      <c r="O40" s="18">
        <v>106.5</v>
      </c>
      <c r="P40" s="41"/>
      <c r="Q40" s="41"/>
      <c r="R40" s="41"/>
      <c r="S40" s="41"/>
    </row>
    <row r="41" spans="1:19" x14ac:dyDescent="0.3">
      <c r="A41" s="11">
        <v>27</v>
      </c>
      <c r="B41" s="17">
        <v>11.1</v>
      </c>
      <c r="C41" s="11">
        <v>9.6</v>
      </c>
      <c r="D41" s="11">
        <v>2311</v>
      </c>
      <c r="E41" s="11">
        <v>16.62</v>
      </c>
      <c r="F41" s="18">
        <v>122.8</v>
      </c>
      <c r="G41" s="17"/>
      <c r="H41" s="11">
        <v>0</v>
      </c>
      <c r="I41" s="11">
        <v>0</v>
      </c>
      <c r="J41" s="18">
        <v>0</v>
      </c>
      <c r="K41" s="17">
        <v>11.1</v>
      </c>
      <c r="L41" s="11">
        <v>9.6</v>
      </c>
      <c r="M41" s="11">
        <v>2311</v>
      </c>
      <c r="N41" s="11">
        <v>16.62</v>
      </c>
      <c r="O41" s="18">
        <v>122.8</v>
      </c>
      <c r="P41" s="41"/>
      <c r="Q41" s="41"/>
      <c r="R41" s="41"/>
      <c r="S41" s="41"/>
    </row>
    <row r="42" spans="1:19" x14ac:dyDescent="0.3">
      <c r="A42" s="11">
        <v>28</v>
      </c>
      <c r="B42" s="17">
        <v>11.7</v>
      </c>
      <c r="C42" s="11">
        <v>10.1</v>
      </c>
      <c r="D42" s="11">
        <v>2296</v>
      </c>
      <c r="E42" s="11">
        <v>18.25</v>
      </c>
      <c r="F42" s="18">
        <v>140.4</v>
      </c>
      <c r="G42" s="17"/>
      <c r="H42" s="11">
        <v>0</v>
      </c>
      <c r="I42" s="11">
        <v>0</v>
      </c>
      <c r="J42" s="18">
        <v>0</v>
      </c>
      <c r="K42" s="17">
        <v>11.7</v>
      </c>
      <c r="L42" s="11">
        <v>10.1</v>
      </c>
      <c r="M42" s="11">
        <v>2296</v>
      </c>
      <c r="N42" s="11">
        <v>18.25</v>
      </c>
      <c r="O42" s="18">
        <v>140.4</v>
      </c>
      <c r="P42" s="41"/>
      <c r="Q42" s="41"/>
      <c r="R42" s="41"/>
      <c r="S42" s="41"/>
    </row>
    <row r="43" spans="1:19" x14ac:dyDescent="0.3">
      <c r="A43" s="11">
        <v>29</v>
      </c>
      <c r="B43" s="17">
        <v>12.4</v>
      </c>
      <c r="C43" s="11">
        <v>10.5</v>
      </c>
      <c r="D43" s="11">
        <v>2279</v>
      </c>
      <c r="E43" s="11">
        <v>19.86</v>
      </c>
      <c r="F43" s="18">
        <v>158.80000000000001</v>
      </c>
      <c r="G43" s="17"/>
      <c r="H43" s="11">
        <v>0</v>
      </c>
      <c r="I43" s="11">
        <v>0</v>
      </c>
      <c r="J43" s="18">
        <v>0</v>
      </c>
      <c r="K43" s="17">
        <v>12.4</v>
      </c>
      <c r="L43" s="11">
        <v>10.5</v>
      </c>
      <c r="M43" s="11">
        <v>2279</v>
      </c>
      <c r="N43" s="11">
        <v>19.86</v>
      </c>
      <c r="O43" s="18">
        <v>158.80000000000001</v>
      </c>
      <c r="P43" s="41"/>
      <c r="Q43" s="41"/>
      <c r="R43" s="41"/>
      <c r="S43" s="41"/>
    </row>
    <row r="44" spans="1:19" x14ac:dyDescent="0.3">
      <c r="A44" s="11">
        <v>30</v>
      </c>
      <c r="B44" s="17">
        <v>13</v>
      </c>
      <c r="C44" s="11">
        <v>11</v>
      </c>
      <c r="D44" s="11">
        <v>2261</v>
      </c>
      <c r="E44" s="11">
        <v>21.45</v>
      </c>
      <c r="F44" s="18">
        <v>177.9</v>
      </c>
      <c r="G44" s="17"/>
      <c r="H44" s="11">
        <v>0</v>
      </c>
      <c r="I44" s="11">
        <v>0</v>
      </c>
      <c r="J44" s="18">
        <v>0</v>
      </c>
      <c r="K44" s="17">
        <v>13</v>
      </c>
      <c r="L44" s="11">
        <v>11</v>
      </c>
      <c r="M44" s="11">
        <v>2261</v>
      </c>
      <c r="N44" s="11">
        <v>21.45</v>
      </c>
      <c r="O44" s="18">
        <v>177.9</v>
      </c>
      <c r="P44" s="41"/>
      <c r="Q44" s="41"/>
      <c r="R44" s="41"/>
      <c r="S44" s="41"/>
    </row>
    <row r="45" spans="1:19" x14ac:dyDescent="0.3">
      <c r="A45" s="11">
        <v>31</v>
      </c>
      <c r="B45" s="17">
        <v>13.6</v>
      </c>
      <c r="C45" s="11">
        <v>11.4</v>
      </c>
      <c r="D45" s="11">
        <v>2241</v>
      </c>
      <c r="E45" s="11">
        <v>23.01</v>
      </c>
      <c r="F45" s="18">
        <v>197.8</v>
      </c>
      <c r="G45" s="17">
        <v>10.3</v>
      </c>
      <c r="H45" s="11">
        <v>477</v>
      </c>
      <c r="I45" s="11">
        <v>4.01</v>
      </c>
      <c r="J45" s="18">
        <v>33.200000000000003</v>
      </c>
      <c r="K45" s="17">
        <v>13.7</v>
      </c>
      <c r="L45" s="11">
        <v>11.7</v>
      </c>
      <c r="M45" s="11">
        <v>1764</v>
      </c>
      <c r="N45" s="11">
        <v>19</v>
      </c>
      <c r="O45" s="18">
        <v>164.6</v>
      </c>
      <c r="P45" s="41"/>
      <c r="Q45" s="41"/>
      <c r="R45" s="41"/>
      <c r="S45" s="41"/>
    </row>
    <row r="46" spans="1:19" x14ac:dyDescent="0.3">
      <c r="A46" s="11">
        <v>32</v>
      </c>
      <c r="B46" s="17">
        <v>14.3</v>
      </c>
      <c r="C46" s="11">
        <v>12.2</v>
      </c>
      <c r="D46" s="11">
        <v>1750</v>
      </c>
      <c r="E46" s="11">
        <v>20.440000000000001</v>
      </c>
      <c r="F46" s="18">
        <v>182.5</v>
      </c>
      <c r="G46" s="17"/>
      <c r="H46" s="11">
        <v>0</v>
      </c>
      <c r="I46" s="11">
        <v>0</v>
      </c>
      <c r="J46" s="18">
        <v>0</v>
      </c>
      <c r="K46" s="17">
        <v>14.3</v>
      </c>
      <c r="L46" s="11">
        <v>12.2</v>
      </c>
      <c r="M46" s="11">
        <v>1750</v>
      </c>
      <c r="N46" s="11">
        <v>20.440000000000001</v>
      </c>
      <c r="O46" s="18">
        <v>182.5</v>
      </c>
      <c r="P46" s="41"/>
      <c r="Q46" s="41"/>
      <c r="R46" s="41"/>
      <c r="S46" s="41"/>
    </row>
    <row r="47" spans="1:19" x14ac:dyDescent="0.3">
      <c r="A47" s="11">
        <v>33</v>
      </c>
      <c r="B47" s="17">
        <v>14.8</v>
      </c>
      <c r="C47" s="11">
        <v>12.7</v>
      </c>
      <c r="D47" s="11">
        <v>1737</v>
      </c>
      <c r="E47" s="11">
        <v>21.86</v>
      </c>
      <c r="F47" s="18">
        <v>201.2</v>
      </c>
      <c r="G47" s="17"/>
      <c r="H47" s="11">
        <v>0</v>
      </c>
      <c r="I47" s="11">
        <v>0</v>
      </c>
      <c r="J47" s="18">
        <v>0</v>
      </c>
      <c r="K47" s="17">
        <v>14.8</v>
      </c>
      <c r="L47" s="11">
        <v>12.7</v>
      </c>
      <c r="M47" s="11">
        <v>1737</v>
      </c>
      <c r="N47" s="11">
        <v>21.86</v>
      </c>
      <c r="O47" s="18">
        <v>201.2</v>
      </c>
      <c r="P47" s="41"/>
      <c r="Q47" s="41"/>
      <c r="R47" s="41"/>
      <c r="S47" s="41"/>
    </row>
    <row r="48" spans="1:19" x14ac:dyDescent="0.3">
      <c r="A48" s="11">
        <v>34</v>
      </c>
      <c r="B48" s="17">
        <v>15.4</v>
      </c>
      <c r="C48" s="11">
        <v>13.1</v>
      </c>
      <c r="D48" s="11">
        <v>1722</v>
      </c>
      <c r="E48" s="11">
        <v>23.26</v>
      </c>
      <c r="F48" s="18">
        <v>220.4</v>
      </c>
      <c r="G48" s="17"/>
      <c r="H48" s="11">
        <v>0</v>
      </c>
      <c r="I48" s="11">
        <v>0</v>
      </c>
      <c r="J48" s="18">
        <v>0</v>
      </c>
      <c r="K48" s="17">
        <v>15.4</v>
      </c>
      <c r="L48" s="11">
        <v>13.1</v>
      </c>
      <c r="M48" s="11">
        <v>1722</v>
      </c>
      <c r="N48" s="11">
        <v>23.26</v>
      </c>
      <c r="O48" s="18">
        <v>220.4</v>
      </c>
      <c r="P48" s="41"/>
      <c r="Q48" s="41"/>
      <c r="R48" s="41"/>
      <c r="S48" s="41"/>
    </row>
    <row r="49" spans="1:19" x14ac:dyDescent="0.3">
      <c r="A49" s="11">
        <v>35</v>
      </c>
      <c r="B49" s="17">
        <v>15.9</v>
      </c>
      <c r="C49" s="11">
        <v>13.6</v>
      </c>
      <c r="D49" s="11">
        <v>1707</v>
      </c>
      <c r="E49" s="11">
        <v>24.63</v>
      </c>
      <c r="F49" s="18">
        <v>239.9</v>
      </c>
      <c r="G49" s="17"/>
      <c r="H49" s="11">
        <v>0</v>
      </c>
      <c r="I49" s="11">
        <v>0</v>
      </c>
      <c r="J49" s="18">
        <v>0</v>
      </c>
      <c r="K49" s="17">
        <v>15.9</v>
      </c>
      <c r="L49" s="11">
        <v>13.6</v>
      </c>
      <c r="M49" s="11">
        <v>1707</v>
      </c>
      <c r="N49" s="11">
        <v>24.63</v>
      </c>
      <c r="O49" s="18">
        <v>239.9</v>
      </c>
      <c r="P49" s="41"/>
      <c r="Q49" s="41"/>
      <c r="R49" s="41"/>
      <c r="S49" s="41"/>
    </row>
    <row r="50" spans="1:19" x14ac:dyDescent="0.3">
      <c r="A50" s="11">
        <v>36</v>
      </c>
      <c r="B50" s="17">
        <v>16.5</v>
      </c>
      <c r="C50" s="11">
        <v>14</v>
      </c>
      <c r="D50" s="11">
        <v>1690</v>
      </c>
      <c r="E50" s="11">
        <v>25.98</v>
      </c>
      <c r="F50" s="18">
        <v>259.8</v>
      </c>
      <c r="G50" s="17">
        <v>12.7</v>
      </c>
      <c r="H50" s="11">
        <v>390</v>
      </c>
      <c r="I50" s="11">
        <v>4.9800000000000004</v>
      </c>
      <c r="J50" s="18">
        <v>48.1</v>
      </c>
      <c r="K50" s="17">
        <v>16.600000000000001</v>
      </c>
      <c r="L50" s="11">
        <v>14.3</v>
      </c>
      <c r="M50" s="11">
        <v>1300</v>
      </c>
      <c r="N50" s="11">
        <v>21</v>
      </c>
      <c r="O50" s="18">
        <v>211.7</v>
      </c>
      <c r="P50" s="41"/>
      <c r="Q50" s="41"/>
      <c r="R50" s="41"/>
      <c r="S50" s="41"/>
    </row>
    <row r="51" spans="1:19" x14ac:dyDescent="0.3">
      <c r="A51" s="11">
        <v>37</v>
      </c>
      <c r="B51" s="17">
        <v>17.100000000000001</v>
      </c>
      <c r="C51" s="11">
        <v>14.8</v>
      </c>
      <c r="D51" s="11">
        <v>1290</v>
      </c>
      <c r="E51" s="11">
        <v>22.24</v>
      </c>
      <c r="F51" s="18">
        <v>229.4</v>
      </c>
      <c r="G51" s="17"/>
      <c r="H51" s="11">
        <v>0</v>
      </c>
      <c r="I51" s="11">
        <v>0</v>
      </c>
      <c r="J51" s="18">
        <v>0</v>
      </c>
      <c r="K51" s="17">
        <v>17.100000000000001</v>
      </c>
      <c r="L51" s="11">
        <v>14.8</v>
      </c>
      <c r="M51" s="11">
        <v>1290</v>
      </c>
      <c r="N51" s="11">
        <v>22.24</v>
      </c>
      <c r="O51" s="18">
        <v>229.4</v>
      </c>
      <c r="P51" s="41"/>
      <c r="Q51" s="41"/>
      <c r="R51" s="41"/>
      <c r="S51" s="41"/>
    </row>
    <row r="52" spans="1:19" x14ac:dyDescent="0.3">
      <c r="A52" s="11">
        <v>38</v>
      </c>
      <c r="B52" s="17">
        <v>17.600000000000001</v>
      </c>
      <c r="C52" s="11">
        <v>15.3</v>
      </c>
      <c r="D52" s="11">
        <v>1280</v>
      </c>
      <c r="E52" s="11">
        <v>23.46</v>
      </c>
      <c r="F52" s="18">
        <v>247.6</v>
      </c>
      <c r="G52" s="17"/>
      <c r="H52" s="11">
        <v>0</v>
      </c>
      <c r="I52" s="11">
        <v>0</v>
      </c>
      <c r="J52" s="18">
        <v>0</v>
      </c>
      <c r="K52" s="17">
        <v>17.600000000000001</v>
      </c>
      <c r="L52" s="11">
        <v>15.3</v>
      </c>
      <c r="M52" s="11">
        <v>1280</v>
      </c>
      <c r="N52" s="11">
        <v>23.46</v>
      </c>
      <c r="O52" s="18">
        <v>247.6</v>
      </c>
      <c r="P52" s="41"/>
      <c r="Q52" s="41"/>
      <c r="R52" s="41"/>
      <c r="S52" s="41"/>
    </row>
    <row r="53" spans="1:19" x14ac:dyDescent="0.3">
      <c r="A53" s="11">
        <v>39</v>
      </c>
      <c r="B53" s="17">
        <v>18</v>
      </c>
      <c r="C53" s="11">
        <v>15.7</v>
      </c>
      <c r="D53" s="11">
        <v>1269</v>
      </c>
      <c r="E53" s="11">
        <v>24.66</v>
      </c>
      <c r="F53" s="18">
        <v>266</v>
      </c>
      <c r="G53" s="17"/>
      <c r="H53" s="11">
        <v>0</v>
      </c>
      <c r="I53" s="11">
        <v>0</v>
      </c>
      <c r="J53" s="18">
        <v>0</v>
      </c>
      <c r="K53" s="17">
        <v>18</v>
      </c>
      <c r="L53" s="11">
        <v>15.7</v>
      </c>
      <c r="M53" s="11">
        <v>1269</v>
      </c>
      <c r="N53" s="11">
        <v>24.66</v>
      </c>
      <c r="O53" s="18">
        <v>266</v>
      </c>
      <c r="P53" s="41"/>
      <c r="Q53" s="41"/>
      <c r="R53" s="41"/>
      <c r="S53" s="41"/>
    </row>
    <row r="54" spans="1:19" x14ac:dyDescent="0.3">
      <c r="A54" s="11">
        <v>40</v>
      </c>
      <c r="B54" s="17">
        <v>18.5</v>
      </c>
      <c r="C54" s="11">
        <v>16.2</v>
      </c>
      <c r="D54" s="11">
        <v>1258</v>
      </c>
      <c r="E54" s="11">
        <v>25.85</v>
      </c>
      <c r="F54" s="18">
        <v>284.60000000000002</v>
      </c>
      <c r="G54" s="17"/>
      <c r="H54" s="11">
        <v>0</v>
      </c>
      <c r="I54" s="11">
        <v>0</v>
      </c>
      <c r="J54" s="18">
        <v>0</v>
      </c>
      <c r="K54" s="17">
        <v>18.5</v>
      </c>
      <c r="L54" s="11">
        <v>16.2</v>
      </c>
      <c r="M54" s="11">
        <v>1258</v>
      </c>
      <c r="N54" s="11">
        <v>25.85</v>
      </c>
      <c r="O54" s="18">
        <v>284.60000000000002</v>
      </c>
      <c r="P54" s="41"/>
      <c r="Q54" s="41"/>
      <c r="R54" s="41"/>
      <c r="S54" s="41"/>
    </row>
    <row r="55" spans="1:19" x14ac:dyDescent="0.3">
      <c r="A55" s="11">
        <v>41</v>
      </c>
      <c r="B55" s="17">
        <v>18.899999999999999</v>
      </c>
      <c r="C55" s="11">
        <v>16.600000000000001</v>
      </c>
      <c r="D55" s="11">
        <v>1247</v>
      </c>
      <c r="E55" s="11">
        <v>27.01</v>
      </c>
      <c r="F55" s="18">
        <v>303.5</v>
      </c>
      <c r="G55" s="17">
        <v>15.2</v>
      </c>
      <c r="H55" s="11">
        <v>220</v>
      </c>
      <c r="I55" s="11">
        <v>4.01</v>
      </c>
      <c r="J55" s="18">
        <v>43.7</v>
      </c>
      <c r="K55" s="17">
        <v>19</v>
      </c>
      <c r="L55" s="11">
        <v>16.899999999999999</v>
      </c>
      <c r="M55" s="11">
        <v>1027</v>
      </c>
      <c r="N55" s="11">
        <v>23</v>
      </c>
      <c r="O55" s="18">
        <v>259.8</v>
      </c>
      <c r="P55" s="41"/>
      <c r="Q55" s="41"/>
      <c r="R55" s="41"/>
      <c r="S55" s="41"/>
    </row>
    <row r="56" spans="1:19" x14ac:dyDescent="0.3">
      <c r="A56" s="11">
        <v>42</v>
      </c>
      <c r="B56" s="17">
        <v>19.399999999999999</v>
      </c>
      <c r="C56" s="11">
        <v>17.399999999999999</v>
      </c>
      <c r="D56" s="11">
        <v>1019</v>
      </c>
      <c r="E56" s="11">
        <v>24.1</v>
      </c>
      <c r="F56" s="18">
        <v>277.2</v>
      </c>
      <c r="G56" s="17"/>
      <c r="H56" s="11">
        <v>0</v>
      </c>
      <c r="I56" s="11">
        <v>0</v>
      </c>
      <c r="J56" s="18">
        <v>0</v>
      </c>
      <c r="K56" s="17">
        <v>19.399999999999999</v>
      </c>
      <c r="L56" s="11">
        <v>17.399999999999999</v>
      </c>
      <c r="M56" s="11">
        <v>1019</v>
      </c>
      <c r="N56" s="11">
        <v>24.1</v>
      </c>
      <c r="O56" s="18">
        <v>277.2</v>
      </c>
      <c r="P56" s="41"/>
      <c r="Q56" s="41"/>
      <c r="R56" s="41"/>
      <c r="S56" s="41"/>
    </row>
    <row r="57" spans="1:19" x14ac:dyDescent="0.3">
      <c r="A57" s="11">
        <v>43</v>
      </c>
      <c r="B57" s="17">
        <v>19.8</v>
      </c>
      <c r="C57" s="11">
        <v>17.8</v>
      </c>
      <c r="D57" s="11">
        <v>1011</v>
      </c>
      <c r="E57" s="11">
        <v>25.18</v>
      </c>
      <c r="F57" s="18">
        <v>294.8</v>
      </c>
      <c r="G57" s="17"/>
      <c r="H57" s="11">
        <v>0</v>
      </c>
      <c r="I57" s="11">
        <v>0</v>
      </c>
      <c r="J57" s="18">
        <v>0</v>
      </c>
      <c r="K57" s="17">
        <v>19.8</v>
      </c>
      <c r="L57" s="11">
        <v>17.8</v>
      </c>
      <c r="M57" s="11">
        <v>1011</v>
      </c>
      <c r="N57" s="11">
        <v>25.18</v>
      </c>
      <c r="O57" s="18">
        <v>294.8</v>
      </c>
      <c r="P57" s="41"/>
      <c r="Q57" s="41"/>
      <c r="R57" s="41"/>
      <c r="S57" s="41"/>
    </row>
    <row r="58" spans="1:19" x14ac:dyDescent="0.3">
      <c r="A58" s="11">
        <v>44</v>
      </c>
      <c r="B58" s="17">
        <v>20.2</v>
      </c>
      <c r="C58" s="11">
        <v>18.3</v>
      </c>
      <c r="D58" s="11">
        <v>1002</v>
      </c>
      <c r="E58" s="11">
        <v>26.24</v>
      </c>
      <c r="F58" s="18">
        <v>312.60000000000002</v>
      </c>
      <c r="G58" s="17"/>
      <c r="H58" s="11">
        <v>0</v>
      </c>
      <c r="I58" s="11">
        <v>0</v>
      </c>
      <c r="J58" s="18">
        <v>0</v>
      </c>
      <c r="K58" s="17">
        <v>20.2</v>
      </c>
      <c r="L58" s="11">
        <v>18.3</v>
      </c>
      <c r="M58" s="11">
        <v>1002</v>
      </c>
      <c r="N58" s="11">
        <v>26.24</v>
      </c>
      <c r="O58" s="18">
        <v>312.60000000000002</v>
      </c>
      <c r="P58" s="41"/>
      <c r="Q58" s="41"/>
      <c r="R58" s="41"/>
      <c r="S58" s="41"/>
    </row>
    <row r="59" spans="1:19" x14ac:dyDescent="0.3">
      <c r="A59" s="11">
        <v>45</v>
      </c>
      <c r="B59" s="17">
        <v>20.6</v>
      </c>
      <c r="C59" s="11">
        <v>18.7</v>
      </c>
      <c r="D59" s="11">
        <v>994</v>
      </c>
      <c r="E59" s="11">
        <v>27.3</v>
      </c>
      <c r="F59" s="18">
        <v>330.6</v>
      </c>
      <c r="G59" s="17"/>
      <c r="H59" s="11">
        <v>0</v>
      </c>
      <c r="I59" s="11">
        <v>0</v>
      </c>
      <c r="J59" s="18">
        <v>0</v>
      </c>
      <c r="K59" s="17">
        <v>20.6</v>
      </c>
      <c r="L59" s="11">
        <v>18.7</v>
      </c>
      <c r="M59" s="11">
        <v>994</v>
      </c>
      <c r="N59" s="11">
        <v>27.3</v>
      </c>
      <c r="O59" s="18">
        <v>330.6</v>
      </c>
      <c r="P59" s="41"/>
      <c r="Q59" s="41"/>
      <c r="R59" s="41"/>
      <c r="S59" s="41"/>
    </row>
    <row r="60" spans="1:19" x14ac:dyDescent="0.3">
      <c r="A60" s="11">
        <v>46</v>
      </c>
      <c r="B60" s="17">
        <v>21</v>
      </c>
      <c r="C60" s="11">
        <v>19.100000000000001</v>
      </c>
      <c r="D60" s="11">
        <v>985</v>
      </c>
      <c r="E60" s="11">
        <v>28.33</v>
      </c>
      <c r="F60" s="18">
        <v>348.7</v>
      </c>
      <c r="G60" s="17"/>
      <c r="H60" s="11">
        <v>0</v>
      </c>
      <c r="I60" s="11">
        <v>0</v>
      </c>
      <c r="J60" s="18">
        <v>0</v>
      </c>
      <c r="K60" s="17">
        <v>21</v>
      </c>
      <c r="L60" s="11">
        <v>19.100000000000001</v>
      </c>
      <c r="M60" s="11">
        <v>985</v>
      </c>
      <c r="N60" s="11">
        <v>28.33</v>
      </c>
      <c r="O60" s="18">
        <v>348.7</v>
      </c>
      <c r="P60" s="41"/>
      <c r="Q60" s="41"/>
      <c r="R60" s="41"/>
      <c r="S60" s="41"/>
    </row>
    <row r="61" spans="1:19" x14ac:dyDescent="0.3">
      <c r="A61" s="11">
        <v>47</v>
      </c>
      <c r="B61" s="17">
        <v>21.4</v>
      </c>
      <c r="C61" s="11">
        <v>19.600000000000001</v>
      </c>
      <c r="D61" s="11">
        <v>976</v>
      </c>
      <c r="E61" s="11">
        <v>29.35</v>
      </c>
      <c r="F61" s="18">
        <v>366.8</v>
      </c>
      <c r="G61" s="17">
        <v>18.100000000000001</v>
      </c>
      <c r="H61" s="11">
        <v>227</v>
      </c>
      <c r="I61" s="11">
        <v>5.85</v>
      </c>
      <c r="J61" s="18">
        <v>71.2</v>
      </c>
      <c r="K61" s="17">
        <v>21.5</v>
      </c>
      <c r="L61" s="11">
        <v>20</v>
      </c>
      <c r="M61" s="11">
        <v>749</v>
      </c>
      <c r="N61" s="11">
        <v>23.5</v>
      </c>
      <c r="O61" s="18">
        <v>295.7</v>
      </c>
      <c r="P61" s="41"/>
      <c r="Q61" s="41"/>
      <c r="R61" s="41"/>
      <c r="S61" s="41"/>
    </row>
    <row r="62" spans="1:19" x14ac:dyDescent="0.3">
      <c r="A62" s="11">
        <v>48</v>
      </c>
      <c r="B62" s="17">
        <v>21.9</v>
      </c>
      <c r="C62" s="11">
        <v>20.5</v>
      </c>
      <c r="D62" s="11">
        <v>744</v>
      </c>
      <c r="E62" s="11">
        <v>24.45</v>
      </c>
      <c r="F62" s="18">
        <v>312.10000000000002</v>
      </c>
      <c r="G62" s="17"/>
      <c r="H62" s="11">
        <v>0</v>
      </c>
      <c r="I62" s="11">
        <v>0</v>
      </c>
      <c r="J62" s="18">
        <v>0</v>
      </c>
      <c r="K62" s="17">
        <v>21.9</v>
      </c>
      <c r="L62" s="11">
        <v>20.5</v>
      </c>
      <c r="M62" s="11">
        <v>744</v>
      </c>
      <c r="N62" s="11">
        <v>24.45</v>
      </c>
      <c r="O62" s="18">
        <v>312.10000000000002</v>
      </c>
      <c r="P62" s="41"/>
      <c r="Q62" s="41"/>
      <c r="R62" s="41"/>
      <c r="S62" s="41"/>
    </row>
    <row r="63" spans="1:19" x14ac:dyDescent="0.3">
      <c r="A63" s="11">
        <v>49</v>
      </c>
      <c r="B63" s="17">
        <v>22.2</v>
      </c>
      <c r="C63" s="11">
        <v>20.9</v>
      </c>
      <c r="D63" s="11">
        <v>738</v>
      </c>
      <c r="E63" s="11">
        <v>25.39</v>
      </c>
      <c r="F63" s="18">
        <v>328.6</v>
      </c>
      <c r="G63" s="17"/>
      <c r="H63" s="11">
        <v>0</v>
      </c>
      <c r="I63" s="11">
        <v>0</v>
      </c>
      <c r="J63" s="18">
        <v>0</v>
      </c>
      <c r="K63" s="17">
        <v>22.2</v>
      </c>
      <c r="L63" s="11">
        <v>20.9</v>
      </c>
      <c r="M63" s="11">
        <v>738</v>
      </c>
      <c r="N63" s="11">
        <v>25.39</v>
      </c>
      <c r="O63" s="18">
        <v>328.6</v>
      </c>
      <c r="P63" s="41"/>
      <c r="Q63" s="41"/>
      <c r="R63" s="41"/>
      <c r="S63" s="41"/>
    </row>
    <row r="64" spans="1:19" x14ac:dyDescent="0.3">
      <c r="A64" s="11">
        <v>50</v>
      </c>
      <c r="B64" s="17">
        <v>22.5</v>
      </c>
      <c r="C64" s="11">
        <v>21.4</v>
      </c>
      <c r="D64" s="11">
        <v>733</v>
      </c>
      <c r="E64" s="11">
        <v>26.32</v>
      </c>
      <c r="F64" s="18">
        <v>345.2</v>
      </c>
      <c r="G64" s="17"/>
      <c r="H64" s="11">
        <v>0</v>
      </c>
      <c r="I64" s="11">
        <v>0</v>
      </c>
      <c r="J64" s="18">
        <v>0</v>
      </c>
      <c r="K64" s="17">
        <v>22.5</v>
      </c>
      <c r="L64" s="11">
        <v>21.4</v>
      </c>
      <c r="M64" s="11">
        <v>733</v>
      </c>
      <c r="N64" s="11">
        <v>26.32</v>
      </c>
      <c r="O64" s="18">
        <v>345.2</v>
      </c>
      <c r="P64" s="41"/>
      <c r="Q64" s="41"/>
      <c r="R64" s="41"/>
      <c r="S64" s="41"/>
    </row>
    <row r="65" spans="1:19" x14ac:dyDescent="0.3">
      <c r="A65" s="11">
        <v>51</v>
      </c>
      <c r="B65" s="17">
        <v>22.8</v>
      </c>
      <c r="C65" s="11">
        <v>21.8</v>
      </c>
      <c r="D65" s="11">
        <v>727</v>
      </c>
      <c r="E65" s="11">
        <v>27.24</v>
      </c>
      <c r="F65" s="18">
        <v>362</v>
      </c>
      <c r="G65" s="17"/>
      <c r="H65" s="11">
        <v>0</v>
      </c>
      <c r="I65" s="11">
        <v>0</v>
      </c>
      <c r="J65" s="18">
        <v>0</v>
      </c>
      <c r="K65" s="17">
        <v>22.8</v>
      </c>
      <c r="L65" s="11">
        <v>21.8</v>
      </c>
      <c r="M65" s="11">
        <v>727</v>
      </c>
      <c r="N65" s="11">
        <v>27.24</v>
      </c>
      <c r="O65" s="18">
        <v>362</v>
      </c>
      <c r="P65" s="41"/>
      <c r="Q65" s="41"/>
      <c r="R65" s="41"/>
      <c r="S65" s="41"/>
    </row>
    <row r="66" spans="1:19" x14ac:dyDescent="0.3">
      <c r="A66" s="11">
        <v>52</v>
      </c>
      <c r="B66" s="17">
        <v>23.1</v>
      </c>
      <c r="C66" s="11">
        <v>22.3</v>
      </c>
      <c r="D66" s="11">
        <v>722</v>
      </c>
      <c r="E66" s="11">
        <v>28.16</v>
      </c>
      <c r="F66" s="18">
        <v>378.8</v>
      </c>
      <c r="G66" s="17"/>
      <c r="H66" s="11">
        <v>0</v>
      </c>
      <c r="I66" s="11">
        <v>0</v>
      </c>
      <c r="J66" s="18">
        <v>0</v>
      </c>
      <c r="K66" s="17">
        <v>23.1</v>
      </c>
      <c r="L66" s="11">
        <v>22.3</v>
      </c>
      <c r="M66" s="11">
        <v>722</v>
      </c>
      <c r="N66" s="11">
        <v>28.16</v>
      </c>
      <c r="O66" s="18">
        <v>378.8</v>
      </c>
      <c r="P66" s="41"/>
      <c r="Q66" s="41"/>
      <c r="R66" s="41"/>
      <c r="S66" s="41"/>
    </row>
    <row r="67" spans="1:19" x14ac:dyDescent="0.3">
      <c r="A67" s="11">
        <v>53</v>
      </c>
      <c r="B67" s="17">
        <v>23.5</v>
      </c>
      <c r="C67" s="11">
        <v>22.7</v>
      </c>
      <c r="D67" s="11">
        <v>716</v>
      </c>
      <c r="E67" s="11">
        <v>29.06</v>
      </c>
      <c r="F67" s="18">
        <v>395.8</v>
      </c>
      <c r="G67" s="17">
        <v>21.2</v>
      </c>
      <c r="H67" s="11">
        <v>143</v>
      </c>
      <c r="I67" s="11">
        <v>5.0599999999999996</v>
      </c>
      <c r="J67" s="18">
        <v>67.3</v>
      </c>
      <c r="K67" s="17">
        <v>23.6</v>
      </c>
      <c r="L67" s="11">
        <v>23.1</v>
      </c>
      <c r="M67" s="11">
        <v>573</v>
      </c>
      <c r="N67" s="11">
        <v>24</v>
      </c>
      <c r="O67" s="18">
        <v>328.5</v>
      </c>
      <c r="P67" s="41"/>
      <c r="Q67" s="41"/>
      <c r="R67" s="41"/>
      <c r="S67" s="41"/>
    </row>
    <row r="68" spans="1:19" x14ac:dyDescent="0.3">
      <c r="A68" s="11">
        <v>54</v>
      </c>
      <c r="B68" s="17">
        <v>23.8</v>
      </c>
      <c r="C68" s="11">
        <v>23.6</v>
      </c>
      <c r="D68" s="11">
        <v>569</v>
      </c>
      <c r="E68" s="11">
        <v>24.85</v>
      </c>
      <c r="F68" s="18">
        <v>344.3</v>
      </c>
      <c r="G68" s="17"/>
      <c r="H68" s="11">
        <v>0</v>
      </c>
      <c r="I68" s="11">
        <v>0</v>
      </c>
      <c r="J68" s="18">
        <v>0</v>
      </c>
      <c r="K68" s="17">
        <v>23.8</v>
      </c>
      <c r="L68" s="11">
        <v>23.6</v>
      </c>
      <c r="M68" s="11">
        <v>569</v>
      </c>
      <c r="N68" s="11">
        <v>24.85</v>
      </c>
      <c r="O68" s="18">
        <v>344.3</v>
      </c>
      <c r="P68" s="41"/>
      <c r="Q68" s="41"/>
      <c r="R68" s="41"/>
      <c r="S68" s="41"/>
    </row>
    <row r="69" spans="1:19" x14ac:dyDescent="0.3">
      <c r="A69" s="11">
        <v>55</v>
      </c>
      <c r="B69" s="17">
        <v>24.1</v>
      </c>
      <c r="C69" s="11">
        <v>24</v>
      </c>
      <c r="D69" s="11">
        <v>566</v>
      </c>
      <c r="E69" s="11">
        <v>25.69</v>
      </c>
      <c r="F69" s="18">
        <v>360</v>
      </c>
      <c r="G69" s="17"/>
      <c r="H69" s="11">
        <v>0</v>
      </c>
      <c r="I69" s="11">
        <v>0</v>
      </c>
      <c r="J69" s="18">
        <v>0</v>
      </c>
      <c r="K69" s="17">
        <v>24.1</v>
      </c>
      <c r="L69" s="11">
        <v>24</v>
      </c>
      <c r="M69" s="11">
        <v>566</v>
      </c>
      <c r="N69" s="11">
        <v>25.69</v>
      </c>
      <c r="O69" s="18">
        <v>360</v>
      </c>
      <c r="P69" s="41"/>
      <c r="Q69" s="41"/>
      <c r="R69" s="41"/>
      <c r="S69" s="41"/>
    </row>
    <row r="70" spans="1:19" x14ac:dyDescent="0.3">
      <c r="A70" s="11">
        <v>56</v>
      </c>
      <c r="B70" s="17">
        <v>24.4</v>
      </c>
      <c r="C70" s="11">
        <v>24.5</v>
      </c>
      <c r="D70" s="11">
        <v>562</v>
      </c>
      <c r="E70" s="11">
        <v>26.53</v>
      </c>
      <c r="F70" s="18">
        <v>375.8</v>
      </c>
      <c r="G70" s="17"/>
      <c r="H70" s="11">
        <v>0</v>
      </c>
      <c r="I70" s="11">
        <v>0</v>
      </c>
      <c r="J70" s="18">
        <v>0</v>
      </c>
      <c r="K70" s="17">
        <v>24.4</v>
      </c>
      <c r="L70" s="11">
        <v>24.5</v>
      </c>
      <c r="M70" s="11">
        <v>562</v>
      </c>
      <c r="N70" s="11">
        <v>26.53</v>
      </c>
      <c r="O70" s="18">
        <v>375.8</v>
      </c>
      <c r="P70" s="41"/>
      <c r="Q70" s="41"/>
      <c r="R70" s="41"/>
      <c r="S70" s="41"/>
    </row>
    <row r="71" spans="1:19" x14ac:dyDescent="0.3">
      <c r="A71" s="11">
        <v>57</v>
      </c>
      <c r="B71" s="17">
        <v>24.6</v>
      </c>
      <c r="C71" s="11">
        <v>25</v>
      </c>
      <c r="D71" s="11">
        <v>558</v>
      </c>
      <c r="E71" s="11">
        <v>27.36</v>
      </c>
      <c r="F71" s="18">
        <v>391.7</v>
      </c>
      <c r="G71" s="17"/>
      <c r="H71" s="11">
        <v>0</v>
      </c>
      <c r="I71" s="11">
        <v>0</v>
      </c>
      <c r="J71" s="18">
        <v>0</v>
      </c>
      <c r="K71" s="17">
        <v>24.6</v>
      </c>
      <c r="L71" s="11">
        <v>25</v>
      </c>
      <c r="M71" s="11">
        <v>558</v>
      </c>
      <c r="N71" s="11">
        <v>27.36</v>
      </c>
      <c r="O71" s="18">
        <v>391.7</v>
      </c>
      <c r="P71" s="41"/>
      <c r="Q71" s="41"/>
      <c r="R71" s="41"/>
      <c r="S71" s="41"/>
    </row>
    <row r="72" spans="1:19" x14ac:dyDescent="0.3">
      <c r="A72" s="11">
        <v>58</v>
      </c>
      <c r="B72" s="17">
        <v>24.9</v>
      </c>
      <c r="C72" s="11">
        <v>25.4</v>
      </c>
      <c r="D72" s="11">
        <v>554</v>
      </c>
      <c r="E72" s="11">
        <v>28.18</v>
      </c>
      <c r="F72" s="18">
        <v>407.7</v>
      </c>
      <c r="G72" s="17"/>
      <c r="H72" s="11">
        <v>0</v>
      </c>
      <c r="I72" s="11">
        <v>0</v>
      </c>
      <c r="J72" s="18">
        <v>0</v>
      </c>
      <c r="K72" s="17">
        <v>24.9</v>
      </c>
      <c r="L72" s="11">
        <v>25.4</v>
      </c>
      <c r="M72" s="11">
        <v>554</v>
      </c>
      <c r="N72" s="11">
        <v>28.18</v>
      </c>
      <c r="O72" s="18">
        <v>407.7</v>
      </c>
      <c r="P72" s="41"/>
      <c r="Q72" s="41"/>
      <c r="R72" s="41"/>
      <c r="S72" s="41"/>
    </row>
    <row r="73" spans="1:19" x14ac:dyDescent="0.3">
      <c r="A73" s="11">
        <v>59</v>
      </c>
      <c r="B73" s="17">
        <v>25.2</v>
      </c>
      <c r="C73" s="11">
        <v>25.9</v>
      </c>
      <c r="D73" s="11">
        <v>550</v>
      </c>
      <c r="E73" s="11">
        <v>29</v>
      </c>
      <c r="F73" s="18">
        <v>423.8</v>
      </c>
      <c r="G73" s="17"/>
      <c r="H73" s="11">
        <v>0</v>
      </c>
      <c r="I73" s="11">
        <v>0</v>
      </c>
      <c r="J73" s="18">
        <v>0</v>
      </c>
      <c r="K73" s="17">
        <v>25.2</v>
      </c>
      <c r="L73" s="11">
        <v>25.9</v>
      </c>
      <c r="M73" s="11">
        <v>550</v>
      </c>
      <c r="N73" s="11">
        <v>29</v>
      </c>
      <c r="O73" s="18">
        <v>423.8</v>
      </c>
      <c r="P73" s="41"/>
      <c r="Q73" s="41"/>
      <c r="R73" s="41"/>
      <c r="S73" s="41"/>
    </row>
    <row r="74" spans="1:19" x14ac:dyDescent="0.3">
      <c r="A74" s="11">
        <v>60</v>
      </c>
      <c r="B74" s="17">
        <v>25.4</v>
      </c>
      <c r="C74" s="11">
        <v>26.3</v>
      </c>
      <c r="D74" s="11">
        <v>547</v>
      </c>
      <c r="E74" s="11">
        <v>29.8</v>
      </c>
      <c r="F74" s="18">
        <v>440</v>
      </c>
      <c r="G74" s="17">
        <v>24.9</v>
      </c>
      <c r="H74" s="11">
        <v>109</v>
      </c>
      <c r="I74" s="11">
        <v>5.3</v>
      </c>
      <c r="J74" s="18">
        <v>76.8</v>
      </c>
      <c r="K74" s="17">
        <v>25.5</v>
      </c>
      <c r="L74" s="11">
        <v>26.7</v>
      </c>
      <c r="M74" s="11">
        <v>437</v>
      </c>
      <c r="N74" s="11">
        <v>24.5</v>
      </c>
      <c r="O74" s="18">
        <v>363.2</v>
      </c>
      <c r="P74" s="41"/>
      <c r="Q74" s="41"/>
      <c r="R74" s="41"/>
      <c r="S74" s="41"/>
    </row>
    <row r="75" spans="1:19" x14ac:dyDescent="0.3">
      <c r="A75" s="11">
        <v>61</v>
      </c>
      <c r="B75" s="17">
        <v>25.8</v>
      </c>
      <c r="C75" s="11">
        <v>27.2</v>
      </c>
      <c r="D75" s="11">
        <v>435</v>
      </c>
      <c r="E75" s="11">
        <v>25.26</v>
      </c>
      <c r="F75" s="18">
        <v>378.4</v>
      </c>
      <c r="G75" s="17"/>
      <c r="H75" s="11">
        <v>0</v>
      </c>
      <c r="I75" s="11">
        <v>0</v>
      </c>
      <c r="J75" s="18">
        <v>0</v>
      </c>
      <c r="K75" s="17">
        <v>25.8</v>
      </c>
      <c r="L75" s="11">
        <v>27.2</v>
      </c>
      <c r="M75" s="11">
        <v>435</v>
      </c>
      <c r="N75" s="11">
        <v>25.26</v>
      </c>
      <c r="O75" s="18">
        <v>378.4</v>
      </c>
      <c r="P75" s="41"/>
      <c r="Q75" s="41"/>
      <c r="R75" s="41"/>
      <c r="S75" s="41"/>
    </row>
    <row r="76" spans="1:19" x14ac:dyDescent="0.3">
      <c r="A76" s="11">
        <v>62</v>
      </c>
      <c r="B76" s="17">
        <v>26</v>
      </c>
      <c r="C76" s="11">
        <v>27.7</v>
      </c>
      <c r="D76" s="11">
        <v>432</v>
      </c>
      <c r="E76" s="11">
        <v>26.02</v>
      </c>
      <c r="F76" s="18">
        <v>393.4</v>
      </c>
      <c r="G76" s="17"/>
      <c r="H76" s="11">
        <v>0</v>
      </c>
      <c r="I76" s="11">
        <v>0</v>
      </c>
      <c r="J76" s="18">
        <v>0</v>
      </c>
      <c r="K76" s="17">
        <v>26</v>
      </c>
      <c r="L76" s="11">
        <v>27.7</v>
      </c>
      <c r="M76" s="11">
        <v>432</v>
      </c>
      <c r="N76" s="11">
        <v>26.02</v>
      </c>
      <c r="O76" s="18">
        <v>393.4</v>
      </c>
      <c r="P76" s="41"/>
      <c r="Q76" s="41"/>
      <c r="R76" s="41"/>
      <c r="S76" s="41"/>
    </row>
    <row r="77" spans="1:19" x14ac:dyDescent="0.3">
      <c r="A77" s="11">
        <v>63</v>
      </c>
      <c r="B77" s="17">
        <v>26.2</v>
      </c>
      <c r="C77" s="11">
        <v>28.2</v>
      </c>
      <c r="D77" s="11">
        <v>430</v>
      </c>
      <c r="E77" s="11">
        <v>26.78</v>
      </c>
      <c r="F77" s="18">
        <v>408.5</v>
      </c>
      <c r="G77" s="17"/>
      <c r="H77" s="11">
        <v>0</v>
      </c>
      <c r="I77" s="11">
        <v>0</v>
      </c>
      <c r="J77" s="18">
        <v>0</v>
      </c>
      <c r="K77" s="17">
        <v>26.2</v>
      </c>
      <c r="L77" s="11">
        <v>28.2</v>
      </c>
      <c r="M77" s="11">
        <v>430</v>
      </c>
      <c r="N77" s="11">
        <v>26.78</v>
      </c>
      <c r="O77" s="18">
        <v>408.5</v>
      </c>
      <c r="P77" s="41"/>
      <c r="Q77" s="41"/>
      <c r="R77" s="41"/>
      <c r="S77" s="41"/>
    </row>
    <row r="78" spans="1:19" x14ac:dyDescent="0.3">
      <c r="A78" s="11">
        <v>64</v>
      </c>
      <c r="B78" s="17">
        <v>26.4</v>
      </c>
      <c r="C78" s="11">
        <v>28.6</v>
      </c>
      <c r="D78" s="11">
        <v>427</v>
      </c>
      <c r="E78" s="11">
        <v>27.53</v>
      </c>
      <c r="F78" s="18">
        <v>423.7</v>
      </c>
      <c r="G78" s="17"/>
      <c r="H78" s="11">
        <v>0</v>
      </c>
      <c r="I78" s="11">
        <v>0</v>
      </c>
      <c r="J78" s="18">
        <v>0</v>
      </c>
      <c r="K78" s="17">
        <v>26.4</v>
      </c>
      <c r="L78" s="11">
        <v>28.6</v>
      </c>
      <c r="M78" s="11">
        <v>427</v>
      </c>
      <c r="N78" s="11">
        <v>27.53</v>
      </c>
      <c r="O78" s="18">
        <v>423.7</v>
      </c>
      <c r="P78" s="41"/>
      <c r="Q78" s="41"/>
      <c r="R78" s="41"/>
      <c r="S78" s="41"/>
    </row>
    <row r="79" spans="1:19" x14ac:dyDescent="0.3">
      <c r="A79" s="11">
        <v>65</v>
      </c>
      <c r="B79" s="17">
        <v>26.6</v>
      </c>
      <c r="C79" s="11">
        <v>29.1</v>
      </c>
      <c r="D79" s="11">
        <v>425</v>
      </c>
      <c r="E79" s="11">
        <v>28.28</v>
      </c>
      <c r="F79" s="18">
        <v>439</v>
      </c>
      <c r="G79" s="17"/>
      <c r="H79" s="11">
        <v>0</v>
      </c>
      <c r="I79" s="11">
        <v>0</v>
      </c>
      <c r="J79" s="18">
        <v>0</v>
      </c>
      <c r="K79" s="17">
        <v>26.6</v>
      </c>
      <c r="L79" s="11">
        <v>29.1</v>
      </c>
      <c r="M79" s="11">
        <v>425</v>
      </c>
      <c r="N79" s="11">
        <v>28.28</v>
      </c>
      <c r="O79" s="18">
        <v>439</v>
      </c>
      <c r="P79" s="41"/>
      <c r="Q79" s="41"/>
      <c r="R79" s="41"/>
      <c r="S79" s="41"/>
    </row>
    <row r="80" spans="1:19" x14ac:dyDescent="0.3">
      <c r="A80" s="11">
        <v>66</v>
      </c>
      <c r="B80" s="17">
        <v>26.9</v>
      </c>
      <c r="C80" s="11">
        <v>29.6</v>
      </c>
      <c r="D80" s="11">
        <v>422</v>
      </c>
      <c r="E80" s="11">
        <v>29.02</v>
      </c>
      <c r="F80" s="18">
        <v>454.4</v>
      </c>
      <c r="G80" s="17"/>
      <c r="H80" s="11">
        <v>0</v>
      </c>
      <c r="I80" s="11">
        <v>0</v>
      </c>
      <c r="J80" s="18">
        <v>0</v>
      </c>
      <c r="K80" s="17">
        <v>26.9</v>
      </c>
      <c r="L80" s="11">
        <v>29.6</v>
      </c>
      <c r="M80" s="11">
        <v>422</v>
      </c>
      <c r="N80" s="11">
        <v>29.02</v>
      </c>
      <c r="O80" s="18">
        <v>454.4</v>
      </c>
      <c r="P80" s="41"/>
      <c r="Q80" s="41"/>
      <c r="R80" s="41"/>
      <c r="S80" s="41"/>
    </row>
    <row r="81" spans="1:19" x14ac:dyDescent="0.3">
      <c r="A81" s="11">
        <v>67</v>
      </c>
      <c r="B81" s="17">
        <v>27.1</v>
      </c>
      <c r="C81" s="11">
        <v>30.1</v>
      </c>
      <c r="D81" s="11">
        <v>419</v>
      </c>
      <c r="E81" s="11">
        <v>29.75</v>
      </c>
      <c r="F81" s="18">
        <v>469.9</v>
      </c>
      <c r="G81" s="17">
        <v>28.6</v>
      </c>
      <c r="H81" s="11">
        <v>74</v>
      </c>
      <c r="I81" s="11">
        <v>4.75</v>
      </c>
      <c r="J81" s="18">
        <v>73.8</v>
      </c>
      <c r="K81" s="17">
        <v>27.1</v>
      </c>
      <c r="L81" s="11">
        <v>30.3</v>
      </c>
      <c r="M81" s="11">
        <v>346</v>
      </c>
      <c r="N81" s="11">
        <v>25</v>
      </c>
      <c r="O81" s="18">
        <v>396.1</v>
      </c>
      <c r="P81" s="41"/>
      <c r="Q81" s="41"/>
      <c r="R81" s="41"/>
      <c r="S81" s="41"/>
    </row>
    <row r="82" spans="1:19" x14ac:dyDescent="0.3">
      <c r="A82" s="11">
        <v>68</v>
      </c>
      <c r="B82" s="17">
        <v>27.3</v>
      </c>
      <c r="C82" s="11">
        <v>30.9</v>
      </c>
      <c r="D82" s="11">
        <v>344</v>
      </c>
      <c r="E82" s="11">
        <v>25.7</v>
      </c>
      <c r="F82" s="18">
        <v>410.8</v>
      </c>
      <c r="G82" s="17"/>
      <c r="H82" s="11">
        <v>0</v>
      </c>
      <c r="I82" s="11">
        <v>0</v>
      </c>
      <c r="J82" s="18">
        <v>0</v>
      </c>
      <c r="K82" s="17">
        <v>27.3</v>
      </c>
      <c r="L82" s="11">
        <v>30.9</v>
      </c>
      <c r="M82" s="11">
        <v>344</v>
      </c>
      <c r="N82" s="11">
        <v>25.7</v>
      </c>
      <c r="O82" s="18">
        <v>410.8</v>
      </c>
      <c r="P82" s="41"/>
      <c r="Q82" s="41"/>
      <c r="R82" s="41"/>
      <c r="S82" s="41"/>
    </row>
    <row r="83" spans="1:19" x14ac:dyDescent="0.3">
      <c r="A83" s="11">
        <v>69</v>
      </c>
      <c r="B83" s="17">
        <v>27.5</v>
      </c>
      <c r="C83" s="11">
        <v>31.4</v>
      </c>
      <c r="D83" s="11">
        <v>342</v>
      </c>
      <c r="E83" s="11">
        <v>26.4</v>
      </c>
      <c r="F83" s="18">
        <v>425.4</v>
      </c>
      <c r="G83" s="17"/>
      <c r="H83" s="11">
        <v>0</v>
      </c>
      <c r="I83" s="11">
        <v>0</v>
      </c>
      <c r="J83" s="18">
        <v>0</v>
      </c>
      <c r="K83" s="17">
        <v>27.5</v>
      </c>
      <c r="L83" s="11">
        <v>31.4</v>
      </c>
      <c r="M83" s="11">
        <v>342</v>
      </c>
      <c r="N83" s="11">
        <v>26.4</v>
      </c>
      <c r="O83" s="18">
        <v>425.4</v>
      </c>
      <c r="P83" s="41"/>
      <c r="Q83" s="41"/>
      <c r="R83" s="41"/>
      <c r="S83" s="41"/>
    </row>
    <row r="84" spans="1:19" x14ac:dyDescent="0.3">
      <c r="A84" s="11">
        <v>70</v>
      </c>
      <c r="B84" s="17">
        <v>27.7</v>
      </c>
      <c r="C84" s="11">
        <v>31.8</v>
      </c>
      <c r="D84" s="11">
        <v>340</v>
      </c>
      <c r="E84" s="11">
        <v>27.09</v>
      </c>
      <c r="F84" s="18">
        <v>440</v>
      </c>
      <c r="G84" s="17"/>
      <c r="H84" s="11">
        <v>0</v>
      </c>
      <c r="I84" s="11">
        <v>0</v>
      </c>
      <c r="J84" s="18">
        <v>0</v>
      </c>
      <c r="K84" s="17">
        <v>27.7</v>
      </c>
      <c r="L84" s="11">
        <v>31.8</v>
      </c>
      <c r="M84" s="11">
        <v>340</v>
      </c>
      <c r="N84" s="11">
        <v>27.09</v>
      </c>
      <c r="O84" s="18">
        <v>440</v>
      </c>
      <c r="P84" s="41"/>
      <c r="Q84" s="41"/>
      <c r="R84" s="41"/>
      <c r="S84" s="41"/>
    </row>
    <row r="85" spans="1:19" x14ac:dyDescent="0.3">
      <c r="A85" s="11">
        <v>71</v>
      </c>
      <c r="B85" s="17">
        <v>27.9</v>
      </c>
      <c r="C85" s="11">
        <v>32.299999999999997</v>
      </c>
      <c r="D85" s="11">
        <v>338</v>
      </c>
      <c r="E85" s="11">
        <v>27.79</v>
      </c>
      <c r="F85" s="18">
        <v>454.7</v>
      </c>
      <c r="G85" s="17"/>
      <c r="H85" s="11">
        <v>0</v>
      </c>
      <c r="I85" s="11">
        <v>0</v>
      </c>
      <c r="J85" s="18">
        <v>0</v>
      </c>
      <c r="K85" s="17">
        <v>27.9</v>
      </c>
      <c r="L85" s="11">
        <v>32.299999999999997</v>
      </c>
      <c r="M85" s="11">
        <v>338</v>
      </c>
      <c r="N85" s="11">
        <v>27.79</v>
      </c>
      <c r="O85" s="18">
        <v>454.7</v>
      </c>
      <c r="P85" s="41"/>
      <c r="Q85" s="41"/>
      <c r="R85" s="41"/>
      <c r="S85" s="41"/>
    </row>
    <row r="86" spans="1:19" x14ac:dyDescent="0.3">
      <c r="A86" s="11">
        <v>72</v>
      </c>
      <c r="B86" s="17">
        <v>28.1</v>
      </c>
      <c r="C86" s="11">
        <v>32.799999999999997</v>
      </c>
      <c r="D86" s="11">
        <v>336</v>
      </c>
      <c r="E86" s="11">
        <v>28.47</v>
      </c>
      <c r="F86" s="18">
        <v>469.6</v>
      </c>
      <c r="G86" s="17"/>
      <c r="H86" s="11">
        <v>0</v>
      </c>
      <c r="I86" s="11">
        <v>0</v>
      </c>
      <c r="J86" s="18">
        <v>0</v>
      </c>
      <c r="K86" s="17">
        <v>28.1</v>
      </c>
      <c r="L86" s="11">
        <v>32.799999999999997</v>
      </c>
      <c r="M86" s="11">
        <v>336</v>
      </c>
      <c r="N86" s="11">
        <v>28.47</v>
      </c>
      <c r="O86" s="18">
        <v>469.6</v>
      </c>
      <c r="P86" s="41"/>
      <c r="Q86" s="41"/>
      <c r="R86" s="41"/>
      <c r="S86" s="41"/>
    </row>
    <row r="87" spans="1:19" x14ac:dyDescent="0.3">
      <c r="A87" s="11">
        <v>73</v>
      </c>
      <c r="B87" s="17">
        <v>28.3</v>
      </c>
      <c r="C87" s="11">
        <v>33.299999999999997</v>
      </c>
      <c r="D87" s="11">
        <v>335</v>
      </c>
      <c r="E87" s="11">
        <v>29.16</v>
      </c>
      <c r="F87" s="18">
        <v>484.5</v>
      </c>
      <c r="G87" s="17"/>
      <c r="H87" s="11">
        <v>0</v>
      </c>
      <c r="I87" s="11">
        <v>0</v>
      </c>
      <c r="J87" s="18">
        <v>0</v>
      </c>
      <c r="K87" s="17">
        <v>28.3</v>
      </c>
      <c r="L87" s="11">
        <v>33.299999999999997</v>
      </c>
      <c r="M87" s="11">
        <v>335</v>
      </c>
      <c r="N87" s="11">
        <v>29.16</v>
      </c>
      <c r="O87" s="18">
        <v>484.5</v>
      </c>
      <c r="P87" s="41"/>
      <c r="Q87" s="41"/>
      <c r="R87" s="41"/>
      <c r="S87" s="41"/>
    </row>
    <row r="88" spans="1:19" x14ac:dyDescent="0.3">
      <c r="A88" s="11">
        <v>74</v>
      </c>
      <c r="B88" s="17">
        <v>28.5</v>
      </c>
      <c r="C88" s="11">
        <v>33.799999999999997</v>
      </c>
      <c r="D88" s="11">
        <v>333</v>
      </c>
      <c r="E88" s="11">
        <v>29.84</v>
      </c>
      <c r="F88" s="18">
        <v>499.4</v>
      </c>
      <c r="G88" s="17">
        <v>32.5</v>
      </c>
      <c r="H88" s="11">
        <v>52</v>
      </c>
      <c r="I88" s="11">
        <v>4.34</v>
      </c>
      <c r="J88" s="18">
        <v>71.7</v>
      </c>
      <c r="K88" s="17">
        <v>28.5</v>
      </c>
      <c r="L88" s="11">
        <v>34</v>
      </c>
      <c r="M88" s="11">
        <v>281</v>
      </c>
      <c r="N88" s="11">
        <v>25.5</v>
      </c>
      <c r="O88" s="18">
        <v>427.7</v>
      </c>
      <c r="P88" s="41"/>
      <c r="Q88" s="41"/>
      <c r="R88" s="41"/>
      <c r="S88" s="41"/>
    </row>
    <row r="89" spans="1:19" x14ac:dyDescent="0.3">
      <c r="A89" s="11">
        <v>75</v>
      </c>
      <c r="B89" s="17">
        <v>28.7</v>
      </c>
      <c r="C89" s="11">
        <v>34.5</v>
      </c>
      <c r="D89" s="11">
        <v>279</v>
      </c>
      <c r="E89" s="11">
        <v>26.15</v>
      </c>
      <c r="F89" s="18">
        <v>442.2</v>
      </c>
      <c r="G89" s="17"/>
      <c r="H89" s="11">
        <v>0</v>
      </c>
      <c r="I89" s="11">
        <v>0</v>
      </c>
      <c r="J89" s="18">
        <v>0</v>
      </c>
      <c r="K89" s="17">
        <v>28.7</v>
      </c>
      <c r="L89" s="11">
        <v>34.5</v>
      </c>
      <c r="M89" s="11">
        <v>279</v>
      </c>
      <c r="N89" s="11">
        <v>26.15</v>
      </c>
      <c r="O89" s="18">
        <v>442.2</v>
      </c>
      <c r="P89" s="41"/>
      <c r="Q89" s="41"/>
      <c r="R89" s="41"/>
      <c r="S89" s="41"/>
    </row>
    <row r="90" spans="1:19" x14ac:dyDescent="0.3">
      <c r="A90" s="11">
        <v>76</v>
      </c>
      <c r="B90" s="17">
        <v>28.9</v>
      </c>
      <c r="C90" s="11">
        <v>35</v>
      </c>
      <c r="D90" s="11">
        <v>278</v>
      </c>
      <c r="E90" s="11">
        <v>26.8</v>
      </c>
      <c r="F90" s="18">
        <v>456.4</v>
      </c>
      <c r="G90" s="17"/>
      <c r="H90" s="11">
        <v>0</v>
      </c>
      <c r="I90" s="11">
        <v>0</v>
      </c>
      <c r="J90" s="18">
        <v>0</v>
      </c>
      <c r="K90" s="17">
        <v>28.9</v>
      </c>
      <c r="L90" s="11">
        <v>35</v>
      </c>
      <c r="M90" s="11">
        <v>278</v>
      </c>
      <c r="N90" s="11">
        <v>26.8</v>
      </c>
      <c r="O90" s="18">
        <v>456.4</v>
      </c>
      <c r="P90" s="41"/>
      <c r="Q90" s="41"/>
      <c r="R90" s="41"/>
      <c r="S90" s="41"/>
    </row>
    <row r="91" spans="1:19" x14ac:dyDescent="0.3">
      <c r="A91" s="11">
        <v>77</v>
      </c>
      <c r="B91" s="17">
        <v>29</v>
      </c>
      <c r="C91" s="11">
        <v>35.6</v>
      </c>
      <c r="D91" s="11">
        <v>277</v>
      </c>
      <c r="E91" s="11">
        <v>27.45</v>
      </c>
      <c r="F91" s="18">
        <v>470.7</v>
      </c>
      <c r="G91" s="17"/>
      <c r="H91" s="11">
        <v>0</v>
      </c>
      <c r="I91" s="11">
        <v>0</v>
      </c>
      <c r="J91" s="18">
        <v>0</v>
      </c>
      <c r="K91" s="17">
        <v>29</v>
      </c>
      <c r="L91" s="11">
        <v>35.6</v>
      </c>
      <c r="M91" s="11">
        <v>277</v>
      </c>
      <c r="N91" s="11">
        <v>27.45</v>
      </c>
      <c r="O91" s="18">
        <v>470.7</v>
      </c>
      <c r="P91" s="41"/>
      <c r="Q91" s="41"/>
      <c r="R91" s="41"/>
      <c r="S91" s="41"/>
    </row>
    <row r="92" spans="1:19" x14ac:dyDescent="0.3">
      <c r="A92" s="11">
        <v>78</v>
      </c>
      <c r="B92" s="17">
        <v>29.2</v>
      </c>
      <c r="C92" s="11">
        <v>36.1</v>
      </c>
      <c r="D92" s="11">
        <v>275</v>
      </c>
      <c r="E92" s="11">
        <v>28.1</v>
      </c>
      <c r="F92" s="18">
        <v>485.1</v>
      </c>
      <c r="G92" s="17"/>
      <c r="H92" s="11">
        <v>0</v>
      </c>
      <c r="I92" s="11">
        <v>0</v>
      </c>
      <c r="J92" s="18">
        <v>0</v>
      </c>
      <c r="K92" s="17">
        <v>29.2</v>
      </c>
      <c r="L92" s="11">
        <v>36.1</v>
      </c>
      <c r="M92" s="11">
        <v>275</v>
      </c>
      <c r="N92" s="11">
        <v>28.1</v>
      </c>
      <c r="O92" s="18">
        <v>485.1</v>
      </c>
      <c r="P92" s="41"/>
      <c r="Q92" s="41"/>
      <c r="R92" s="41"/>
      <c r="S92" s="41"/>
    </row>
    <row r="93" spans="1:19" x14ac:dyDescent="0.3">
      <c r="A93" s="11">
        <v>79</v>
      </c>
      <c r="B93" s="17">
        <v>29.3</v>
      </c>
      <c r="C93" s="11">
        <v>36.6</v>
      </c>
      <c r="D93" s="11">
        <v>274</v>
      </c>
      <c r="E93" s="11">
        <v>28.74</v>
      </c>
      <c r="F93" s="18">
        <v>499.6</v>
      </c>
      <c r="G93" s="17"/>
      <c r="H93" s="11">
        <v>0</v>
      </c>
      <c r="I93" s="11">
        <v>0</v>
      </c>
      <c r="J93" s="18">
        <v>0</v>
      </c>
      <c r="K93" s="17">
        <v>29.3</v>
      </c>
      <c r="L93" s="11">
        <v>36.6</v>
      </c>
      <c r="M93" s="11">
        <v>274</v>
      </c>
      <c r="N93" s="11">
        <v>28.74</v>
      </c>
      <c r="O93" s="18">
        <v>499.6</v>
      </c>
      <c r="P93" s="41"/>
      <c r="Q93" s="41"/>
      <c r="R93" s="41"/>
      <c r="S93" s="41"/>
    </row>
    <row r="94" spans="1:19" x14ac:dyDescent="0.3">
      <c r="A94" s="11">
        <v>80</v>
      </c>
      <c r="B94" s="17">
        <v>29.5</v>
      </c>
      <c r="C94" s="11">
        <v>37.1</v>
      </c>
      <c r="D94" s="11">
        <v>272</v>
      </c>
      <c r="E94" s="11">
        <v>29.38</v>
      </c>
      <c r="F94" s="18">
        <v>514.1</v>
      </c>
      <c r="G94" s="17"/>
      <c r="H94" s="11">
        <v>0</v>
      </c>
      <c r="I94" s="11">
        <v>0</v>
      </c>
      <c r="J94" s="18">
        <v>0</v>
      </c>
      <c r="K94" s="17">
        <v>29.5</v>
      </c>
      <c r="L94" s="11">
        <v>37.1</v>
      </c>
      <c r="M94" s="11">
        <v>272</v>
      </c>
      <c r="N94" s="11">
        <v>29.38</v>
      </c>
      <c r="O94" s="18">
        <v>514.1</v>
      </c>
      <c r="P94" s="41"/>
      <c r="Q94" s="41"/>
      <c r="R94" s="41"/>
      <c r="S94" s="41"/>
    </row>
    <row r="95" spans="1:19" x14ac:dyDescent="0.3">
      <c r="A95" s="11">
        <v>81</v>
      </c>
      <c r="B95" s="17">
        <v>29.7</v>
      </c>
      <c r="C95" s="11">
        <v>37.5</v>
      </c>
      <c r="D95" s="11">
        <v>271</v>
      </c>
      <c r="E95" s="11">
        <v>30.02</v>
      </c>
      <c r="F95" s="18">
        <v>528.79999999999995</v>
      </c>
      <c r="G95" s="17">
        <v>36.4</v>
      </c>
      <c r="H95" s="11">
        <v>34</v>
      </c>
      <c r="I95" s="11">
        <v>3.52</v>
      </c>
      <c r="J95" s="18">
        <v>61.3</v>
      </c>
      <c r="K95" s="17">
        <v>29.7</v>
      </c>
      <c r="L95" s="11">
        <v>37.700000000000003</v>
      </c>
      <c r="M95" s="11">
        <v>237</v>
      </c>
      <c r="N95" s="11">
        <v>26.5</v>
      </c>
      <c r="O95" s="18">
        <v>467.4</v>
      </c>
      <c r="P95" s="41"/>
      <c r="Q95" s="41"/>
      <c r="R95" s="41"/>
      <c r="S95" s="41"/>
    </row>
    <row r="96" spans="1:19" x14ac:dyDescent="0.3">
      <c r="A96" s="11">
        <v>82</v>
      </c>
      <c r="B96" s="17">
        <v>29.9</v>
      </c>
      <c r="C96" s="11">
        <v>38.200000000000003</v>
      </c>
      <c r="D96" s="11">
        <v>236</v>
      </c>
      <c r="E96" s="11">
        <v>27.12</v>
      </c>
      <c r="F96" s="18">
        <v>481.7</v>
      </c>
      <c r="G96" s="17"/>
      <c r="H96" s="11">
        <v>0</v>
      </c>
      <c r="I96" s="11">
        <v>0</v>
      </c>
      <c r="J96" s="18">
        <v>0</v>
      </c>
      <c r="K96" s="17">
        <v>29.9</v>
      </c>
      <c r="L96" s="11">
        <v>38.200000000000003</v>
      </c>
      <c r="M96" s="11">
        <v>236</v>
      </c>
      <c r="N96" s="11">
        <v>27.12</v>
      </c>
      <c r="O96" s="18">
        <v>481.7</v>
      </c>
      <c r="P96" s="41"/>
      <c r="Q96" s="41"/>
      <c r="R96" s="41"/>
      <c r="S96" s="41"/>
    </row>
    <row r="97" spans="1:19" x14ac:dyDescent="0.3">
      <c r="A97" s="11">
        <v>83</v>
      </c>
      <c r="B97" s="17">
        <v>30</v>
      </c>
      <c r="C97" s="11">
        <v>38.700000000000003</v>
      </c>
      <c r="D97" s="11">
        <v>235</v>
      </c>
      <c r="E97" s="11">
        <v>27.73</v>
      </c>
      <c r="F97" s="18">
        <v>495.8</v>
      </c>
      <c r="G97" s="17"/>
      <c r="H97" s="11">
        <v>0</v>
      </c>
      <c r="I97" s="11">
        <v>0</v>
      </c>
      <c r="J97" s="18">
        <v>0</v>
      </c>
      <c r="K97" s="17">
        <v>30</v>
      </c>
      <c r="L97" s="11">
        <v>38.700000000000003</v>
      </c>
      <c r="M97" s="11">
        <v>235</v>
      </c>
      <c r="N97" s="11">
        <v>27.73</v>
      </c>
      <c r="O97" s="18">
        <v>495.8</v>
      </c>
      <c r="P97" s="41"/>
      <c r="Q97" s="41"/>
      <c r="R97" s="41"/>
      <c r="S97" s="41"/>
    </row>
    <row r="98" spans="1:19" x14ac:dyDescent="0.3">
      <c r="A98" s="11">
        <v>84</v>
      </c>
      <c r="B98" s="17">
        <v>30.1</v>
      </c>
      <c r="C98" s="11">
        <v>39.299999999999997</v>
      </c>
      <c r="D98" s="11">
        <v>234</v>
      </c>
      <c r="E98" s="11">
        <v>28.35</v>
      </c>
      <c r="F98" s="18">
        <v>509.9</v>
      </c>
      <c r="G98" s="17"/>
      <c r="H98" s="11">
        <v>0</v>
      </c>
      <c r="I98" s="11">
        <v>0</v>
      </c>
      <c r="J98" s="18">
        <v>0</v>
      </c>
      <c r="K98" s="17">
        <v>30.1</v>
      </c>
      <c r="L98" s="11">
        <v>39.299999999999997</v>
      </c>
      <c r="M98" s="11">
        <v>234</v>
      </c>
      <c r="N98" s="11">
        <v>28.35</v>
      </c>
      <c r="O98" s="18">
        <v>509.9</v>
      </c>
      <c r="P98" s="41"/>
      <c r="Q98" s="41"/>
      <c r="R98" s="41"/>
      <c r="S98" s="41"/>
    </row>
    <row r="99" spans="1:19" x14ac:dyDescent="0.3">
      <c r="A99" s="11">
        <v>85</v>
      </c>
      <c r="B99" s="17">
        <v>30.3</v>
      </c>
      <c r="C99" s="11">
        <v>39.799999999999997</v>
      </c>
      <c r="D99" s="11">
        <v>233</v>
      </c>
      <c r="E99" s="11">
        <v>28.96</v>
      </c>
      <c r="F99" s="18">
        <v>524.20000000000005</v>
      </c>
      <c r="G99" s="17"/>
      <c r="H99" s="11">
        <v>0</v>
      </c>
      <c r="I99" s="11">
        <v>0</v>
      </c>
      <c r="J99" s="18">
        <v>0</v>
      </c>
      <c r="K99" s="17">
        <v>30.3</v>
      </c>
      <c r="L99" s="11">
        <v>39.799999999999997</v>
      </c>
      <c r="M99" s="11">
        <v>233</v>
      </c>
      <c r="N99" s="11">
        <v>28.96</v>
      </c>
      <c r="O99" s="18">
        <v>524.20000000000005</v>
      </c>
      <c r="P99" s="41"/>
      <c r="Q99" s="41"/>
      <c r="R99" s="41"/>
      <c r="S99" s="41"/>
    </row>
    <row r="100" spans="1:19" x14ac:dyDescent="0.3">
      <c r="A100" s="11">
        <v>86</v>
      </c>
      <c r="B100" s="17">
        <v>30.4</v>
      </c>
      <c r="C100" s="11">
        <v>40.299999999999997</v>
      </c>
      <c r="D100" s="11">
        <v>232</v>
      </c>
      <c r="E100" s="11">
        <v>29.56</v>
      </c>
      <c r="F100" s="18">
        <v>538.5</v>
      </c>
      <c r="G100" s="17"/>
      <c r="H100" s="11">
        <v>0</v>
      </c>
      <c r="I100" s="11">
        <v>0</v>
      </c>
      <c r="J100" s="18">
        <v>0</v>
      </c>
      <c r="K100" s="17">
        <v>30.4</v>
      </c>
      <c r="L100" s="11">
        <v>40.299999999999997</v>
      </c>
      <c r="M100" s="11">
        <v>232</v>
      </c>
      <c r="N100" s="11">
        <v>29.56</v>
      </c>
      <c r="O100" s="18">
        <v>538.5</v>
      </c>
      <c r="P100" s="41"/>
      <c r="Q100" s="41"/>
      <c r="R100" s="41"/>
      <c r="S100" s="41"/>
    </row>
    <row r="101" spans="1:19" x14ac:dyDescent="0.3">
      <c r="A101" s="11">
        <v>87</v>
      </c>
      <c r="B101" s="17">
        <v>30.6</v>
      </c>
      <c r="C101" s="11">
        <v>40.799999999999997</v>
      </c>
      <c r="D101" s="11">
        <v>231</v>
      </c>
      <c r="E101" s="11">
        <v>30.17</v>
      </c>
      <c r="F101" s="18">
        <v>552.9</v>
      </c>
      <c r="G101" s="17"/>
      <c r="H101" s="11">
        <v>0</v>
      </c>
      <c r="I101" s="11">
        <v>0</v>
      </c>
      <c r="J101" s="18">
        <v>0</v>
      </c>
      <c r="K101" s="17">
        <v>30.6</v>
      </c>
      <c r="L101" s="11">
        <v>40.799999999999997</v>
      </c>
      <c r="M101" s="11">
        <v>231</v>
      </c>
      <c r="N101" s="11">
        <v>30.17</v>
      </c>
      <c r="O101" s="18">
        <v>552.9</v>
      </c>
      <c r="P101" s="41"/>
      <c r="Q101" s="41"/>
      <c r="R101" s="41"/>
      <c r="S101" s="41"/>
    </row>
    <row r="102" spans="1:19" x14ac:dyDescent="0.3">
      <c r="A102" s="11">
        <v>88</v>
      </c>
      <c r="B102" s="17">
        <v>30.7</v>
      </c>
      <c r="C102" s="11">
        <v>41.3</v>
      </c>
      <c r="D102" s="11">
        <v>230</v>
      </c>
      <c r="E102" s="11">
        <v>30.77</v>
      </c>
      <c r="F102" s="18">
        <v>567.4</v>
      </c>
      <c r="G102" s="17"/>
      <c r="H102" s="11">
        <v>0</v>
      </c>
      <c r="I102" s="11">
        <v>0</v>
      </c>
      <c r="J102" s="18">
        <v>0</v>
      </c>
      <c r="K102" s="17">
        <v>30.7</v>
      </c>
      <c r="L102" s="11">
        <v>41.3</v>
      </c>
      <c r="M102" s="11">
        <v>230</v>
      </c>
      <c r="N102" s="11">
        <v>30.77</v>
      </c>
      <c r="O102" s="18">
        <v>567.4</v>
      </c>
      <c r="P102" s="41"/>
      <c r="Q102" s="41"/>
      <c r="R102" s="41"/>
      <c r="S102" s="41"/>
    </row>
    <row r="103" spans="1:19" x14ac:dyDescent="0.3">
      <c r="A103" s="11">
        <v>89</v>
      </c>
      <c r="B103" s="17">
        <v>30.9</v>
      </c>
      <c r="C103" s="11">
        <v>41.8</v>
      </c>
      <c r="D103" s="11">
        <v>229</v>
      </c>
      <c r="E103" s="11">
        <v>31.37</v>
      </c>
      <c r="F103" s="18">
        <v>581.9</v>
      </c>
      <c r="G103" s="17">
        <v>40.5</v>
      </c>
      <c r="H103" s="11">
        <v>34</v>
      </c>
      <c r="I103" s="11">
        <v>4.37</v>
      </c>
      <c r="J103" s="18">
        <v>80.3</v>
      </c>
      <c r="K103" s="17">
        <v>30.9</v>
      </c>
      <c r="L103" s="11">
        <v>42</v>
      </c>
      <c r="M103" s="11">
        <v>195</v>
      </c>
      <c r="N103" s="11">
        <v>27</v>
      </c>
      <c r="O103" s="18">
        <v>501.6</v>
      </c>
      <c r="P103" s="41"/>
      <c r="Q103" s="41"/>
      <c r="R103" s="41"/>
      <c r="S103" s="41"/>
    </row>
    <row r="104" spans="1:19" x14ac:dyDescent="0.3">
      <c r="A104" s="11">
        <v>90</v>
      </c>
      <c r="B104" s="17">
        <v>31</v>
      </c>
      <c r="C104" s="11">
        <v>42.5</v>
      </c>
      <c r="D104" s="11">
        <v>194</v>
      </c>
      <c r="E104" s="11">
        <v>27.58</v>
      </c>
      <c r="F104" s="18">
        <v>515.70000000000005</v>
      </c>
      <c r="G104" s="17"/>
      <c r="H104" s="11">
        <v>0</v>
      </c>
      <c r="I104" s="11">
        <v>0</v>
      </c>
      <c r="J104" s="18">
        <v>0</v>
      </c>
      <c r="K104" s="17">
        <v>31</v>
      </c>
      <c r="L104" s="11">
        <v>42.5</v>
      </c>
      <c r="M104" s="11">
        <v>194</v>
      </c>
      <c r="N104" s="11">
        <v>27.58</v>
      </c>
      <c r="O104" s="18">
        <v>515.70000000000005</v>
      </c>
      <c r="P104" s="41"/>
      <c r="Q104" s="41"/>
      <c r="R104" s="41"/>
      <c r="S104" s="41"/>
    </row>
    <row r="105" spans="1:19" x14ac:dyDescent="0.3">
      <c r="A105" s="11">
        <v>91</v>
      </c>
      <c r="B105" s="17">
        <v>31.2</v>
      </c>
      <c r="C105" s="11">
        <v>43.1</v>
      </c>
      <c r="D105" s="11">
        <v>193</v>
      </c>
      <c r="E105" s="11">
        <v>28.16</v>
      </c>
      <c r="F105" s="18">
        <v>529.6</v>
      </c>
      <c r="G105" s="17"/>
      <c r="H105" s="11">
        <v>0</v>
      </c>
      <c r="I105" s="11">
        <v>0</v>
      </c>
      <c r="J105" s="18">
        <v>0</v>
      </c>
      <c r="K105" s="17">
        <v>31.2</v>
      </c>
      <c r="L105" s="11">
        <v>43.1</v>
      </c>
      <c r="M105" s="11">
        <v>193</v>
      </c>
      <c r="N105" s="11">
        <v>28.16</v>
      </c>
      <c r="O105" s="18">
        <v>529.6</v>
      </c>
      <c r="P105" s="41"/>
      <c r="Q105" s="41"/>
      <c r="R105" s="41"/>
      <c r="S105" s="41"/>
    </row>
    <row r="106" spans="1:19" x14ac:dyDescent="0.3">
      <c r="A106" s="11">
        <v>92</v>
      </c>
      <c r="B106" s="17">
        <v>31.3</v>
      </c>
      <c r="C106" s="11">
        <v>43.6</v>
      </c>
      <c r="D106" s="11">
        <v>193</v>
      </c>
      <c r="E106" s="11">
        <v>28.74</v>
      </c>
      <c r="F106" s="18">
        <v>543.6</v>
      </c>
      <c r="G106" s="17"/>
      <c r="H106" s="11">
        <v>0</v>
      </c>
      <c r="I106" s="11">
        <v>0</v>
      </c>
      <c r="J106" s="18">
        <v>0</v>
      </c>
      <c r="K106" s="17">
        <v>31.3</v>
      </c>
      <c r="L106" s="11">
        <v>43.6</v>
      </c>
      <c r="M106" s="11">
        <v>193</v>
      </c>
      <c r="N106" s="11">
        <v>28.74</v>
      </c>
      <c r="O106" s="18">
        <v>543.6</v>
      </c>
      <c r="P106" s="41"/>
      <c r="Q106" s="41"/>
      <c r="R106" s="41"/>
      <c r="S106" s="41"/>
    </row>
    <row r="107" spans="1:19" x14ac:dyDescent="0.3">
      <c r="A107" s="11">
        <v>93</v>
      </c>
      <c r="B107" s="17">
        <v>31.4</v>
      </c>
      <c r="C107" s="11">
        <v>44.1</v>
      </c>
      <c r="D107" s="11">
        <v>192</v>
      </c>
      <c r="E107" s="11">
        <v>29.31</v>
      </c>
      <c r="F107" s="18">
        <v>557.70000000000005</v>
      </c>
      <c r="G107" s="17"/>
      <c r="H107" s="11">
        <v>0</v>
      </c>
      <c r="I107" s="11">
        <v>0</v>
      </c>
      <c r="J107" s="18">
        <v>0</v>
      </c>
      <c r="K107" s="17">
        <v>31.4</v>
      </c>
      <c r="L107" s="11">
        <v>44.1</v>
      </c>
      <c r="M107" s="11">
        <v>192</v>
      </c>
      <c r="N107" s="11">
        <v>29.31</v>
      </c>
      <c r="O107" s="18">
        <v>557.70000000000005</v>
      </c>
      <c r="P107" s="41"/>
      <c r="Q107" s="41"/>
      <c r="R107" s="41"/>
      <c r="S107" s="41"/>
    </row>
    <row r="108" spans="1:19" x14ac:dyDescent="0.3">
      <c r="A108" s="11">
        <v>94</v>
      </c>
      <c r="B108" s="17">
        <v>31.6</v>
      </c>
      <c r="C108" s="11">
        <v>44.6</v>
      </c>
      <c r="D108" s="11">
        <v>191</v>
      </c>
      <c r="E108" s="11">
        <v>29.88</v>
      </c>
      <c r="F108" s="18">
        <v>571.79999999999995</v>
      </c>
      <c r="G108" s="17"/>
      <c r="H108" s="11">
        <v>0</v>
      </c>
      <c r="I108" s="11">
        <v>0</v>
      </c>
      <c r="J108" s="18">
        <v>0</v>
      </c>
      <c r="K108" s="17">
        <v>31.6</v>
      </c>
      <c r="L108" s="11">
        <v>44.6</v>
      </c>
      <c r="M108" s="11">
        <v>191</v>
      </c>
      <c r="N108" s="11">
        <v>29.88</v>
      </c>
      <c r="O108" s="18">
        <v>571.79999999999995</v>
      </c>
      <c r="P108" s="41"/>
      <c r="Q108" s="41"/>
      <c r="R108" s="41"/>
      <c r="S108" s="41"/>
    </row>
    <row r="109" spans="1:19" x14ac:dyDescent="0.3">
      <c r="A109" s="11">
        <v>95</v>
      </c>
      <c r="B109" s="17">
        <v>31.7</v>
      </c>
      <c r="C109" s="11">
        <v>45.1</v>
      </c>
      <c r="D109" s="11">
        <v>190</v>
      </c>
      <c r="E109" s="11">
        <v>30.45</v>
      </c>
      <c r="F109" s="18">
        <v>585.9</v>
      </c>
      <c r="G109" s="17"/>
      <c r="H109" s="11">
        <v>0</v>
      </c>
      <c r="I109" s="11">
        <v>0</v>
      </c>
      <c r="J109" s="18">
        <v>0</v>
      </c>
      <c r="K109" s="17">
        <v>31.7</v>
      </c>
      <c r="L109" s="11">
        <v>45.1</v>
      </c>
      <c r="M109" s="11">
        <v>190</v>
      </c>
      <c r="N109" s="11">
        <v>30.45</v>
      </c>
      <c r="O109" s="18">
        <v>585.9</v>
      </c>
      <c r="P109" s="41"/>
      <c r="Q109" s="41"/>
      <c r="R109" s="41"/>
      <c r="S109" s="41"/>
    </row>
    <row r="110" spans="1:19" x14ac:dyDescent="0.3">
      <c r="A110" s="11">
        <v>96</v>
      </c>
      <c r="B110" s="17">
        <v>31.8</v>
      </c>
      <c r="C110" s="11">
        <v>45.7</v>
      </c>
      <c r="D110" s="11">
        <v>189</v>
      </c>
      <c r="E110" s="11">
        <v>31.02</v>
      </c>
      <c r="F110" s="18">
        <v>600.20000000000005</v>
      </c>
      <c r="G110" s="17"/>
      <c r="H110" s="11">
        <v>0</v>
      </c>
      <c r="I110" s="11">
        <v>0</v>
      </c>
      <c r="J110" s="18">
        <v>0</v>
      </c>
      <c r="K110" s="17">
        <v>31.8</v>
      </c>
      <c r="L110" s="11">
        <v>45.7</v>
      </c>
      <c r="M110" s="11">
        <v>189</v>
      </c>
      <c r="N110" s="11">
        <v>31.02</v>
      </c>
      <c r="O110" s="18">
        <v>600.20000000000005</v>
      </c>
      <c r="P110" s="41"/>
      <c r="Q110" s="41"/>
      <c r="R110" s="41"/>
      <c r="S110" s="41"/>
    </row>
    <row r="111" spans="1:19" x14ac:dyDescent="0.3">
      <c r="A111" s="11">
        <v>97</v>
      </c>
      <c r="B111" s="17">
        <v>31.9</v>
      </c>
      <c r="C111" s="11">
        <v>46.2</v>
      </c>
      <c r="D111" s="11">
        <v>189</v>
      </c>
      <c r="E111" s="11">
        <v>31.59</v>
      </c>
      <c r="F111" s="18">
        <v>614.5</v>
      </c>
      <c r="G111" s="17"/>
      <c r="H111" s="11">
        <v>0</v>
      </c>
      <c r="I111" s="11">
        <v>0</v>
      </c>
      <c r="J111" s="18">
        <v>0</v>
      </c>
      <c r="K111" s="17">
        <v>31.9</v>
      </c>
      <c r="L111" s="11">
        <v>46.2</v>
      </c>
      <c r="M111" s="11">
        <v>189</v>
      </c>
      <c r="N111" s="11">
        <v>31.59</v>
      </c>
      <c r="O111" s="18">
        <v>614.5</v>
      </c>
      <c r="P111" s="41"/>
      <c r="Q111" s="41"/>
      <c r="R111" s="41"/>
      <c r="S111" s="41"/>
    </row>
    <row r="112" spans="1:19" x14ac:dyDescent="0.3">
      <c r="A112" s="11">
        <v>98</v>
      </c>
      <c r="B112" s="17">
        <v>32.1</v>
      </c>
      <c r="C112" s="11">
        <v>46.7</v>
      </c>
      <c r="D112" s="11">
        <v>188</v>
      </c>
      <c r="E112" s="11">
        <v>32.15</v>
      </c>
      <c r="F112" s="18">
        <v>628.79999999999995</v>
      </c>
      <c r="G112" s="17">
        <v>45.3</v>
      </c>
      <c r="H112" s="11">
        <v>31</v>
      </c>
      <c r="I112" s="11">
        <v>4.95</v>
      </c>
      <c r="J112" s="18">
        <v>95.9</v>
      </c>
      <c r="K112" s="17">
        <v>32.1</v>
      </c>
      <c r="L112" s="11">
        <v>47</v>
      </c>
      <c r="M112" s="11">
        <v>157</v>
      </c>
      <c r="N112" s="11">
        <v>27.2</v>
      </c>
      <c r="O112" s="18">
        <v>532.9</v>
      </c>
      <c r="P112" s="41"/>
      <c r="Q112" s="41"/>
      <c r="R112" s="41"/>
      <c r="S112" s="41"/>
    </row>
    <row r="113" spans="1:19" x14ac:dyDescent="0.3">
      <c r="A113" s="11">
        <v>99</v>
      </c>
      <c r="B113" s="17">
        <v>32.200000000000003</v>
      </c>
      <c r="C113" s="11">
        <v>47.5</v>
      </c>
      <c r="D113" s="11">
        <v>157</v>
      </c>
      <c r="E113" s="11">
        <v>27.74</v>
      </c>
      <c r="F113" s="18">
        <v>546.9</v>
      </c>
      <c r="G113" s="17"/>
      <c r="H113" s="11">
        <v>0</v>
      </c>
      <c r="I113" s="11">
        <v>0</v>
      </c>
      <c r="J113" s="18">
        <v>0</v>
      </c>
      <c r="K113" s="17">
        <v>32.200000000000003</v>
      </c>
      <c r="L113" s="11">
        <v>47.5</v>
      </c>
      <c r="M113" s="11">
        <v>157</v>
      </c>
      <c r="N113" s="11">
        <v>27.74</v>
      </c>
      <c r="O113" s="18">
        <v>546.9</v>
      </c>
      <c r="P113" s="41"/>
      <c r="Q113" s="41"/>
      <c r="R113" s="41"/>
      <c r="S113" s="41"/>
    </row>
    <row r="114" spans="1:19" x14ac:dyDescent="0.3">
      <c r="A114" s="11">
        <v>100</v>
      </c>
      <c r="B114" s="17">
        <v>32.299999999999997</v>
      </c>
      <c r="C114" s="11">
        <v>48.1</v>
      </c>
      <c r="D114" s="11">
        <v>156</v>
      </c>
      <c r="E114" s="11">
        <v>28.29</v>
      </c>
      <c r="F114" s="18">
        <v>560.6</v>
      </c>
      <c r="G114" s="17"/>
      <c r="H114" s="11">
        <v>0</v>
      </c>
      <c r="I114" s="11">
        <v>0</v>
      </c>
      <c r="J114" s="18">
        <v>0</v>
      </c>
      <c r="K114" s="17">
        <v>32.299999999999997</v>
      </c>
      <c r="L114" s="11">
        <v>48.1</v>
      </c>
      <c r="M114" s="11">
        <v>156</v>
      </c>
      <c r="N114" s="11">
        <v>28.29</v>
      </c>
      <c r="O114" s="18">
        <v>560.6</v>
      </c>
      <c r="P114" s="41"/>
      <c r="Q114" s="41"/>
      <c r="R114" s="41"/>
      <c r="S114" s="41"/>
    </row>
    <row r="115" spans="1:19" x14ac:dyDescent="0.3">
      <c r="A115" s="11">
        <v>101</v>
      </c>
      <c r="B115" s="17">
        <v>32.5</v>
      </c>
      <c r="C115" s="11">
        <v>48.6</v>
      </c>
      <c r="D115" s="11">
        <v>155</v>
      </c>
      <c r="E115" s="11">
        <v>28.83</v>
      </c>
      <c r="F115" s="18">
        <v>574.4</v>
      </c>
      <c r="G115" s="17"/>
      <c r="H115" s="11">
        <v>0</v>
      </c>
      <c r="I115" s="11">
        <v>0</v>
      </c>
      <c r="J115" s="18">
        <v>0</v>
      </c>
      <c r="K115" s="17">
        <v>32.5</v>
      </c>
      <c r="L115" s="11">
        <v>48.6</v>
      </c>
      <c r="M115" s="11">
        <v>155</v>
      </c>
      <c r="N115" s="11">
        <v>28.83</v>
      </c>
      <c r="O115" s="18">
        <v>574.4</v>
      </c>
      <c r="P115" s="41"/>
      <c r="Q115" s="41"/>
      <c r="R115" s="41"/>
      <c r="S115" s="41"/>
    </row>
    <row r="116" spans="1:19" x14ac:dyDescent="0.3">
      <c r="A116" s="11">
        <v>102</v>
      </c>
      <c r="B116" s="17">
        <v>32.6</v>
      </c>
      <c r="C116" s="11">
        <v>49.2</v>
      </c>
      <c r="D116" s="11">
        <v>155</v>
      </c>
      <c r="E116" s="11">
        <v>29.37</v>
      </c>
      <c r="F116" s="18">
        <v>588.20000000000005</v>
      </c>
      <c r="G116" s="17"/>
      <c r="H116" s="11">
        <v>0</v>
      </c>
      <c r="I116" s="11">
        <v>0</v>
      </c>
      <c r="J116" s="18">
        <v>0</v>
      </c>
      <c r="K116" s="17">
        <v>32.6</v>
      </c>
      <c r="L116" s="11">
        <v>49.2</v>
      </c>
      <c r="M116" s="11">
        <v>155</v>
      </c>
      <c r="N116" s="11">
        <v>29.37</v>
      </c>
      <c r="O116" s="18">
        <v>588.20000000000005</v>
      </c>
      <c r="P116" s="41"/>
      <c r="Q116" s="41"/>
      <c r="R116" s="41"/>
      <c r="S116" s="41"/>
    </row>
    <row r="117" spans="1:19" x14ac:dyDescent="0.3">
      <c r="A117" s="11">
        <v>103</v>
      </c>
      <c r="B117" s="17">
        <v>32.700000000000003</v>
      </c>
      <c r="C117" s="11">
        <v>49.7</v>
      </c>
      <c r="D117" s="11">
        <v>154</v>
      </c>
      <c r="E117" s="11">
        <v>29.91</v>
      </c>
      <c r="F117" s="18">
        <v>602.1</v>
      </c>
      <c r="G117" s="17"/>
      <c r="H117" s="11">
        <v>0</v>
      </c>
      <c r="I117" s="11">
        <v>0</v>
      </c>
      <c r="J117" s="18">
        <v>0</v>
      </c>
      <c r="K117" s="17">
        <v>32.700000000000003</v>
      </c>
      <c r="L117" s="11">
        <v>49.7</v>
      </c>
      <c r="M117" s="11">
        <v>154</v>
      </c>
      <c r="N117" s="11">
        <v>29.91</v>
      </c>
      <c r="O117" s="18">
        <v>602.1</v>
      </c>
      <c r="P117" s="41"/>
      <c r="Q117" s="41"/>
      <c r="R117" s="41"/>
      <c r="S117" s="41"/>
    </row>
    <row r="118" spans="1:19" x14ac:dyDescent="0.3">
      <c r="A118" s="11">
        <v>104</v>
      </c>
      <c r="B118" s="17">
        <v>32.799999999999997</v>
      </c>
      <c r="C118" s="11">
        <v>50.2</v>
      </c>
      <c r="D118" s="11">
        <v>154</v>
      </c>
      <c r="E118" s="11">
        <v>30.45</v>
      </c>
      <c r="F118" s="18">
        <v>616</v>
      </c>
      <c r="G118" s="17"/>
      <c r="H118" s="11">
        <v>0</v>
      </c>
      <c r="I118" s="11">
        <v>0</v>
      </c>
      <c r="J118" s="18">
        <v>0</v>
      </c>
      <c r="K118" s="17">
        <v>32.799999999999997</v>
      </c>
      <c r="L118" s="11">
        <v>50.2</v>
      </c>
      <c r="M118" s="11">
        <v>154</v>
      </c>
      <c r="N118" s="11">
        <v>30.45</v>
      </c>
      <c r="O118" s="18">
        <v>616</v>
      </c>
      <c r="P118" s="41"/>
      <c r="Q118" s="41"/>
      <c r="R118" s="41"/>
      <c r="S118" s="41"/>
    </row>
    <row r="119" spans="1:19" x14ac:dyDescent="0.3">
      <c r="A119" s="11">
        <v>105</v>
      </c>
      <c r="B119" s="17">
        <v>32.9</v>
      </c>
      <c r="C119" s="11">
        <v>50.8</v>
      </c>
      <c r="D119" s="11">
        <v>153</v>
      </c>
      <c r="E119" s="11">
        <v>30.98</v>
      </c>
      <c r="F119" s="18">
        <v>630.1</v>
      </c>
      <c r="G119" s="17"/>
      <c r="H119" s="11">
        <v>0</v>
      </c>
      <c r="I119" s="11">
        <v>0</v>
      </c>
      <c r="J119" s="18">
        <v>0</v>
      </c>
      <c r="K119" s="17">
        <v>32.9</v>
      </c>
      <c r="L119" s="11">
        <v>50.8</v>
      </c>
      <c r="M119" s="11">
        <v>153</v>
      </c>
      <c r="N119" s="11">
        <v>30.98</v>
      </c>
      <c r="O119" s="18">
        <v>630.1</v>
      </c>
      <c r="P119" s="41"/>
      <c r="Q119" s="41"/>
      <c r="R119" s="41"/>
      <c r="S119" s="41"/>
    </row>
    <row r="120" spans="1:19" x14ac:dyDescent="0.3">
      <c r="A120" s="11">
        <v>106</v>
      </c>
      <c r="B120" s="17">
        <v>33</v>
      </c>
      <c r="C120" s="11">
        <v>51.3</v>
      </c>
      <c r="D120" s="11">
        <v>152</v>
      </c>
      <c r="E120" s="11">
        <v>31.52</v>
      </c>
      <c r="F120" s="18">
        <v>644.1</v>
      </c>
      <c r="G120" s="17"/>
      <c r="H120" s="11">
        <v>0</v>
      </c>
      <c r="I120" s="11">
        <v>0</v>
      </c>
      <c r="J120" s="18">
        <v>0</v>
      </c>
      <c r="K120" s="17">
        <v>33</v>
      </c>
      <c r="L120" s="11">
        <v>51.3</v>
      </c>
      <c r="M120" s="11">
        <v>152</v>
      </c>
      <c r="N120" s="11">
        <v>31.52</v>
      </c>
      <c r="O120" s="18">
        <v>644.1</v>
      </c>
      <c r="P120" s="41"/>
      <c r="Q120" s="41"/>
      <c r="R120" s="41"/>
      <c r="S120" s="41"/>
    </row>
    <row r="121" spans="1:19" x14ac:dyDescent="0.3">
      <c r="A121" s="11">
        <v>107</v>
      </c>
      <c r="B121" s="17">
        <v>33.1</v>
      </c>
      <c r="C121" s="11">
        <v>51.8</v>
      </c>
      <c r="D121" s="11">
        <v>152</v>
      </c>
      <c r="E121" s="11">
        <v>32.049999999999997</v>
      </c>
      <c r="F121" s="18">
        <v>658.3</v>
      </c>
      <c r="G121" s="17">
        <v>50.3</v>
      </c>
      <c r="H121" s="11">
        <v>23</v>
      </c>
      <c r="I121" s="11">
        <v>4.6500000000000004</v>
      </c>
      <c r="J121" s="18">
        <v>94.6</v>
      </c>
      <c r="K121" s="17">
        <v>33.200000000000003</v>
      </c>
      <c r="L121" s="11">
        <v>52.1</v>
      </c>
      <c r="M121" s="11">
        <v>128</v>
      </c>
      <c r="N121" s="11">
        <v>27.4</v>
      </c>
      <c r="O121" s="18">
        <v>563.70000000000005</v>
      </c>
      <c r="P121" s="41"/>
      <c r="Q121" s="41"/>
      <c r="R121" s="41"/>
      <c r="S121" s="41"/>
    </row>
    <row r="122" spans="1:19" x14ac:dyDescent="0.3">
      <c r="A122" s="11">
        <v>108</v>
      </c>
      <c r="B122" s="17">
        <v>33.299999999999997</v>
      </c>
      <c r="C122" s="11">
        <v>52.7</v>
      </c>
      <c r="D122" s="11">
        <v>128</v>
      </c>
      <c r="E122" s="11">
        <v>27.92</v>
      </c>
      <c r="F122" s="18">
        <v>577.6</v>
      </c>
      <c r="G122" s="17"/>
      <c r="H122" s="11">
        <v>0</v>
      </c>
      <c r="I122" s="11">
        <v>0</v>
      </c>
      <c r="J122" s="18">
        <v>0</v>
      </c>
      <c r="K122" s="17">
        <v>33.299999999999997</v>
      </c>
      <c r="L122" s="11">
        <v>52.7</v>
      </c>
      <c r="M122" s="11">
        <v>128</v>
      </c>
      <c r="N122" s="11">
        <v>27.92</v>
      </c>
      <c r="O122" s="18">
        <v>577.6</v>
      </c>
      <c r="P122" s="41"/>
      <c r="Q122" s="41"/>
      <c r="R122" s="41"/>
      <c r="S122" s="41"/>
    </row>
    <row r="123" spans="1:19" x14ac:dyDescent="0.3">
      <c r="A123" s="11">
        <v>109</v>
      </c>
      <c r="B123" s="17">
        <v>33.4</v>
      </c>
      <c r="C123" s="11">
        <v>53.3</v>
      </c>
      <c r="D123" s="11">
        <v>128</v>
      </c>
      <c r="E123" s="11">
        <v>28.43</v>
      </c>
      <c r="F123" s="18">
        <v>591.20000000000005</v>
      </c>
      <c r="G123" s="17"/>
      <c r="H123" s="11">
        <v>0</v>
      </c>
      <c r="I123" s="11">
        <v>0</v>
      </c>
      <c r="J123" s="18">
        <v>0</v>
      </c>
      <c r="K123" s="17">
        <v>33.4</v>
      </c>
      <c r="L123" s="11">
        <v>53.3</v>
      </c>
      <c r="M123" s="11">
        <v>128</v>
      </c>
      <c r="N123" s="11">
        <v>28.43</v>
      </c>
      <c r="O123" s="18">
        <v>591.20000000000005</v>
      </c>
      <c r="P123" s="41"/>
      <c r="Q123" s="41"/>
      <c r="R123" s="41"/>
      <c r="S123" s="41"/>
    </row>
    <row r="124" spans="1:19" x14ac:dyDescent="0.3">
      <c r="A124" s="11">
        <v>110</v>
      </c>
      <c r="B124" s="17">
        <v>33.5</v>
      </c>
      <c r="C124" s="11">
        <v>53.8</v>
      </c>
      <c r="D124" s="11">
        <v>127</v>
      </c>
      <c r="E124" s="11">
        <v>28.94</v>
      </c>
      <c r="F124" s="18">
        <v>604.79999999999995</v>
      </c>
      <c r="G124" s="17"/>
      <c r="H124" s="11">
        <v>0</v>
      </c>
      <c r="I124" s="11">
        <v>0</v>
      </c>
      <c r="J124" s="18">
        <v>0</v>
      </c>
      <c r="K124" s="17">
        <v>33.5</v>
      </c>
      <c r="L124" s="11">
        <v>53.8</v>
      </c>
      <c r="M124" s="11">
        <v>127</v>
      </c>
      <c r="N124" s="11">
        <v>28.94</v>
      </c>
      <c r="O124" s="18">
        <v>604.79999999999995</v>
      </c>
      <c r="P124" s="41"/>
      <c r="Q124" s="41"/>
      <c r="R124" s="41"/>
      <c r="S124" s="41"/>
    </row>
    <row r="125" spans="1:19" x14ac:dyDescent="0.3">
      <c r="A125" s="11">
        <v>111</v>
      </c>
      <c r="B125" s="17">
        <v>33.6</v>
      </c>
      <c r="C125" s="11">
        <v>54.4</v>
      </c>
      <c r="D125" s="11">
        <v>127</v>
      </c>
      <c r="E125" s="11">
        <v>29.46</v>
      </c>
      <c r="F125" s="18">
        <v>618.5</v>
      </c>
      <c r="G125" s="17"/>
      <c r="H125" s="11">
        <v>0</v>
      </c>
      <c r="I125" s="11">
        <v>0</v>
      </c>
      <c r="J125" s="18">
        <v>0</v>
      </c>
      <c r="K125" s="17">
        <v>33.6</v>
      </c>
      <c r="L125" s="11">
        <v>54.4</v>
      </c>
      <c r="M125" s="11">
        <v>127</v>
      </c>
      <c r="N125" s="11">
        <v>29.46</v>
      </c>
      <c r="O125" s="18">
        <v>618.5</v>
      </c>
      <c r="P125" s="41"/>
      <c r="Q125" s="41"/>
      <c r="R125" s="41"/>
      <c r="S125" s="41"/>
    </row>
    <row r="126" spans="1:19" x14ac:dyDescent="0.3">
      <c r="A126" s="11">
        <v>112</v>
      </c>
      <c r="B126" s="17">
        <v>33.700000000000003</v>
      </c>
      <c r="C126" s="11">
        <v>55</v>
      </c>
      <c r="D126" s="11">
        <v>126</v>
      </c>
      <c r="E126" s="11">
        <v>29.97</v>
      </c>
      <c r="F126" s="18">
        <v>632.29999999999995</v>
      </c>
      <c r="G126" s="17"/>
      <c r="H126" s="11">
        <v>0</v>
      </c>
      <c r="I126" s="11">
        <v>0</v>
      </c>
      <c r="J126" s="18">
        <v>0</v>
      </c>
      <c r="K126" s="17">
        <v>33.700000000000003</v>
      </c>
      <c r="L126" s="11">
        <v>55</v>
      </c>
      <c r="M126" s="11">
        <v>126</v>
      </c>
      <c r="N126" s="11">
        <v>29.97</v>
      </c>
      <c r="O126" s="18">
        <v>632.29999999999995</v>
      </c>
      <c r="P126" s="41"/>
      <c r="Q126" s="41"/>
      <c r="R126" s="41"/>
      <c r="S126" s="41"/>
    </row>
    <row r="127" spans="1:19" x14ac:dyDescent="0.3">
      <c r="A127" s="11">
        <v>113</v>
      </c>
      <c r="B127" s="17">
        <v>33.799999999999997</v>
      </c>
      <c r="C127" s="11">
        <v>55.5</v>
      </c>
      <c r="D127" s="11">
        <v>126</v>
      </c>
      <c r="E127" s="11">
        <v>30.48</v>
      </c>
      <c r="F127" s="18">
        <v>646.1</v>
      </c>
      <c r="G127" s="17"/>
      <c r="H127" s="11">
        <v>0</v>
      </c>
      <c r="I127" s="11">
        <v>0</v>
      </c>
      <c r="J127" s="18">
        <v>0</v>
      </c>
      <c r="K127" s="17">
        <v>33.799999999999997</v>
      </c>
      <c r="L127" s="11">
        <v>55.5</v>
      </c>
      <c r="M127" s="11">
        <v>126</v>
      </c>
      <c r="N127" s="11">
        <v>30.48</v>
      </c>
      <c r="O127" s="18">
        <v>646.1</v>
      </c>
      <c r="P127" s="41"/>
      <c r="Q127" s="41"/>
      <c r="R127" s="41"/>
      <c r="S127" s="41"/>
    </row>
    <row r="128" spans="1:19" x14ac:dyDescent="0.3">
      <c r="A128" s="11">
        <v>114</v>
      </c>
      <c r="B128" s="17">
        <v>33.9</v>
      </c>
      <c r="C128" s="11">
        <v>56.1</v>
      </c>
      <c r="D128" s="11">
        <v>125</v>
      </c>
      <c r="E128" s="11">
        <v>30.98</v>
      </c>
      <c r="F128" s="18">
        <v>659.9</v>
      </c>
      <c r="G128" s="17"/>
      <c r="H128" s="11">
        <v>0</v>
      </c>
      <c r="I128" s="11">
        <v>0</v>
      </c>
      <c r="J128" s="18">
        <v>0</v>
      </c>
      <c r="K128" s="17">
        <v>33.9</v>
      </c>
      <c r="L128" s="11">
        <v>56.1</v>
      </c>
      <c r="M128" s="11">
        <v>125</v>
      </c>
      <c r="N128" s="11">
        <v>30.98</v>
      </c>
      <c r="O128" s="18">
        <v>659.9</v>
      </c>
      <c r="P128" s="41"/>
      <c r="Q128" s="41"/>
      <c r="R128" s="41"/>
      <c r="S128" s="41"/>
    </row>
    <row r="129" spans="1:19" x14ac:dyDescent="0.3">
      <c r="A129" s="11">
        <v>115</v>
      </c>
      <c r="B129" s="17">
        <v>34</v>
      </c>
      <c r="C129" s="11">
        <v>56.6</v>
      </c>
      <c r="D129" s="11">
        <v>125</v>
      </c>
      <c r="E129" s="11">
        <v>31.49</v>
      </c>
      <c r="F129" s="18">
        <v>673.9</v>
      </c>
      <c r="G129" s="17"/>
      <c r="H129" s="11">
        <v>0</v>
      </c>
      <c r="I129" s="11">
        <v>0</v>
      </c>
      <c r="J129" s="18">
        <v>0</v>
      </c>
      <c r="K129" s="17">
        <v>34</v>
      </c>
      <c r="L129" s="11">
        <v>56.6</v>
      </c>
      <c r="M129" s="11">
        <v>125</v>
      </c>
      <c r="N129" s="11">
        <v>31.49</v>
      </c>
      <c r="O129" s="18">
        <v>673.9</v>
      </c>
      <c r="P129" s="41"/>
      <c r="Q129" s="41"/>
      <c r="R129" s="41"/>
      <c r="S129" s="41"/>
    </row>
    <row r="130" spans="1:19" x14ac:dyDescent="0.3">
      <c r="A130" s="11">
        <v>116</v>
      </c>
      <c r="B130" s="17">
        <v>34.1</v>
      </c>
      <c r="C130" s="11">
        <v>57.2</v>
      </c>
      <c r="D130" s="11">
        <v>125</v>
      </c>
      <c r="E130" s="11">
        <v>32</v>
      </c>
      <c r="F130" s="18">
        <v>687.9</v>
      </c>
      <c r="G130" s="17">
        <v>55.5</v>
      </c>
      <c r="H130" s="11">
        <v>19</v>
      </c>
      <c r="I130" s="11">
        <v>4.55</v>
      </c>
      <c r="J130" s="18">
        <v>96.8</v>
      </c>
      <c r="K130" s="17">
        <v>34.1</v>
      </c>
      <c r="L130" s="11">
        <v>57.5</v>
      </c>
      <c r="M130" s="11">
        <v>106</v>
      </c>
      <c r="N130" s="11">
        <v>27.45</v>
      </c>
      <c r="O130" s="18">
        <v>591.1</v>
      </c>
      <c r="P130" s="41"/>
      <c r="Q130" s="41"/>
      <c r="R130" s="41"/>
      <c r="S130" s="41"/>
    </row>
    <row r="131" spans="1:19" x14ac:dyDescent="0.3">
      <c r="A131" s="11">
        <v>117</v>
      </c>
      <c r="B131" s="17">
        <v>34.200000000000003</v>
      </c>
      <c r="C131" s="11">
        <v>58.1</v>
      </c>
      <c r="D131" s="11">
        <v>105</v>
      </c>
      <c r="E131" s="11">
        <v>27.94</v>
      </c>
      <c r="F131" s="18">
        <v>604.9</v>
      </c>
      <c r="G131" s="17"/>
      <c r="H131" s="11">
        <v>0</v>
      </c>
      <c r="I131" s="11">
        <v>0</v>
      </c>
      <c r="J131" s="18">
        <v>0</v>
      </c>
      <c r="K131" s="17">
        <v>34.200000000000003</v>
      </c>
      <c r="L131" s="11">
        <v>58.1</v>
      </c>
      <c r="M131" s="11">
        <v>105</v>
      </c>
      <c r="N131" s="11">
        <v>27.94</v>
      </c>
      <c r="O131" s="18">
        <v>604.9</v>
      </c>
      <c r="P131" s="41"/>
      <c r="Q131" s="41"/>
      <c r="R131" s="41"/>
      <c r="S131" s="41"/>
    </row>
    <row r="132" spans="1:19" x14ac:dyDescent="0.3">
      <c r="A132" s="11">
        <v>118</v>
      </c>
      <c r="B132" s="17">
        <v>34.299999999999997</v>
      </c>
      <c r="C132" s="11">
        <v>58.7</v>
      </c>
      <c r="D132" s="11">
        <v>105</v>
      </c>
      <c r="E132" s="11">
        <v>28.43</v>
      </c>
      <c r="F132" s="18">
        <v>618.4</v>
      </c>
      <c r="G132" s="17"/>
      <c r="H132" s="11">
        <v>0</v>
      </c>
      <c r="I132" s="11">
        <v>0</v>
      </c>
      <c r="J132" s="18">
        <v>0</v>
      </c>
      <c r="K132" s="17">
        <v>34.299999999999997</v>
      </c>
      <c r="L132" s="11">
        <v>58.7</v>
      </c>
      <c r="M132" s="11">
        <v>105</v>
      </c>
      <c r="N132" s="11">
        <v>28.43</v>
      </c>
      <c r="O132" s="18">
        <v>618.4</v>
      </c>
      <c r="P132" s="41"/>
      <c r="Q132" s="41"/>
      <c r="R132" s="41"/>
      <c r="S132" s="41"/>
    </row>
    <row r="133" spans="1:19" x14ac:dyDescent="0.3">
      <c r="A133" s="11">
        <v>119</v>
      </c>
      <c r="B133" s="17">
        <v>34.4</v>
      </c>
      <c r="C133" s="11">
        <v>59.3</v>
      </c>
      <c r="D133" s="11">
        <v>105</v>
      </c>
      <c r="E133" s="11">
        <v>28.92</v>
      </c>
      <c r="F133" s="18">
        <v>631.9</v>
      </c>
      <c r="G133" s="17"/>
      <c r="H133" s="11">
        <v>0</v>
      </c>
      <c r="I133" s="11">
        <v>0</v>
      </c>
      <c r="J133" s="18">
        <v>0</v>
      </c>
      <c r="K133" s="17">
        <v>34.4</v>
      </c>
      <c r="L133" s="11">
        <v>59.3</v>
      </c>
      <c r="M133" s="11">
        <v>105</v>
      </c>
      <c r="N133" s="11">
        <v>28.92</v>
      </c>
      <c r="O133" s="18">
        <v>631.9</v>
      </c>
      <c r="P133" s="41"/>
      <c r="Q133" s="41"/>
      <c r="R133" s="41"/>
      <c r="S133" s="41"/>
    </row>
    <row r="134" spans="1:19" x14ac:dyDescent="0.3">
      <c r="A134" s="11">
        <v>120</v>
      </c>
      <c r="B134" s="17">
        <v>34.5</v>
      </c>
      <c r="C134" s="11">
        <v>59.9</v>
      </c>
      <c r="D134" s="11">
        <v>104</v>
      </c>
      <c r="E134" s="11">
        <v>29.41</v>
      </c>
      <c r="F134" s="18">
        <v>645.5</v>
      </c>
      <c r="G134" s="17"/>
      <c r="H134" s="11">
        <v>0</v>
      </c>
      <c r="I134" s="11">
        <v>0</v>
      </c>
      <c r="J134" s="18">
        <v>0</v>
      </c>
      <c r="K134" s="17">
        <v>34.5</v>
      </c>
      <c r="L134" s="11">
        <v>59.9</v>
      </c>
      <c r="M134" s="11">
        <v>104</v>
      </c>
      <c r="N134" s="11">
        <v>29.41</v>
      </c>
      <c r="O134" s="18">
        <v>645.5</v>
      </c>
      <c r="P134" s="41"/>
      <c r="Q134" s="41"/>
      <c r="R134" s="41"/>
      <c r="S134" s="41"/>
    </row>
    <row r="135" spans="1:19" x14ac:dyDescent="0.3">
      <c r="A135" s="11">
        <v>121</v>
      </c>
      <c r="B135" s="17">
        <v>34.6</v>
      </c>
      <c r="C135" s="11">
        <v>60.5</v>
      </c>
      <c r="D135" s="11">
        <v>104</v>
      </c>
      <c r="E135" s="11">
        <v>29.89</v>
      </c>
      <c r="F135" s="18">
        <v>659.2</v>
      </c>
      <c r="G135" s="17"/>
      <c r="H135" s="11">
        <v>0</v>
      </c>
      <c r="I135" s="11">
        <v>0</v>
      </c>
      <c r="J135" s="18">
        <v>0</v>
      </c>
      <c r="K135" s="17">
        <v>34.6</v>
      </c>
      <c r="L135" s="11">
        <v>60.5</v>
      </c>
      <c r="M135" s="11">
        <v>104</v>
      </c>
      <c r="N135" s="11">
        <v>29.89</v>
      </c>
      <c r="O135" s="18">
        <v>659.2</v>
      </c>
      <c r="P135" s="41"/>
      <c r="Q135" s="41"/>
      <c r="R135" s="41"/>
      <c r="S135" s="41"/>
    </row>
    <row r="136" spans="1:19" x14ac:dyDescent="0.3">
      <c r="A136" s="11">
        <v>122</v>
      </c>
      <c r="B136" s="17">
        <v>34.700000000000003</v>
      </c>
      <c r="C136" s="11">
        <v>61.1</v>
      </c>
      <c r="D136" s="11">
        <v>104</v>
      </c>
      <c r="E136" s="11">
        <v>30.38</v>
      </c>
      <c r="F136" s="18">
        <v>672.9</v>
      </c>
      <c r="G136" s="17"/>
      <c r="H136" s="11">
        <v>0</v>
      </c>
      <c r="I136" s="11">
        <v>0</v>
      </c>
      <c r="J136" s="18">
        <v>0</v>
      </c>
      <c r="K136" s="17">
        <v>34.700000000000003</v>
      </c>
      <c r="L136" s="11">
        <v>61.1</v>
      </c>
      <c r="M136" s="11">
        <v>104</v>
      </c>
      <c r="N136" s="11">
        <v>30.38</v>
      </c>
      <c r="O136" s="18">
        <v>672.9</v>
      </c>
      <c r="P136" s="41"/>
      <c r="Q136" s="41"/>
      <c r="R136" s="41"/>
      <c r="S136" s="41"/>
    </row>
    <row r="137" spans="1:19" x14ac:dyDescent="0.3">
      <c r="A137" s="11">
        <v>123</v>
      </c>
      <c r="B137" s="17">
        <v>34.799999999999997</v>
      </c>
      <c r="C137" s="11">
        <v>61.6</v>
      </c>
      <c r="D137" s="11">
        <v>103</v>
      </c>
      <c r="E137" s="11">
        <v>30.86</v>
      </c>
      <c r="F137" s="18">
        <v>686.7</v>
      </c>
      <c r="G137" s="17"/>
      <c r="H137" s="11">
        <v>0</v>
      </c>
      <c r="I137" s="11">
        <v>0</v>
      </c>
      <c r="J137" s="18">
        <v>0</v>
      </c>
      <c r="K137" s="17">
        <v>34.799999999999997</v>
      </c>
      <c r="L137" s="11">
        <v>61.6</v>
      </c>
      <c r="M137" s="11">
        <v>103</v>
      </c>
      <c r="N137" s="11">
        <v>30.86</v>
      </c>
      <c r="O137" s="18">
        <v>686.7</v>
      </c>
      <c r="P137" s="41"/>
      <c r="Q137" s="41"/>
      <c r="R137" s="41"/>
      <c r="S137" s="41"/>
    </row>
    <row r="138" spans="1:19" x14ac:dyDescent="0.3">
      <c r="A138" s="11">
        <v>124</v>
      </c>
      <c r="B138" s="17">
        <v>34.799999999999997</v>
      </c>
      <c r="C138" s="11">
        <v>62.2</v>
      </c>
      <c r="D138" s="11">
        <v>103</v>
      </c>
      <c r="E138" s="11">
        <v>31.35</v>
      </c>
      <c r="F138" s="18">
        <v>700.5</v>
      </c>
      <c r="G138" s="17"/>
      <c r="H138" s="11">
        <v>0</v>
      </c>
      <c r="I138" s="11">
        <v>0</v>
      </c>
      <c r="J138" s="18">
        <v>0</v>
      </c>
      <c r="K138" s="17">
        <v>34.799999999999997</v>
      </c>
      <c r="L138" s="11">
        <v>62.2</v>
      </c>
      <c r="M138" s="11">
        <v>103</v>
      </c>
      <c r="N138" s="11">
        <v>31.35</v>
      </c>
      <c r="O138" s="18">
        <v>700.5</v>
      </c>
      <c r="P138" s="41"/>
      <c r="Q138" s="41"/>
      <c r="R138" s="41"/>
      <c r="S138" s="41"/>
    </row>
    <row r="139" spans="1:19" x14ac:dyDescent="0.3">
      <c r="A139" s="11">
        <v>125</v>
      </c>
      <c r="B139" s="17">
        <v>34.9</v>
      </c>
      <c r="C139" s="11">
        <v>62.8</v>
      </c>
      <c r="D139" s="11">
        <v>103</v>
      </c>
      <c r="E139" s="11">
        <v>31.83</v>
      </c>
      <c r="F139" s="18">
        <v>714.4</v>
      </c>
      <c r="G139" s="17">
        <v>60.9</v>
      </c>
      <c r="H139" s="11">
        <v>15</v>
      </c>
      <c r="I139" s="11">
        <v>4.33</v>
      </c>
      <c r="J139" s="18">
        <v>96.3</v>
      </c>
      <c r="K139" s="17">
        <v>35</v>
      </c>
      <c r="L139" s="11">
        <v>63.1</v>
      </c>
      <c r="M139" s="11">
        <v>88</v>
      </c>
      <c r="N139" s="11">
        <v>27.5</v>
      </c>
      <c r="O139" s="18">
        <v>618.1</v>
      </c>
      <c r="P139" s="41"/>
      <c r="Q139" s="41"/>
      <c r="R139" s="41"/>
      <c r="S139" s="41"/>
    </row>
    <row r="140" spans="1:19" x14ac:dyDescent="0.3">
      <c r="A140" s="11">
        <v>126</v>
      </c>
      <c r="B140" s="17">
        <v>35.1</v>
      </c>
      <c r="C140" s="11">
        <v>63.7</v>
      </c>
      <c r="D140" s="11">
        <v>88</v>
      </c>
      <c r="E140" s="11">
        <v>27.97</v>
      </c>
      <c r="F140" s="18">
        <v>632</v>
      </c>
      <c r="G140" s="17"/>
      <c r="H140" s="11">
        <v>0</v>
      </c>
      <c r="I140" s="11">
        <v>0</v>
      </c>
      <c r="J140" s="18">
        <v>0</v>
      </c>
      <c r="K140" s="17">
        <v>35.1</v>
      </c>
      <c r="L140" s="11">
        <v>63.7</v>
      </c>
      <c r="M140" s="11">
        <v>88</v>
      </c>
      <c r="N140" s="11">
        <v>27.97</v>
      </c>
      <c r="O140" s="18">
        <v>632</v>
      </c>
      <c r="P140" s="41"/>
      <c r="Q140" s="41"/>
      <c r="R140" s="41"/>
      <c r="S140" s="41"/>
    </row>
    <row r="141" spans="1:19" x14ac:dyDescent="0.3">
      <c r="A141" s="11">
        <v>127</v>
      </c>
      <c r="B141" s="17">
        <v>35.200000000000003</v>
      </c>
      <c r="C141" s="11">
        <v>64.400000000000006</v>
      </c>
      <c r="D141" s="11">
        <v>87</v>
      </c>
      <c r="E141" s="11">
        <v>28.44</v>
      </c>
      <c r="F141" s="18">
        <v>645.4</v>
      </c>
      <c r="G141" s="17"/>
      <c r="H141" s="11">
        <v>0</v>
      </c>
      <c r="I141" s="11">
        <v>0</v>
      </c>
      <c r="J141" s="18">
        <v>0</v>
      </c>
      <c r="K141" s="17">
        <v>35.200000000000003</v>
      </c>
      <c r="L141" s="11">
        <v>64.400000000000006</v>
      </c>
      <c r="M141" s="11">
        <v>87</v>
      </c>
      <c r="N141" s="11">
        <v>28.44</v>
      </c>
      <c r="O141" s="18">
        <v>645.4</v>
      </c>
      <c r="P141" s="41"/>
      <c r="Q141" s="41"/>
      <c r="R141" s="41"/>
      <c r="S141" s="41"/>
    </row>
    <row r="142" spans="1:19" x14ac:dyDescent="0.3">
      <c r="A142" s="11">
        <v>128</v>
      </c>
      <c r="B142" s="17">
        <v>35.200000000000003</v>
      </c>
      <c r="C142" s="11">
        <v>65</v>
      </c>
      <c r="D142" s="11">
        <v>87</v>
      </c>
      <c r="E142" s="11">
        <v>28.9</v>
      </c>
      <c r="F142" s="18">
        <v>658.9</v>
      </c>
      <c r="G142" s="17"/>
      <c r="H142" s="11">
        <v>0</v>
      </c>
      <c r="I142" s="11">
        <v>0</v>
      </c>
      <c r="J142" s="18">
        <v>0</v>
      </c>
      <c r="K142" s="17">
        <v>35.200000000000003</v>
      </c>
      <c r="L142" s="11">
        <v>65</v>
      </c>
      <c r="M142" s="11">
        <v>87</v>
      </c>
      <c r="N142" s="11">
        <v>28.9</v>
      </c>
      <c r="O142" s="18">
        <v>658.9</v>
      </c>
      <c r="P142" s="41"/>
      <c r="Q142" s="41"/>
      <c r="R142" s="41"/>
      <c r="S142" s="41"/>
    </row>
    <row r="143" spans="1:19" x14ac:dyDescent="0.3">
      <c r="A143" s="11">
        <v>129</v>
      </c>
      <c r="B143" s="17">
        <v>35.299999999999997</v>
      </c>
      <c r="C143" s="11">
        <v>65.599999999999994</v>
      </c>
      <c r="D143" s="11">
        <v>87</v>
      </c>
      <c r="E143" s="11">
        <v>29.37</v>
      </c>
      <c r="F143" s="18">
        <v>672.4</v>
      </c>
      <c r="G143" s="17"/>
      <c r="H143" s="11">
        <v>0</v>
      </c>
      <c r="I143" s="11">
        <v>0</v>
      </c>
      <c r="J143" s="18">
        <v>0</v>
      </c>
      <c r="K143" s="17">
        <v>35.299999999999997</v>
      </c>
      <c r="L143" s="11">
        <v>65.599999999999994</v>
      </c>
      <c r="M143" s="11">
        <v>87</v>
      </c>
      <c r="N143" s="11">
        <v>29.37</v>
      </c>
      <c r="O143" s="18">
        <v>672.4</v>
      </c>
      <c r="P143" s="41"/>
      <c r="Q143" s="41"/>
      <c r="R143" s="41"/>
      <c r="S143" s="41"/>
    </row>
    <row r="144" spans="1:19" x14ac:dyDescent="0.3">
      <c r="A144" s="11">
        <v>130</v>
      </c>
      <c r="B144" s="17">
        <v>35.4</v>
      </c>
      <c r="C144" s="11">
        <v>66.2</v>
      </c>
      <c r="D144" s="11">
        <v>87</v>
      </c>
      <c r="E144" s="11">
        <v>29.84</v>
      </c>
      <c r="F144" s="18">
        <v>686</v>
      </c>
      <c r="G144" s="17"/>
      <c r="H144" s="11">
        <v>0</v>
      </c>
      <c r="I144" s="11">
        <v>0</v>
      </c>
      <c r="J144" s="18">
        <v>0</v>
      </c>
      <c r="K144" s="17">
        <v>35.4</v>
      </c>
      <c r="L144" s="11">
        <v>66.2</v>
      </c>
      <c r="M144" s="11">
        <v>87</v>
      </c>
      <c r="N144" s="11">
        <v>29.84</v>
      </c>
      <c r="O144" s="18">
        <v>686</v>
      </c>
      <c r="P144" s="41"/>
      <c r="Q144" s="41"/>
      <c r="R144" s="41"/>
      <c r="S144" s="41"/>
    </row>
    <row r="145" spans="1:19" x14ac:dyDescent="0.3">
      <c r="A145" s="11">
        <v>131</v>
      </c>
      <c r="B145" s="17">
        <v>35.5</v>
      </c>
      <c r="C145" s="11">
        <v>66.8</v>
      </c>
      <c r="D145" s="11">
        <v>86</v>
      </c>
      <c r="E145" s="11">
        <v>30.3</v>
      </c>
      <c r="F145" s="18">
        <v>699.7</v>
      </c>
      <c r="G145" s="17"/>
      <c r="H145" s="11">
        <v>0</v>
      </c>
      <c r="I145" s="11">
        <v>0</v>
      </c>
      <c r="J145" s="18">
        <v>0</v>
      </c>
      <c r="K145" s="17">
        <v>35.5</v>
      </c>
      <c r="L145" s="11">
        <v>66.8</v>
      </c>
      <c r="M145" s="11">
        <v>86</v>
      </c>
      <c r="N145" s="11">
        <v>30.3</v>
      </c>
      <c r="O145" s="18">
        <v>699.7</v>
      </c>
      <c r="P145" s="41"/>
      <c r="Q145" s="41"/>
      <c r="R145" s="41"/>
      <c r="S145" s="41"/>
    </row>
    <row r="146" spans="1:19" x14ac:dyDescent="0.3">
      <c r="A146" s="11">
        <v>132</v>
      </c>
      <c r="B146" s="17">
        <v>35.6</v>
      </c>
      <c r="C146" s="11">
        <v>67.5</v>
      </c>
      <c r="D146" s="11">
        <v>86</v>
      </c>
      <c r="E146" s="11">
        <v>30.77</v>
      </c>
      <c r="F146" s="18">
        <v>713.4</v>
      </c>
      <c r="G146" s="17"/>
      <c r="H146" s="11">
        <v>0</v>
      </c>
      <c r="I146" s="11">
        <v>0</v>
      </c>
      <c r="J146" s="18">
        <v>0</v>
      </c>
      <c r="K146" s="17">
        <v>35.6</v>
      </c>
      <c r="L146" s="11">
        <v>67.5</v>
      </c>
      <c r="M146" s="11">
        <v>86</v>
      </c>
      <c r="N146" s="11">
        <v>30.77</v>
      </c>
      <c r="O146" s="18">
        <v>713.4</v>
      </c>
      <c r="P146" s="41"/>
      <c r="Q146" s="41"/>
      <c r="R146" s="41"/>
      <c r="S146" s="41"/>
    </row>
    <row r="147" spans="1:19" x14ac:dyDescent="0.3">
      <c r="A147" s="11">
        <v>133</v>
      </c>
      <c r="B147" s="17">
        <v>35.6</v>
      </c>
      <c r="C147" s="11">
        <v>68.099999999999994</v>
      </c>
      <c r="D147" s="11">
        <v>86</v>
      </c>
      <c r="E147" s="11">
        <v>31.23</v>
      </c>
      <c r="F147" s="18">
        <v>727.2</v>
      </c>
      <c r="G147" s="17"/>
      <c r="H147" s="11">
        <v>0</v>
      </c>
      <c r="I147" s="11">
        <v>0</v>
      </c>
      <c r="J147" s="18">
        <v>0</v>
      </c>
      <c r="K147" s="17">
        <v>35.6</v>
      </c>
      <c r="L147" s="11">
        <v>68.099999999999994</v>
      </c>
      <c r="M147" s="11">
        <v>86</v>
      </c>
      <c r="N147" s="11">
        <v>31.23</v>
      </c>
      <c r="O147" s="18">
        <v>727.2</v>
      </c>
      <c r="P147" s="41"/>
      <c r="Q147" s="41"/>
      <c r="R147" s="41"/>
      <c r="S147" s="41"/>
    </row>
    <row r="148" spans="1:19" x14ac:dyDescent="0.3">
      <c r="A148" s="11">
        <v>134</v>
      </c>
      <c r="B148" s="17">
        <v>35.700000000000003</v>
      </c>
      <c r="C148" s="11">
        <v>68.7</v>
      </c>
      <c r="D148" s="11">
        <v>86</v>
      </c>
      <c r="E148" s="11">
        <v>31.7</v>
      </c>
      <c r="F148" s="18">
        <v>741.1</v>
      </c>
      <c r="G148" s="17"/>
      <c r="H148" s="11">
        <v>0</v>
      </c>
      <c r="I148" s="11">
        <v>0</v>
      </c>
      <c r="J148" s="18">
        <v>0</v>
      </c>
      <c r="K148" s="17">
        <v>35.700000000000003</v>
      </c>
      <c r="L148" s="11">
        <v>68.7</v>
      </c>
      <c r="M148" s="11">
        <v>86</v>
      </c>
      <c r="N148" s="11">
        <v>31.7</v>
      </c>
      <c r="O148" s="18">
        <v>741.1</v>
      </c>
      <c r="P148" s="41"/>
      <c r="Q148" s="41"/>
      <c r="R148" s="41"/>
      <c r="S148" s="41"/>
    </row>
    <row r="149" spans="1:19" x14ac:dyDescent="0.3">
      <c r="A149" s="11">
        <v>135</v>
      </c>
      <c r="B149" s="17">
        <v>35.799999999999997</v>
      </c>
      <c r="C149" s="11">
        <v>69.3</v>
      </c>
      <c r="D149" s="11">
        <v>85</v>
      </c>
      <c r="E149" s="11">
        <v>32.159999999999997</v>
      </c>
      <c r="F149" s="18">
        <v>754.9</v>
      </c>
      <c r="G149" s="17">
        <v>67.2</v>
      </c>
      <c r="H149" s="11">
        <v>13</v>
      </c>
      <c r="I149" s="11">
        <v>4.66</v>
      </c>
      <c r="J149" s="18">
        <v>108.3</v>
      </c>
      <c r="K149" s="17">
        <v>35.9</v>
      </c>
      <c r="L149" s="11">
        <v>69.599999999999994</v>
      </c>
      <c r="M149" s="11">
        <v>72</v>
      </c>
      <c r="N149" s="11">
        <v>27.5</v>
      </c>
      <c r="O149" s="18">
        <v>646.70000000000005</v>
      </c>
      <c r="P149" s="41"/>
      <c r="Q149" s="41"/>
      <c r="R149" s="41"/>
      <c r="S149" s="41"/>
    </row>
    <row r="150" spans="1:19" x14ac:dyDescent="0.3">
      <c r="A150" s="11">
        <v>136</v>
      </c>
      <c r="B150" s="17">
        <v>35.9</v>
      </c>
      <c r="C150" s="11">
        <v>70.3</v>
      </c>
      <c r="D150" s="11">
        <v>72</v>
      </c>
      <c r="E150" s="11">
        <v>27.95</v>
      </c>
      <c r="F150" s="18">
        <v>660.6</v>
      </c>
      <c r="G150" s="17"/>
      <c r="H150" s="11">
        <v>0</v>
      </c>
      <c r="I150" s="11">
        <v>0</v>
      </c>
      <c r="J150" s="18">
        <v>0</v>
      </c>
      <c r="K150" s="17">
        <v>35.9</v>
      </c>
      <c r="L150" s="11">
        <v>70.3</v>
      </c>
      <c r="M150" s="11">
        <v>72</v>
      </c>
      <c r="N150" s="11">
        <v>27.95</v>
      </c>
      <c r="O150" s="18">
        <v>660.6</v>
      </c>
      <c r="P150" s="41"/>
      <c r="Q150" s="41"/>
      <c r="R150" s="41"/>
      <c r="S150" s="41"/>
    </row>
    <row r="151" spans="1:19" x14ac:dyDescent="0.3">
      <c r="A151" s="11">
        <v>137</v>
      </c>
      <c r="B151" s="17">
        <v>36</v>
      </c>
      <c r="C151" s="11">
        <v>70.900000000000006</v>
      </c>
      <c r="D151" s="11">
        <v>72</v>
      </c>
      <c r="E151" s="11">
        <v>28.4</v>
      </c>
      <c r="F151" s="18">
        <v>674</v>
      </c>
      <c r="G151" s="17"/>
      <c r="H151" s="11">
        <v>0</v>
      </c>
      <c r="I151" s="11">
        <v>0</v>
      </c>
      <c r="J151" s="18">
        <v>0</v>
      </c>
      <c r="K151" s="17">
        <v>36</v>
      </c>
      <c r="L151" s="11">
        <v>70.900000000000006</v>
      </c>
      <c r="M151" s="11">
        <v>72</v>
      </c>
      <c r="N151" s="11">
        <v>28.4</v>
      </c>
      <c r="O151" s="18">
        <v>674</v>
      </c>
      <c r="P151" s="41"/>
      <c r="Q151" s="41"/>
      <c r="R151" s="41"/>
      <c r="S151" s="41"/>
    </row>
    <row r="152" spans="1:19" x14ac:dyDescent="0.3">
      <c r="A152" s="11">
        <v>138</v>
      </c>
      <c r="B152" s="17">
        <v>36.1</v>
      </c>
      <c r="C152" s="11">
        <v>71.599999999999994</v>
      </c>
      <c r="D152" s="11">
        <v>72</v>
      </c>
      <c r="E152" s="11">
        <v>28.84</v>
      </c>
      <c r="F152" s="18">
        <v>687.5</v>
      </c>
      <c r="G152" s="17"/>
      <c r="H152" s="11">
        <v>0</v>
      </c>
      <c r="I152" s="11">
        <v>0</v>
      </c>
      <c r="J152" s="18">
        <v>0</v>
      </c>
      <c r="K152" s="17">
        <v>36.1</v>
      </c>
      <c r="L152" s="11">
        <v>71.599999999999994</v>
      </c>
      <c r="M152" s="11">
        <v>72</v>
      </c>
      <c r="N152" s="11">
        <v>28.84</v>
      </c>
      <c r="O152" s="18">
        <v>687.5</v>
      </c>
      <c r="P152" s="41"/>
      <c r="Q152" s="41"/>
      <c r="R152" s="41"/>
      <c r="S152" s="41"/>
    </row>
    <row r="153" spans="1:19" x14ac:dyDescent="0.3">
      <c r="A153" s="11">
        <v>139</v>
      </c>
      <c r="B153" s="17">
        <v>36.1</v>
      </c>
      <c r="C153" s="11">
        <v>72.3</v>
      </c>
      <c r="D153" s="11">
        <v>71</v>
      </c>
      <c r="E153" s="11">
        <v>29.29</v>
      </c>
      <c r="F153" s="18">
        <v>701</v>
      </c>
      <c r="G153" s="17"/>
      <c r="H153" s="11">
        <v>0</v>
      </c>
      <c r="I153" s="11">
        <v>0</v>
      </c>
      <c r="J153" s="18">
        <v>0</v>
      </c>
      <c r="K153" s="17">
        <v>36.1</v>
      </c>
      <c r="L153" s="11">
        <v>72.3</v>
      </c>
      <c r="M153" s="11">
        <v>71</v>
      </c>
      <c r="N153" s="11">
        <v>29.29</v>
      </c>
      <c r="O153" s="18">
        <v>701</v>
      </c>
      <c r="P153" s="41"/>
      <c r="Q153" s="41"/>
      <c r="R153" s="41"/>
      <c r="S153" s="41"/>
    </row>
    <row r="154" spans="1:19" x14ac:dyDescent="0.3">
      <c r="A154" s="11">
        <v>140</v>
      </c>
      <c r="B154" s="17">
        <v>36.200000000000003</v>
      </c>
      <c r="C154" s="11">
        <v>72.900000000000006</v>
      </c>
      <c r="D154" s="11">
        <v>71</v>
      </c>
      <c r="E154" s="11">
        <v>29.74</v>
      </c>
      <c r="F154" s="18">
        <v>714.6</v>
      </c>
      <c r="G154" s="17"/>
      <c r="H154" s="11">
        <v>0</v>
      </c>
      <c r="I154" s="11">
        <v>0</v>
      </c>
      <c r="J154" s="18">
        <v>0</v>
      </c>
      <c r="K154" s="17">
        <v>36.200000000000003</v>
      </c>
      <c r="L154" s="11">
        <v>72.900000000000006</v>
      </c>
      <c r="M154" s="11">
        <v>71</v>
      </c>
      <c r="N154" s="11">
        <v>29.74</v>
      </c>
      <c r="O154" s="18">
        <v>714.6</v>
      </c>
      <c r="P154" s="41"/>
      <c r="Q154" s="41"/>
      <c r="R154" s="41"/>
      <c r="S154" s="41"/>
    </row>
    <row r="155" spans="1:19" x14ac:dyDescent="0.3">
      <c r="A155" s="11">
        <v>141</v>
      </c>
      <c r="B155" s="17">
        <v>36.299999999999997</v>
      </c>
      <c r="C155" s="11">
        <v>73.5</v>
      </c>
      <c r="D155" s="11">
        <v>71</v>
      </c>
      <c r="E155" s="11">
        <v>30.18</v>
      </c>
      <c r="F155" s="18">
        <v>728.3</v>
      </c>
      <c r="G155" s="17"/>
      <c r="H155" s="11">
        <v>0</v>
      </c>
      <c r="I155" s="11">
        <v>0</v>
      </c>
      <c r="J155" s="18">
        <v>0</v>
      </c>
      <c r="K155" s="17">
        <v>36.299999999999997</v>
      </c>
      <c r="L155" s="11">
        <v>73.5</v>
      </c>
      <c r="M155" s="11">
        <v>71</v>
      </c>
      <c r="N155" s="11">
        <v>30.18</v>
      </c>
      <c r="O155" s="18">
        <v>728.3</v>
      </c>
      <c r="P155" s="41"/>
      <c r="Q155" s="41"/>
      <c r="R155" s="41"/>
      <c r="S155" s="41"/>
    </row>
    <row r="156" spans="1:19" x14ac:dyDescent="0.3">
      <c r="A156" s="11">
        <v>142</v>
      </c>
      <c r="B156" s="17">
        <v>36.4</v>
      </c>
      <c r="C156" s="11">
        <v>74.2</v>
      </c>
      <c r="D156" s="11">
        <v>71</v>
      </c>
      <c r="E156" s="11">
        <v>30.63</v>
      </c>
      <c r="F156" s="18">
        <v>742</v>
      </c>
      <c r="G156" s="17"/>
      <c r="H156" s="11">
        <v>0</v>
      </c>
      <c r="I156" s="11">
        <v>0</v>
      </c>
      <c r="J156" s="18">
        <v>0</v>
      </c>
      <c r="K156" s="17">
        <v>36.4</v>
      </c>
      <c r="L156" s="11">
        <v>74.2</v>
      </c>
      <c r="M156" s="11">
        <v>71</v>
      </c>
      <c r="N156" s="11">
        <v>30.63</v>
      </c>
      <c r="O156" s="18">
        <v>742</v>
      </c>
      <c r="P156" s="41"/>
      <c r="Q156" s="41"/>
      <c r="R156" s="41"/>
      <c r="S156" s="41"/>
    </row>
    <row r="157" spans="1:19" x14ac:dyDescent="0.3">
      <c r="A157" s="11">
        <v>143</v>
      </c>
      <c r="B157" s="17">
        <v>36.4</v>
      </c>
      <c r="C157" s="11">
        <v>74.8</v>
      </c>
      <c r="D157" s="11">
        <v>71</v>
      </c>
      <c r="E157" s="11">
        <v>31.07</v>
      </c>
      <c r="F157" s="18">
        <v>755.7</v>
      </c>
      <c r="G157" s="17"/>
      <c r="H157" s="11">
        <v>0</v>
      </c>
      <c r="I157" s="11">
        <v>0</v>
      </c>
      <c r="J157" s="18">
        <v>0</v>
      </c>
      <c r="K157" s="17">
        <v>36.4</v>
      </c>
      <c r="L157" s="11">
        <v>74.8</v>
      </c>
      <c r="M157" s="11">
        <v>71</v>
      </c>
      <c r="N157" s="11">
        <v>31.07</v>
      </c>
      <c r="O157" s="18">
        <v>755.7</v>
      </c>
      <c r="P157" s="41"/>
      <c r="Q157" s="41"/>
      <c r="R157" s="41"/>
      <c r="S157" s="41"/>
    </row>
    <row r="158" spans="1:19" x14ac:dyDescent="0.3">
      <c r="A158" s="11">
        <v>144</v>
      </c>
      <c r="B158" s="17">
        <v>36.5</v>
      </c>
      <c r="C158" s="11">
        <v>75.5</v>
      </c>
      <c r="D158" s="11">
        <v>70</v>
      </c>
      <c r="E158" s="11">
        <v>31.51</v>
      </c>
      <c r="F158" s="18">
        <v>769.6</v>
      </c>
      <c r="G158" s="17"/>
      <c r="H158" s="11">
        <v>0</v>
      </c>
      <c r="I158" s="11">
        <v>0</v>
      </c>
      <c r="J158" s="18">
        <v>0</v>
      </c>
      <c r="K158" s="17">
        <v>36.5</v>
      </c>
      <c r="L158" s="11">
        <v>75.5</v>
      </c>
      <c r="M158" s="11">
        <v>70</v>
      </c>
      <c r="N158" s="11">
        <v>31.51</v>
      </c>
      <c r="O158" s="18">
        <v>769.6</v>
      </c>
      <c r="P158" s="41"/>
      <c r="Q158" s="41"/>
      <c r="R158" s="41"/>
      <c r="S158" s="41"/>
    </row>
    <row r="159" spans="1:19" x14ac:dyDescent="0.3">
      <c r="A159" s="11">
        <v>145</v>
      </c>
      <c r="B159" s="17">
        <v>36.6</v>
      </c>
      <c r="C159" s="11">
        <v>76.099999999999994</v>
      </c>
      <c r="D159" s="11">
        <v>70</v>
      </c>
      <c r="E159" s="11">
        <v>31.96</v>
      </c>
      <c r="F159" s="18">
        <v>783.4</v>
      </c>
      <c r="G159" s="17"/>
      <c r="H159" s="11">
        <v>0</v>
      </c>
      <c r="I159" s="11">
        <v>0</v>
      </c>
      <c r="J159" s="18">
        <v>0</v>
      </c>
      <c r="K159" s="17">
        <v>36.6</v>
      </c>
      <c r="L159" s="11">
        <v>76.099999999999994</v>
      </c>
      <c r="M159" s="11">
        <v>70</v>
      </c>
      <c r="N159" s="11">
        <v>31.96</v>
      </c>
      <c r="O159" s="18">
        <v>783.4</v>
      </c>
      <c r="P159" s="41"/>
      <c r="Q159" s="41"/>
      <c r="R159" s="41"/>
      <c r="S159" s="41"/>
    </row>
    <row r="160" spans="1:19" x14ac:dyDescent="0.3">
      <c r="A160" s="11">
        <v>146</v>
      </c>
      <c r="B160" s="17">
        <v>36.700000000000003</v>
      </c>
      <c r="C160" s="11">
        <v>76.7</v>
      </c>
      <c r="D160" s="11">
        <v>70</v>
      </c>
      <c r="E160" s="11">
        <v>32.4</v>
      </c>
      <c r="F160" s="18">
        <v>797.4</v>
      </c>
      <c r="G160" s="17"/>
      <c r="H160" s="11">
        <v>0</v>
      </c>
      <c r="I160" s="11">
        <v>0</v>
      </c>
      <c r="J160" s="18">
        <v>0</v>
      </c>
      <c r="K160" s="17">
        <v>36.700000000000003</v>
      </c>
      <c r="L160" s="11">
        <v>76.7</v>
      </c>
      <c r="M160" s="11">
        <v>70</v>
      </c>
      <c r="N160" s="11">
        <v>32.4</v>
      </c>
      <c r="O160" s="18">
        <v>797.4</v>
      </c>
      <c r="P160" s="41"/>
      <c r="Q160" s="41"/>
      <c r="R160" s="41"/>
      <c r="S160" s="41"/>
    </row>
    <row r="161" spans="1:19" x14ac:dyDescent="0.3">
      <c r="A161" s="11">
        <v>147</v>
      </c>
      <c r="B161" s="17">
        <v>36.700000000000003</v>
      </c>
      <c r="C161" s="11">
        <v>77.3</v>
      </c>
      <c r="D161" s="11">
        <v>70</v>
      </c>
      <c r="E161" s="11">
        <v>32.840000000000003</v>
      </c>
      <c r="F161" s="18">
        <v>811.3</v>
      </c>
      <c r="G161" s="17"/>
      <c r="H161" s="11">
        <v>0</v>
      </c>
      <c r="I161" s="11">
        <v>0</v>
      </c>
      <c r="J161" s="18">
        <v>0</v>
      </c>
      <c r="K161" s="17">
        <v>36.700000000000003</v>
      </c>
      <c r="L161" s="11">
        <v>77.3</v>
      </c>
      <c r="M161" s="11">
        <v>70</v>
      </c>
      <c r="N161" s="11">
        <v>32.840000000000003</v>
      </c>
      <c r="O161" s="18">
        <v>811.3</v>
      </c>
      <c r="P161" s="41"/>
      <c r="Q161" s="41"/>
      <c r="R161" s="41"/>
      <c r="S161" s="41"/>
    </row>
    <row r="162" spans="1:19" x14ac:dyDescent="0.3">
      <c r="A162" s="11">
        <v>148</v>
      </c>
      <c r="B162" s="17">
        <v>36.799999999999997</v>
      </c>
      <c r="C162" s="11">
        <v>78</v>
      </c>
      <c r="D162" s="11">
        <v>70</v>
      </c>
      <c r="E162" s="11">
        <v>33.28</v>
      </c>
      <c r="F162" s="18">
        <v>825.4</v>
      </c>
      <c r="G162" s="17"/>
      <c r="H162" s="11">
        <v>0</v>
      </c>
      <c r="I162" s="11">
        <v>0</v>
      </c>
      <c r="J162" s="18">
        <v>0</v>
      </c>
      <c r="K162" s="17">
        <v>36.799999999999997</v>
      </c>
      <c r="L162" s="11">
        <v>78</v>
      </c>
      <c r="M162" s="11">
        <v>70</v>
      </c>
      <c r="N162" s="11">
        <v>33.28</v>
      </c>
      <c r="O162" s="18">
        <v>825.4</v>
      </c>
      <c r="P162" s="41"/>
      <c r="Q162" s="41"/>
      <c r="R162" s="41"/>
      <c r="S162" s="41"/>
    </row>
    <row r="163" spans="1:19" x14ac:dyDescent="0.3">
      <c r="A163" s="11">
        <v>149</v>
      </c>
      <c r="B163" s="17">
        <v>36.9</v>
      </c>
      <c r="C163" s="11">
        <v>78.599999999999994</v>
      </c>
      <c r="D163" s="11">
        <v>70</v>
      </c>
      <c r="E163" s="11">
        <v>33.72</v>
      </c>
      <c r="F163" s="18">
        <v>839.4</v>
      </c>
      <c r="G163" s="17"/>
      <c r="H163" s="11">
        <v>0</v>
      </c>
      <c r="I163" s="11">
        <v>0</v>
      </c>
      <c r="J163" s="18">
        <v>0</v>
      </c>
      <c r="K163" s="17">
        <v>36.9</v>
      </c>
      <c r="L163" s="11">
        <v>78.599999999999994</v>
      </c>
      <c r="M163" s="11">
        <v>70</v>
      </c>
      <c r="N163" s="11">
        <v>33.72</v>
      </c>
      <c r="O163" s="18">
        <v>839.4</v>
      </c>
      <c r="P163" s="41"/>
      <c r="Q163" s="41"/>
      <c r="R163" s="41"/>
      <c r="S163" s="41"/>
    </row>
    <row r="164" spans="1:19" x14ac:dyDescent="0.3">
      <c r="A164" s="11">
        <v>150</v>
      </c>
      <c r="B164" s="17">
        <v>36.9</v>
      </c>
      <c r="C164" s="11">
        <v>79.2</v>
      </c>
      <c r="D164" s="11">
        <v>69</v>
      </c>
      <c r="E164" s="11">
        <v>34.159999999999997</v>
      </c>
      <c r="F164" s="18">
        <v>853.5</v>
      </c>
      <c r="G164" s="17">
        <v>76.8</v>
      </c>
      <c r="H164" s="11">
        <v>14</v>
      </c>
      <c r="I164" s="11">
        <v>6.66</v>
      </c>
      <c r="J164" s="18">
        <v>164.7</v>
      </c>
      <c r="K164" s="17">
        <v>37</v>
      </c>
      <c r="L164" s="11">
        <v>79.8</v>
      </c>
      <c r="M164" s="11">
        <v>55</v>
      </c>
      <c r="N164" s="11">
        <v>27.5</v>
      </c>
      <c r="O164" s="18">
        <v>688.8</v>
      </c>
      <c r="P164" s="41"/>
      <c r="Q164" s="41"/>
      <c r="R164" s="41"/>
      <c r="S164" s="41"/>
    </row>
    <row r="165" spans="1:19" x14ac:dyDescent="0.3">
      <c r="A165" s="11">
        <v>151</v>
      </c>
      <c r="B165" s="17">
        <v>37.1</v>
      </c>
      <c r="C165" s="11">
        <v>80.5</v>
      </c>
      <c r="D165" s="11">
        <v>55</v>
      </c>
      <c r="E165" s="11">
        <v>27.92</v>
      </c>
      <c r="F165" s="18">
        <v>703.3</v>
      </c>
      <c r="G165" s="17"/>
      <c r="H165" s="11">
        <v>0</v>
      </c>
      <c r="I165" s="11">
        <v>0</v>
      </c>
      <c r="J165" s="18">
        <v>0</v>
      </c>
      <c r="K165" s="17">
        <v>37.1</v>
      </c>
      <c r="L165" s="11">
        <v>80.5</v>
      </c>
      <c r="M165" s="11">
        <v>55</v>
      </c>
      <c r="N165" s="11">
        <v>27.92</v>
      </c>
      <c r="O165" s="18">
        <v>703.3</v>
      </c>
      <c r="P165" s="41"/>
      <c r="Q165" s="41"/>
      <c r="R165" s="41"/>
      <c r="S165" s="41"/>
    </row>
    <row r="166" spans="1:19" x14ac:dyDescent="0.3">
      <c r="A166" s="11">
        <v>152</v>
      </c>
      <c r="B166" s="17">
        <v>37.200000000000003</v>
      </c>
      <c r="C166" s="11">
        <v>81.2</v>
      </c>
      <c r="D166" s="11">
        <v>55</v>
      </c>
      <c r="E166" s="11">
        <v>28.34</v>
      </c>
      <c r="F166" s="18">
        <v>716.7</v>
      </c>
      <c r="G166" s="17"/>
      <c r="H166" s="11">
        <v>0</v>
      </c>
      <c r="I166" s="11">
        <v>0</v>
      </c>
      <c r="J166" s="18">
        <v>0</v>
      </c>
      <c r="K166" s="17">
        <v>37.200000000000003</v>
      </c>
      <c r="L166" s="11">
        <v>81.2</v>
      </c>
      <c r="M166" s="11">
        <v>55</v>
      </c>
      <c r="N166" s="11">
        <v>28.34</v>
      </c>
      <c r="O166" s="18">
        <v>716.7</v>
      </c>
      <c r="P166" s="41"/>
      <c r="Q166" s="41"/>
      <c r="R166" s="41"/>
      <c r="S166" s="41"/>
    </row>
    <row r="167" spans="1:19" x14ac:dyDescent="0.3">
      <c r="A167" s="11">
        <v>153</v>
      </c>
      <c r="B167" s="17">
        <v>37.200000000000003</v>
      </c>
      <c r="C167" s="11">
        <v>81.900000000000006</v>
      </c>
      <c r="D167" s="11">
        <v>55</v>
      </c>
      <c r="E167" s="11">
        <v>28.76</v>
      </c>
      <c r="F167" s="18">
        <v>730.2</v>
      </c>
      <c r="G167" s="17"/>
      <c r="H167" s="11">
        <v>0</v>
      </c>
      <c r="I167" s="11">
        <v>0</v>
      </c>
      <c r="J167" s="18">
        <v>0</v>
      </c>
      <c r="K167" s="17">
        <v>37.200000000000003</v>
      </c>
      <c r="L167" s="11">
        <v>81.900000000000006</v>
      </c>
      <c r="M167" s="11">
        <v>55</v>
      </c>
      <c r="N167" s="11">
        <v>28.76</v>
      </c>
      <c r="O167" s="18">
        <v>730.2</v>
      </c>
      <c r="P167" s="41"/>
      <c r="Q167" s="41"/>
      <c r="R167" s="41"/>
      <c r="S167" s="41"/>
    </row>
    <row r="168" spans="1:19" x14ac:dyDescent="0.3">
      <c r="A168" s="11">
        <v>154</v>
      </c>
      <c r="B168" s="17">
        <v>37.299999999999997</v>
      </c>
      <c r="C168" s="11">
        <v>82.6</v>
      </c>
      <c r="D168" s="11">
        <v>54</v>
      </c>
      <c r="E168" s="11">
        <v>29.19</v>
      </c>
      <c r="F168" s="18">
        <v>743.7</v>
      </c>
      <c r="G168" s="17"/>
      <c r="H168" s="11">
        <v>0</v>
      </c>
      <c r="I168" s="11">
        <v>0</v>
      </c>
      <c r="J168" s="18">
        <v>0</v>
      </c>
      <c r="K168" s="17">
        <v>37.299999999999997</v>
      </c>
      <c r="L168" s="11">
        <v>82.6</v>
      </c>
      <c r="M168" s="11">
        <v>54</v>
      </c>
      <c r="N168" s="11">
        <v>29.19</v>
      </c>
      <c r="O168" s="18">
        <v>743.7</v>
      </c>
      <c r="P168" s="41"/>
      <c r="Q168" s="41"/>
      <c r="R168" s="41"/>
      <c r="S168" s="41"/>
    </row>
    <row r="169" spans="1:19" x14ac:dyDescent="0.3">
      <c r="A169" s="11">
        <v>155</v>
      </c>
      <c r="B169" s="17">
        <v>37.299999999999997</v>
      </c>
      <c r="C169" s="11">
        <v>83.3</v>
      </c>
      <c r="D169" s="11">
        <v>54</v>
      </c>
      <c r="E169" s="11">
        <v>29.61</v>
      </c>
      <c r="F169" s="18">
        <v>757.3</v>
      </c>
      <c r="G169" s="17"/>
      <c r="H169" s="11">
        <v>0</v>
      </c>
      <c r="I169" s="11">
        <v>0</v>
      </c>
      <c r="J169" s="18">
        <v>0</v>
      </c>
      <c r="K169" s="17">
        <v>37.299999999999997</v>
      </c>
      <c r="L169" s="11">
        <v>83.3</v>
      </c>
      <c r="M169" s="11">
        <v>54</v>
      </c>
      <c r="N169" s="11">
        <v>29.61</v>
      </c>
      <c r="O169" s="18">
        <v>757.3</v>
      </c>
      <c r="P169" s="41"/>
      <c r="Q169" s="41"/>
      <c r="R169" s="41"/>
      <c r="S169" s="41"/>
    </row>
    <row r="170" spans="1:19" x14ac:dyDescent="0.3">
      <c r="A170" s="11">
        <v>156</v>
      </c>
      <c r="B170" s="17">
        <v>37.4</v>
      </c>
      <c r="C170" s="11">
        <v>84</v>
      </c>
      <c r="D170" s="11">
        <v>54</v>
      </c>
      <c r="E170" s="11">
        <v>30.03</v>
      </c>
      <c r="F170" s="18">
        <v>771</v>
      </c>
      <c r="G170" s="17"/>
      <c r="H170" s="11">
        <v>0</v>
      </c>
      <c r="I170" s="11">
        <v>0</v>
      </c>
      <c r="J170" s="18">
        <v>0</v>
      </c>
      <c r="K170" s="17">
        <v>37.4</v>
      </c>
      <c r="L170" s="11">
        <v>84</v>
      </c>
      <c r="M170" s="11">
        <v>54</v>
      </c>
      <c r="N170" s="11">
        <v>30.03</v>
      </c>
      <c r="O170" s="18">
        <v>771</v>
      </c>
      <c r="P170" s="41"/>
      <c r="Q170" s="41"/>
      <c r="R170" s="41"/>
      <c r="S170" s="41"/>
    </row>
    <row r="171" spans="1:19" x14ac:dyDescent="0.3">
      <c r="A171" s="11">
        <v>157</v>
      </c>
      <c r="B171" s="17">
        <v>37.5</v>
      </c>
      <c r="C171" s="11">
        <v>84.7</v>
      </c>
      <c r="D171" s="11">
        <v>54</v>
      </c>
      <c r="E171" s="11">
        <v>30.45</v>
      </c>
      <c r="F171" s="18">
        <v>784.8</v>
      </c>
      <c r="G171" s="17"/>
      <c r="H171" s="11">
        <v>0</v>
      </c>
      <c r="I171" s="11">
        <v>0</v>
      </c>
      <c r="J171" s="18">
        <v>0</v>
      </c>
      <c r="K171" s="17">
        <v>37.5</v>
      </c>
      <c r="L171" s="11">
        <v>84.7</v>
      </c>
      <c r="M171" s="11">
        <v>54</v>
      </c>
      <c r="N171" s="11">
        <v>30.45</v>
      </c>
      <c r="O171" s="18">
        <v>784.8</v>
      </c>
      <c r="P171" s="41"/>
      <c r="Q171" s="41"/>
      <c r="R171" s="41"/>
      <c r="S171" s="41"/>
    </row>
    <row r="172" spans="1:19" x14ac:dyDescent="0.3">
      <c r="A172" s="11">
        <v>158</v>
      </c>
      <c r="B172" s="17">
        <v>37.5</v>
      </c>
      <c r="C172" s="11">
        <v>85.4</v>
      </c>
      <c r="D172" s="11">
        <v>54</v>
      </c>
      <c r="E172" s="11">
        <v>30.86</v>
      </c>
      <c r="F172" s="18">
        <v>798.6</v>
      </c>
      <c r="G172" s="17"/>
      <c r="H172" s="11">
        <v>0</v>
      </c>
      <c r="I172" s="11">
        <v>0</v>
      </c>
      <c r="J172" s="18">
        <v>0</v>
      </c>
      <c r="K172" s="17">
        <v>37.5</v>
      </c>
      <c r="L172" s="11">
        <v>85.4</v>
      </c>
      <c r="M172" s="11">
        <v>54</v>
      </c>
      <c r="N172" s="11">
        <v>30.86</v>
      </c>
      <c r="O172" s="18">
        <v>798.6</v>
      </c>
      <c r="P172" s="41"/>
      <c r="Q172" s="41"/>
      <c r="R172" s="41"/>
      <c r="S172" s="41"/>
    </row>
    <row r="173" spans="1:19" x14ac:dyDescent="0.3">
      <c r="A173" s="11">
        <v>159</v>
      </c>
      <c r="B173" s="17">
        <v>37.6</v>
      </c>
      <c r="C173" s="11">
        <v>86.1</v>
      </c>
      <c r="D173" s="11">
        <v>54</v>
      </c>
      <c r="E173" s="11">
        <v>31.28</v>
      </c>
      <c r="F173" s="18">
        <v>812.4</v>
      </c>
      <c r="G173" s="17"/>
      <c r="H173" s="11">
        <v>0</v>
      </c>
      <c r="I173" s="11">
        <v>0</v>
      </c>
      <c r="J173" s="18">
        <v>0</v>
      </c>
      <c r="K173" s="17">
        <v>37.6</v>
      </c>
      <c r="L173" s="11">
        <v>86.1</v>
      </c>
      <c r="M173" s="11">
        <v>54</v>
      </c>
      <c r="N173" s="11">
        <v>31.28</v>
      </c>
      <c r="O173" s="18">
        <v>812.4</v>
      </c>
      <c r="P173" s="41"/>
      <c r="Q173" s="41"/>
      <c r="R173" s="41"/>
      <c r="S173" s="41"/>
    </row>
    <row r="174" spans="1:19" x14ac:dyDescent="0.3">
      <c r="A174" s="11">
        <v>160</v>
      </c>
      <c r="B174" s="17">
        <v>37.700000000000003</v>
      </c>
      <c r="C174" s="11">
        <v>86.8</v>
      </c>
      <c r="D174" s="11">
        <v>54</v>
      </c>
      <c r="E174" s="11">
        <v>31.7</v>
      </c>
      <c r="F174" s="18">
        <v>826.3</v>
      </c>
      <c r="G174" s="17"/>
      <c r="H174" s="11">
        <v>0</v>
      </c>
      <c r="I174" s="11">
        <v>0</v>
      </c>
      <c r="J174" s="18">
        <v>0</v>
      </c>
      <c r="K174" s="17">
        <v>37.700000000000003</v>
      </c>
      <c r="L174" s="11">
        <v>86.8</v>
      </c>
      <c r="M174" s="11">
        <v>54</v>
      </c>
      <c r="N174" s="11">
        <v>31.7</v>
      </c>
      <c r="O174" s="18">
        <v>826.3</v>
      </c>
      <c r="P174" s="41"/>
      <c r="Q174" s="41"/>
      <c r="R174" s="41"/>
      <c r="S174" s="41"/>
    </row>
    <row r="175" spans="1:19" x14ac:dyDescent="0.3">
      <c r="A175" s="11">
        <v>161</v>
      </c>
      <c r="B175" s="17">
        <v>37.700000000000003</v>
      </c>
      <c r="C175" s="11">
        <v>87.4</v>
      </c>
      <c r="D175" s="11">
        <v>53</v>
      </c>
      <c r="E175" s="11">
        <v>32.119999999999997</v>
      </c>
      <c r="F175" s="18">
        <v>840.3</v>
      </c>
      <c r="G175" s="17"/>
      <c r="H175" s="11">
        <v>0</v>
      </c>
      <c r="I175" s="11">
        <v>0</v>
      </c>
      <c r="J175" s="18">
        <v>0</v>
      </c>
      <c r="K175" s="17">
        <v>37.700000000000003</v>
      </c>
      <c r="L175" s="11">
        <v>87.4</v>
      </c>
      <c r="M175" s="11">
        <v>53</v>
      </c>
      <c r="N175" s="11">
        <v>32.119999999999997</v>
      </c>
      <c r="O175" s="18">
        <v>840.3</v>
      </c>
      <c r="P175" s="41"/>
      <c r="Q175" s="41"/>
      <c r="R175" s="41"/>
      <c r="S175" s="41"/>
    </row>
    <row r="176" spans="1:19" x14ac:dyDescent="0.3">
      <c r="A176" s="11">
        <v>162</v>
      </c>
      <c r="B176" s="17">
        <v>37.799999999999997</v>
      </c>
      <c r="C176" s="11">
        <v>88.1</v>
      </c>
      <c r="D176" s="11">
        <v>53</v>
      </c>
      <c r="E176" s="11">
        <v>32.54</v>
      </c>
      <c r="F176" s="18">
        <v>854.3</v>
      </c>
      <c r="G176" s="17"/>
      <c r="H176" s="11">
        <v>0</v>
      </c>
      <c r="I176" s="11">
        <v>0</v>
      </c>
      <c r="J176" s="18">
        <v>0</v>
      </c>
      <c r="K176" s="17">
        <v>37.799999999999997</v>
      </c>
      <c r="L176" s="11">
        <v>88.1</v>
      </c>
      <c r="M176" s="11">
        <v>53</v>
      </c>
      <c r="N176" s="11">
        <v>32.54</v>
      </c>
      <c r="O176" s="18">
        <v>854.3</v>
      </c>
      <c r="P176" s="41"/>
      <c r="Q176" s="41"/>
      <c r="R176" s="41"/>
      <c r="S176" s="41"/>
    </row>
    <row r="177" spans="1:19" x14ac:dyDescent="0.3">
      <c r="A177" s="11">
        <v>163</v>
      </c>
      <c r="B177" s="17">
        <v>37.799999999999997</v>
      </c>
      <c r="C177" s="11">
        <v>88.8</v>
      </c>
      <c r="D177" s="11">
        <v>53</v>
      </c>
      <c r="E177" s="11">
        <v>32.950000000000003</v>
      </c>
      <c r="F177" s="18">
        <v>868.3</v>
      </c>
      <c r="G177" s="17"/>
      <c r="H177" s="11">
        <v>0</v>
      </c>
      <c r="I177" s="11">
        <v>0</v>
      </c>
      <c r="J177" s="18">
        <v>0</v>
      </c>
      <c r="K177" s="17">
        <v>37.799999999999997</v>
      </c>
      <c r="L177" s="11">
        <v>88.8</v>
      </c>
      <c r="M177" s="11">
        <v>53</v>
      </c>
      <c r="N177" s="11">
        <v>32.950000000000003</v>
      </c>
      <c r="O177" s="18">
        <v>868.3</v>
      </c>
      <c r="P177" s="41"/>
      <c r="Q177" s="41"/>
      <c r="R177" s="41"/>
      <c r="S177" s="41"/>
    </row>
    <row r="178" spans="1:19" x14ac:dyDescent="0.3">
      <c r="A178" s="11">
        <v>164</v>
      </c>
      <c r="B178" s="17">
        <v>37.9</v>
      </c>
      <c r="C178" s="11">
        <v>89.4</v>
      </c>
      <c r="D178" s="11">
        <v>53</v>
      </c>
      <c r="E178" s="11">
        <v>33.369999999999997</v>
      </c>
      <c r="F178" s="18">
        <v>882.4</v>
      </c>
      <c r="G178" s="17"/>
      <c r="H178" s="11">
        <v>0</v>
      </c>
      <c r="I178" s="11">
        <v>0</v>
      </c>
      <c r="J178" s="18">
        <v>0</v>
      </c>
      <c r="K178" s="17">
        <v>37.9</v>
      </c>
      <c r="L178" s="11">
        <v>89.4</v>
      </c>
      <c r="M178" s="11">
        <v>53</v>
      </c>
      <c r="N178" s="11">
        <v>33.369999999999997</v>
      </c>
      <c r="O178" s="18">
        <v>882.4</v>
      </c>
      <c r="P178" s="41"/>
      <c r="Q178" s="41"/>
      <c r="R178" s="41"/>
      <c r="S178" s="41"/>
    </row>
    <row r="179" spans="1:19" x14ac:dyDescent="0.3">
      <c r="A179" s="11">
        <v>165</v>
      </c>
      <c r="B179" s="17">
        <v>38</v>
      </c>
      <c r="C179" s="11">
        <v>90.1</v>
      </c>
      <c r="D179" s="11">
        <v>53</v>
      </c>
      <c r="E179" s="11">
        <v>33.78</v>
      </c>
      <c r="F179" s="18">
        <v>896.6</v>
      </c>
      <c r="G179" s="17">
        <v>87.4</v>
      </c>
      <c r="H179" s="11">
        <v>10</v>
      </c>
      <c r="I179" s="11">
        <v>6.28</v>
      </c>
      <c r="J179" s="18">
        <v>165.1</v>
      </c>
      <c r="K179" s="17">
        <v>38.1</v>
      </c>
      <c r="L179" s="11">
        <v>90.8</v>
      </c>
      <c r="M179" s="11">
        <v>43</v>
      </c>
      <c r="N179" s="11">
        <v>27.5</v>
      </c>
      <c r="O179" s="18">
        <v>731.5</v>
      </c>
      <c r="P179" s="41"/>
      <c r="Q179" s="41"/>
      <c r="R179" s="41"/>
      <c r="S179" s="41"/>
    </row>
    <row r="180" spans="1:19" x14ac:dyDescent="0.3">
      <c r="A180" s="11">
        <v>166</v>
      </c>
      <c r="B180" s="17">
        <v>38.1</v>
      </c>
      <c r="C180" s="11">
        <v>91.5</v>
      </c>
      <c r="D180" s="11">
        <v>42</v>
      </c>
      <c r="E180" s="11">
        <v>27.9</v>
      </c>
      <c r="F180" s="18">
        <v>746.1</v>
      </c>
      <c r="G180" s="17"/>
      <c r="H180" s="11">
        <v>0</v>
      </c>
      <c r="I180" s="11">
        <v>0</v>
      </c>
      <c r="J180" s="18">
        <v>0</v>
      </c>
      <c r="K180" s="17">
        <v>38.1</v>
      </c>
      <c r="L180" s="11">
        <v>91.5</v>
      </c>
      <c r="M180" s="11">
        <v>42</v>
      </c>
      <c r="N180" s="11">
        <v>27.9</v>
      </c>
      <c r="O180" s="18">
        <v>746.1</v>
      </c>
      <c r="P180" s="41"/>
      <c r="Q180" s="41"/>
      <c r="R180" s="41"/>
      <c r="S180" s="41"/>
    </row>
    <row r="181" spans="1:19" x14ac:dyDescent="0.3">
      <c r="A181" s="11">
        <v>167</v>
      </c>
      <c r="B181" s="17">
        <v>38.200000000000003</v>
      </c>
      <c r="C181" s="11">
        <v>92.3</v>
      </c>
      <c r="D181" s="11">
        <v>42</v>
      </c>
      <c r="E181" s="11">
        <v>28.3</v>
      </c>
      <c r="F181" s="18">
        <v>759.7</v>
      </c>
      <c r="G181" s="17"/>
      <c r="H181" s="11">
        <v>0</v>
      </c>
      <c r="I181" s="11">
        <v>0</v>
      </c>
      <c r="J181" s="18">
        <v>0</v>
      </c>
      <c r="K181" s="17">
        <v>38.200000000000003</v>
      </c>
      <c r="L181" s="11">
        <v>92.3</v>
      </c>
      <c r="M181" s="11">
        <v>42</v>
      </c>
      <c r="N181" s="11">
        <v>28.3</v>
      </c>
      <c r="O181" s="18">
        <v>759.7</v>
      </c>
      <c r="P181" s="41"/>
      <c r="Q181" s="41"/>
      <c r="R181" s="41"/>
      <c r="S181" s="41"/>
    </row>
    <row r="182" spans="1:19" x14ac:dyDescent="0.3">
      <c r="A182" s="11">
        <v>168</v>
      </c>
      <c r="B182" s="17">
        <v>38.200000000000003</v>
      </c>
      <c r="C182" s="11">
        <v>93</v>
      </c>
      <c r="D182" s="11">
        <v>42</v>
      </c>
      <c r="E182" s="11">
        <v>28.7</v>
      </c>
      <c r="F182" s="18">
        <v>773.2</v>
      </c>
      <c r="G182" s="17"/>
      <c r="H182" s="11">
        <v>0</v>
      </c>
      <c r="I182" s="11">
        <v>0</v>
      </c>
      <c r="J182" s="18">
        <v>0</v>
      </c>
      <c r="K182" s="17">
        <v>38.200000000000003</v>
      </c>
      <c r="L182" s="11">
        <v>93</v>
      </c>
      <c r="M182" s="11">
        <v>42</v>
      </c>
      <c r="N182" s="11">
        <v>28.7</v>
      </c>
      <c r="O182" s="18">
        <v>773.2</v>
      </c>
      <c r="P182" s="41"/>
      <c r="Q182" s="41"/>
      <c r="R182" s="41"/>
      <c r="S182" s="41"/>
    </row>
    <row r="183" spans="1:19" x14ac:dyDescent="0.3">
      <c r="A183" s="11">
        <v>169</v>
      </c>
      <c r="B183" s="17">
        <v>38.299999999999997</v>
      </c>
      <c r="C183" s="11">
        <v>93.8</v>
      </c>
      <c r="D183" s="11">
        <v>42</v>
      </c>
      <c r="E183" s="11">
        <v>29.1</v>
      </c>
      <c r="F183" s="18">
        <v>786.9</v>
      </c>
      <c r="G183" s="17"/>
      <c r="H183" s="11">
        <v>0</v>
      </c>
      <c r="I183" s="11">
        <v>0</v>
      </c>
      <c r="J183" s="18">
        <v>0</v>
      </c>
      <c r="K183" s="17">
        <v>38.299999999999997</v>
      </c>
      <c r="L183" s="11">
        <v>93.8</v>
      </c>
      <c r="M183" s="11">
        <v>42</v>
      </c>
      <c r="N183" s="11">
        <v>29.1</v>
      </c>
      <c r="O183" s="18">
        <v>786.9</v>
      </c>
      <c r="P183" s="41"/>
      <c r="Q183" s="41"/>
      <c r="R183" s="41"/>
      <c r="S183" s="41"/>
    </row>
    <row r="184" spans="1:19" x14ac:dyDescent="0.3">
      <c r="A184" s="11">
        <v>170</v>
      </c>
      <c r="B184" s="17">
        <v>38.299999999999997</v>
      </c>
      <c r="C184" s="11">
        <v>94.5</v>
      </c>
      <c r="D184" s="11">
        <v>42</v>
      </c>
      <c r="E184" s="11">
        <v>29.5</v>
      </c>
      <c r="F184" s="18">
        <v>800.6</v>
      </c>
      <c r="G184" s="17"/>
      <c r="H184" s="11">
        <v>0</v>
      </c>
      <c r="I184" s="11">
        <v>0</v>
      </c>
      <c r="J184" s="18">
        <v>0</v>
      </c>
      <c r="K184" s="17">
        <v>38.299999999999997</v>
      </c>
      <c r="L184" s="11">
        <v>94.5</v>
      </c>
      <c r="M184" s="11">
        <v>42</v>
      </c>
      <c r="N184" s="11">
        <v>29.5</v>
      </c>
      <c r="O184" s="18">
        <v>800.6</v>
      </c>
      <c r="P184" s="41"/>
      <c r="Q184" s="41"/>
      <c r="R184" s="41"/>
      <c r="S184" s="41"/>
    </row>
    <row r="185" spans="1:19" x14ac:dyDescent="0.3">
      <c r="A185" s="11">
        <v>171</v>
      </c>
      <c r="B185" s="17">
        <v>38.4</v>
      </c>
      <c r="C185" s="11">
        <v>95.3</v>
      </c>
      <c r="D185" s="11">
        <v>42</v>
      </c>
      <c r="E185" s="11">
        <v>29.9</v>
      </c>
      <c r="F185" s="18">
        <v>814.4</v>
      </c>
      <c r="G185" s="17"/>
      <c r="H185" s="11">
        <v>0</v>
      </c>
      <c r="I185" s="11">
        <v>0</v>
      </c>
      <c r="J185" s="18">
        <v>0</v>
      </c>
      <c r="K185" s="17">
        <v>38.4</v>
      </c>
      <c r="L185" s="11">
        <v>95.3</v>
      </c>
      <c r="M185" s="11">
        <v>42</v>
      </c>
      <c r="N185" s="11">
        <v>29.9</v>
      </c>
      <c r="O185" s="18">
        <v>814.4</v>
      </c>
      <c r="P185" s="41"/>
      <c r="Q185" s="41"/>
      <c r="R185" s="41"/>
      <c r="S185" s="41"/>
    </row>
    <row r="186" spans="1:19" x14ac:dyDescent="0.3">
      <c r="A186" s="11">
        <v>172</v>
      </c>
      <c r="B186" s="17">
        <v>38.4</v>
      </c>
      <c r="C186" s="11">
        <v>96</v>
      </c>
      <c r="D186" s="11">
        <v>42</v>
      </c>
      <c r="E186" s="11">
        <v>30.3</v>
      </c>
      <c r="F186" s="18">
        <v>828.2</v>
      </c>
      <c r="G186" s="17"/>
      <c r="H186" s="11">
        <v>0</v>
      </c>
      <c r="I186" s="11">
        <v>0</v>
      </c>
      <c r="J186" s="18">
        <v>0</v>
      </c>
      <c r="K186" s="17">
        <v>38.4</v>
      </c>
      <c r="L186" s="11">
        <v>96</v>
      </c>
      <c r="M186" s="11">
        <v>42</v>
      </c>
      <c r="N186" s="11">
        <v>30.3</v>
      </c>
      <c r="O186" s="18">
        <v>828.2</v>
      </c>
      <c r="P186" s="41"/>
      <c r="Q186" s="41"/>
      <c r="R186" s="41"/>
      <c r="S186" s="41"/>
    </row>
    <row r="187" spans="1:19" x14ac:dyDescent="0.3">
      <c r="A187" s="11">
        <v>173</v>
      </c>
      <c r="B187" s="17">
        <v>38.5</v>
      </c>
      <c r="C187" s="11">
        <v>96.8</v>
      </c>
      <c r="D187" s="11">
        <v>42</v>
      </c>
      <c r="E187" s="11">
        <v>30.69</v>
      </c>
      <c r="F187" s="18">
        <v>842.1</v>
      </c>
      <c r="G187" s="17"/>
      <c r="H187" s="11">
        <v>0</v>
      </c>
      <c r="I187" s="11">
        <v>0</v>
      </c>
      <c r="J187" s="18">
        <v>0</v>
      </c>
      <c r="K187" s="17">
        <v>38.5</v>
      </c>
      <c r="L187" s="11">
        <v>96.8</v>
      </c>
      <c r="M187" s="11">
        <v>42</v>
      </c>
      <c r="N187" s="11">
        <v>30.69</v>
      </c>
      <c r="O187" s="18">
        <v>842.1</v>
      </c>
      <c r="P187" s="41"/>
      <c r="Q187" s="41"/>
      <c r="R187" s="41"/>
      <c r="S187" s="41"/>
    </row>
    <row r="188" spans="1:19" x14ac:dyDescent="0.3">
      <c r="A188" s="11">
        <v>174</v>
      </c>
      <c r="B188" s="17">
        <v>38.6</v>
      </c>
      <c r="C188" s="11">
        <v>97.5</v>
      </c>
      <c r="D188" s="11">
        <v>42</v>
      </c>
      <c r="E188" s="11">
        <v>31.09</v>
      </c>
      <c r="F188" s="18">
        <v>856.1</v>
      </c>
      <c r="G188" s="17"/>
      <c r="H188" s="11">
        <v>0</v>
      </c>
      <c r="I188" s="11">
        <v>0</v>
      </c>
      <c r="J188" s="18">
        <v>0</v>
      </c>
      <c r="K188" s="17">
        <v>38.6</v>
      </c>
      <c r="L188" s="11">
        <v>97.5</v>
      </c>
      <c r="M188" s="11">
        <v>42</v>
      </c>
      <c r="N188" s="11">
        <v>31.09</v>
      </c>
      <c r="O188" s="18">
        <v>856.1</v>
      </c>
      <c r="P188" s="41"/>
      <c r="Q188" s="41"/>
      <c r="R188" s="41"/>
      <c r="S188" s="41"/>
    </row>
    <row r="189" spans="1:19" x14ac:dyDescent="0.3">
      <c r="A189" s="11">
        <v>175</v>
      </c>
      <c r="B189" s="17">
        <v>38.6</v>
      </c>
      <c r="C189" s="11">
        <v>98.2</v>
      </c>
      <c r="D189" s="11">
        <v>42</v>
      </c>
      <c r="E189" s="11">
        <v>31.49</v>
      </c>
      <c r="F189" s="18">
        <v>870.1</v>
      </c>
      <c r="G189" s="17"/>
      <c r="H189" s="11">
        <v>0</v>
      </c>
      <c r="I189" s="11">
        <v>0</v>
      </c>
      <c r="J189" s="18">
        <v>0</v>
      </c>
      <c r="K189" s="17">
        <v>38.6</v>
      </c>
      <c r="L189" s="11">
        <v>98.2</v>
      </c>
      <c r="M189" s="11">
        <v>42</v>
      </c>
      <c r="N189" s="11">
        <v>31.49</v>
      </c>
      <c r="O189" s="18">
        <v>870.1</v>
      </c>
      <c r="P189" s="41"/>
      <c r="Q189" s="41"/>
      <c r="R189" s="41"/>
      <c r="S189" s="41"/>
    </row>
    <row r="190" spans="1:19" x14ac:dyDescent="0.3">
      <c r="A190" s="11">
        <v>176</v>
      </c>
      <c r="B190" s="17">
        <v>38.700000000000003</v>
      </c>
      <c r="C190" s="11">
        <v>99</v>
      </c>
      <c r="D190" s="11">
        <v>41</v>
      </c>
      <c r="E190" s="11">
        <v>31.89</v>
      </c>
      <c r="F190" s="18">
        <v>884.2</v>
      </c>
      <c r="G190" s="17"/>
      <c r="H190" s="11">
        <v>0</v>
      </c>
      <c r="I190" s="11">
        <v>0</v>
      </c>
      <c r="J190" s="18">
        <v>0</v>
      </c>
      <c r="K190" s="17">
        <v>38.700000000000003</v>
      </c>
      <c r="L190" s="11">
        <v>99</v>
      </c>
      <c r="M190" s="11">
        <v>41</v>
      </c>
      <c r="N190" s="11">
        <v>31.89</v>
      </c>
      <c r="O190" s="18">
        <v>884.2</v>
      </c>
      <c r="P190" s="41"/>
      <c r="Q190" s="41"/>
      <c r="R190" s="41"/>
      <c r="S190" s="41"/>
    </row>
    <row r="191" spans="1:19" x14ac:dyDescent="0.3">
      <c r="A191" s="11">
        <v>177</v>
      </c>
      <c r="B191" s="17">
        <v>38.700000000000003</v>
      </c>
      <c r="C191" s="11">
        <v>99.7</v>
      </c>
      <c r="D191" s="11">
        <v>41</v>
      </c>
      <c r="E191" s="11">
        <v>32.28</v>
      </c>
      <c r="F191" s="18">
        <v>898.3</v>
      </c>
      <c r="G191" s="17"/>
      <c r="H191" s="11">
        <v>0</v>
      </c>
      <c r="I191" s="11">
        <v>0</v>
      </c>
      <c r="J191" s="18">
        <v>0</v>
      </c>
      <c r="K191" s="17">
        <v>38.700000000000003</v>
      </c>
      <c r="L191" s="11">
        <v>99.7</v>
      </c>
      <c r="M191" s="11">
        <v>41</v>
      </c>
      <c r="N191" s="11">
        <v>32.28</v>
      </c>
      <c r="O191" s="18">
        <v>898.3</v>
      </c>
      <c r="P191" s="41"/>
      <c r="Q191" s="41"/>
      <c r="R191" s="41"/>
      <c r="S191" s="41"/>
    </row>
    <row r="192" spans="1:19" x14ac:dyDescent="0.3">
      <c r="A192" s="11">
        <v>178</v>
      </c>
      <c r="B192" s="17">
        <v>38.799999999999997</v>
      </c>
      <c r="C192" s="11">
        <v>100.4</v>
      </c>
      <c r="D192" s="11">
        <v>41</v>
      </c>
      <c r="E192" s="11">
        <v>32.68</v>
      </c>
      <c r="F192" s="18">
        <v>912.4</v>
      </c>
      <c r="G192" s="17"/>
      <c r="H192" s="11">
        <v>0</v>
      </c>
      <c r="I192" s="11">
        <v>0</v>
      </c>
      <c r="J192" s="18">
        <v>0</v>
      </c>
      <c r="K192" s="17">
        <v>38.799999999999997</v>
      </c>
      <c r="L192" s="11">
        <v>100.4</v>
      </c>
      <c r="M192" s="11">
        <v>41</v>
      </c>
      <c r="N192" s="11">
        <v>32.68</v>
      </c>
      <c r="O192" s="18">
        <v>912.4</v>
      </c>
      <c r="P192" s="41"/>
      <c r="Q192" s="41"/>
      <c r="R192" s="41"/>
      <c r="S192" s="41"/>
    </row>
    <row r="193" spans="1:19" x14ac:dyDescent="0.3">
      <c r="A193" s="11">
        <v>179</v>
      </c>
      <c r="B193" s="17">
        <v>38.799999999999997</v>
      </c>
      <c r="C193" s="11">
        <v>101.1</v>
      </c>
      <c r="D193" s="11">
        <v>41</v>
      </c>
      <c r="E193" s="11">
        <v>33.07</v>
      </c>
      <c r="F193" s="18">
        <v>926.7</v>
      </c>
      <c r="G193" s="17"/>
      <c r="H193" s="11">
        <v>0</v>
      </c>
      <c r="I193" s="11">
        <v>0</v>
      </c>
      <c r="J193" s="18">
        <v>0</v>
      </c>
      <c r="K193" s="17">
        <v>38.799999999999997</v>
      </c>
      <c r="L193" s="11">
        <v>101.1</v>
      </c>
      <c r="M193" s="11">
        <v>41</v>
      </c>
      <c r="N193" s="11">
        <v>33.07</v>
      </c>
      <c r="O193" s="18">
        <v>926.7</v>
      </c>
      <c r="P193" s="41"/>
      <c r="Q193" s="41"/>
      <c r="R193" s="41"/>
      <c r="S193" s="41"/>
    </row>
    <row r="194" spans="1:19" x14ac:dyDescent="0.3">
      <c r="A194" s="11">
        <v>180</v>
      </c>
      <c r="B194" s="17">
        <v>38.9</v>
      </c>
      <c r="C194" s="11">
        <v>101.8</v>
      </c>
      <c r="D194" s="11">
        <v>41</v>
      </c>
      <c r="E194" s="11">
        <v>33.47</v>
      </c>
      <c r="F194" s="18">
        <v>940.9</v>
      </c>
      <c r="G194" s="17">
        <v>98.8</v>
      </c>
      <c r="H194" s="11">
        <v>8</v>
      </c>
      <c r="I194" s="11">
        <v>5.97</v>
      </c>
      <c r="J194" s="18">
        <v>166.2</v>
      </c>
      <c r="K194" s="17">
        <v>39</v>
      </c>
      <c r="L194" s="11">
        <v>102.5</v>
      </c>
      <c r="M194" s="11">
        <v>33</v>
      </c>
      <c r="N194" s="11">
        <v>27.5</v>
      </c>
      <c r="O194" s="18">
        <v>774.7</v>
      </c>
      <c r="P194" s="41"/>
      <c r="Q194" s="41"/>
      <c r="R194" s="41"/>
      <c r="S194" s="41"/>
    </row>
    <row r="195" spans="1:19" x14ac:dyDescent="0.3">
      <c r="A195" s="11">
        <v>181</v>
      </c>
      <c r="B195" s="17">
        <v>39</v>
      </c>
      <c r="C195" s="11">
        <v>103.4</v>
      </c>
      <c r="D195" s="11">
        <v>33</v>
      </c>
      <c r="E195" s="11">
        <v>27.88</v>
      </c>
      <c r="F195" s="18">
        <v>789.6</v>
      </c>
      <c r="G195" s="17"/>
      <c r="H195" s="11">
        <v>0</v>
      </c>
      <c r="I195" s="11">
        <v>0</v>
      </c>
      <c r="J195" s="18">
        <v>0</v>
      </c>
      <c r="K195" s="17">
        <v>39</v>
      </c>
      <c r="L195" s="11">
        <v>103.4</v>
      </c>
      <c r="M195" s="11">
        <v>33</v>
      </c>
      <c r="N195" s="11">
        <v>27.88</v>
      </c>
      <c r="O195" s="18">
        <v>789.6</v>
      </c>
      <c r="P195" s="41"/>
      <c r="Q195" s="41"/>
      <c r="R195" s="41"/>
      <c r="S195" s="41"/>
    </row>
    <row r="196" spans="1:19" x14ac:dyDescent="0.3">
      <c r="A196" s="11">
        <v>182</v>
      </c>
      <c r="B196" s="17">
        <v>39.1</v>
      </c>
      <c r="C196" s="11">
        <v>104.2</v>
      </c>
      <c r="D196" s="11">
        <v>33</v>
      </c>
      <c r="E196" s="11">
        <v>28.26</v>
      </c>
      <c r="F196" s="18">
        <v>803.2</v>
      </c>
      <c r="G196" s="17"/>
      <c r="H196" s="11">
        <v>0</v>
      </c>
      <c r="I196" s="11">
        <v>0</v>
      </c>
      <c r="J196" s="18">
        <v>0</v>
      </c>
      <c r="K196" s="17">
        <v>39.1</v>
      </c>
      <c r="L196" s="11">
        <v>104.2</v>
      </c>
      <c r="M196" s="11">
        <v>33</v>
      </c>
      <c r="N196" s="11">
        <v>28.26</v>
      </c>
      <c r="O196" s="18">
        <v>803.2</v>
      </c>
      <c r="P196" s="41"/>
      <c r="Q196" s="41"/>
      <c r="R196" s="41"/>
      <c r="S196" s="41"/>
    </row>
    <row r="197" spans="1:19" x14ac:dyDescent="0.3">
      <c r="A197" s="11">
        <v>183</v>
      </c>
      <c r="B197" s="17">
        <v>39.1</v>
      </c>
      <c r="C197" s="11">
        <v>105</v>
      </c>
      <c r="D197" s="11">
        <v>33</v>
      </c>
      <c r="E197" s="11">
        <v>28.64</v>
      </c>
      <c r="F197" s="18">
        <v>816.9</v>
      </c>
      <c r="G197" s="17"/>
      <c r="H197" s="11">
        <v>0</v>
      </c>
      <c r="I197" s="11">
        <v>0</v>
      </c>
      <c r="J197" s="18">
        <v>0</v>
      </c>
      <c r="K197" s="17">
        <v>39.1</v>
      </c>
      <c r="L197" s="11">
        <v>105</v>
      </c>
      <c r="M197" s="11">
        <v>33</v>
      </c>
      <c r="N197" s="11">
        <v>28.64</v>
      </c>
      <c r="O197" s="18">
        <v>816.9</v>
      </c>
      <c r="P197" s="41"/>
      <c r="Q197" s="41"/>
      <c r="R197" s="41"/>
      <c r="S197" s="41"/>
    </row>
    <row r="198" spans="1:19" x14ac:dyDescent="0.3">
      <c r="A198" s="11">
        <v>184</v>
      </c>
      <c r="B198" s="17">
        <v>39.200000000000003</v>
      </c>
      <c r="C198" s="11">
        <v>105.8</v>
      </c>
      <c r="D198" s="11">
        <v>33</v>
      </c>
      <c r="E198" s="11">
        <v>29.03</v>
      </c>
      <c r="F198" s="18">
        <v>830.7</v>
      </c>
      <c r="G198" s="17"/>
      <c r="H198" s="11">
        <v>0</v>
      </c>
      <c r="I198" s="11">
        <v>0</v>
      </c>
      <c r="J198" s="18">
        <v>0</v>
      </c>
      <c r="K198" s="17">
        <v>39.200000000000003</v>
      </c>
      <c r="L198" s="11">
        <v>105.8</v>
      </c>
      <c r="M198" s="11">
        <v>33</v>
      </c>
      <c r="N198" s="11">
        <v>29.03</v>
      </c>
      <c r="O198" s="18">
        <v>830.7</v>
      </c>
      <c r="P198" s="41"/>
      <c r="Q198" s="41"/>
      <c r="R198" s="41"/>
      <c r="S198" s="41"/>
    </row>
    <row r="199" spans="1:19" x14ac:dyDescent="0.3">
      <c r="A199" s="11">
        <v>185</v>
      </c>
      <c r="B199" s="17">
        <v>39.200000000000003</v>
      </c>
      <c r="C199" s="11">
        <v>106.6</v>
      </c>
      <c r="D199" s="11">
        <v>33</v>
      </c>
      <c r="E199" s="11">
        <v>29.41</v>
      </c>
      <c r="F199" s="18">
        <v>844.6</v>
      </c>
      <c r="G199" s="17"/>
      <c r="H199" s="11">
        <v>0</v>
      </c>
      <c r="I199" s="11">
        <v>0</v>
      </c>
      <c r="J199" s="18">
        <v>0</v>
      </c>
      <c r="K199" s="17">
        <v>39.200000000000003</v>
      </c>
      <c r="L199" s="11">
        <v>106.6</v>
      </c>
      <c r="M199" s="11">
        <v>33</v>
      </c>
      <c r="N199" s="11">
        <v>29.41</v>
      </c>
      <c r="O199" s="18">
        <v>844.6</v>
      </c>
      <c r="P199" s="41"/>
      <c r="Q199" s="41"/>
      <c r="R199" s="41"/>
      <c r="S199" s="41"/>
    </row>
    <row r="200" spans="1:19" x14ac:dyDescent="0.3">
      <c r="A200" s="11">
        <v>186</v>
      </c>
      <c r="B200" s="17">
        <v>39.299999999999997</v>
      </c>
      <c r="C200" s="11">
        <v>107.4</v>
      </c>
      <c r="D200" s="11">
        <v>33</v>
      </c>
      <c r="E200" s="11">
        <v>29.79</v>
      </c>
      <c r="F200" s="18">
        <v>858.5</v>
      </c>
      <c r="G200" s="17"/>
      <c r="H200" s="11">
        <v>0</v>
      </c>
      <c r="I200" s="11">
        <v>0</v>
      </c>
      <c r="J200" s="18">
        <v>0</v>
      </c>
      <c r="K200" s="17">
        <v>39.299999999999997</v>
      </c>
      <c r="L200" s="11">
        <v>107.4</v>
      </c>
      <c r="M200" s="11">
        <v>33</v>
      </c>
      <c r="N200" s="11">
        <v>29.79</v>
      </c>
      <c r="O200" s="18">
        <v>858.5</v>
      </c>
      <c r="P200" s="41"/>
      <c r="Q200" s="41"/>
      <c r="R200" s="41"/>
      <c r="S200" s="41"/>
    </row>
    <row r="201" spans="1:19" x14ac:dyDescent="0.3">
      <c r="A201" s="11">
        <v>187</v>
      </c>
      <c r="B201" s="17">
        <v>39.299999999999997</v>
      </c>
      <c r="C201" s="11">
        <v>108.2</v>
      </c>
      <c r="D201" s="11">
        <v>33</v>
      </c>
      <c r="E201" s="11">
        <v>30.17</v>
      </c>
      <c r="F201" s="18">
        <v>872.4</v>
      </c>
      <c r="G201" s="17"/>
      <c r="H201" s="11">
        <v>0</v>
      </c>
      <c r="I201" s="11">
        <v>0</v>
      </c>
      <c r="J201" s="18">
        <v>0</v>
      </c>
      <c r="K201" s="17">
        <v>39.299999999999997</v>
      </c>
      <c r="L201" s="11">
        <v>108.2</v>
      </c>
      <c r="M201" s="11">
        <v>33</v>
      </c>
      <c r="N201" s="11">
        <v>30.17</v>
      </c>
      <c r="O201" s="18">
        <v>872.4</v>
      </c>
      <c r="P201" s="41"/>
      <c r="Q201" s="41"/>
      <c r="R201" s="41"/>
      <c r="S201" s="41"/>
    </row>
    <row r="202" spans="1:19" x14ac:dyDescent="0.3">
      <c r="A202" s="11">
        <v>188</v>
      </c>
      <c r="B202" s="17">
        <v>39.299999999999997</v>
      </c>
      <c r="C202" s="11">
        <v>109</v>
      </c>
      <c r="D202" s="11">
        <v>33</v>
      </c>
      <c r="E202" s="11">
        <v>30.55</v>
      </c>
      <c r="F202" s="18">
        <v>886.4</v>
      </c>
      <c r="G202" s="17"/>
      <c r="H202" s="11">
        <v>0</v>
      </c>
      <c r="I202" s="11">
        <v>0</v>
      </c>
      <c r="J202" s="18">
        <v>0</v>
      </c>
      <c r="K202" s="17">
        <v>39.299999999999997</v>
      </c>
      <c r="L202" s="11">
        <v>109</v>
      </c>
      <c r="M202" s="11">
        <v>33</v>
      </c>
      <c r="N202" s="11">
        <v>30.55</v>
      </c>
      <c r="O202" s="18">
        <v>886.4</v>
      </c>
      <c r="P202" s="41"/>
      <c r="Q202" s="41"/>
      <c r="R202" s="41"/>
      <c r="S202" s="41"/>
    </row>
    <row r="203" spans="1:19" x14ac:dyDescent="0.3">
      <c r="A203" s="11">
        <v>189</v>
      </c>
      <c r="B203" s="17">
        <v>39.4</v>
      </c>
      <c r="C203" s="11">
        <v>109.8</v>
      </c>
      <c r="D203" s="11">
        <v>33</v>
      </c>
      <c r="E203" s="11">
        <v>30.93</v>
      </c>
      <c r="F203" s="18">
        <v>900.5</v>
      </c>
      <c r="G203" s="17"/>
      <c r="H203" s="11">
        <v>0</v>
      </c>
      <c r="I203" s="11">
        <v>0</v>
      </c>
      <c r="J203" s="18">
        <v>0</v>
      </c>
      <c r="K203" s="17">
        <v>39.4</v>
      </c>
      <c r="L203" s="11">
        <v>109.8</v>
      </c>
      <c r="M203" s="11">
        <v>33</v>
      </c>
      <c r="N203" s="11">
        <v>30.93</v>
      </c>
      <c r="O203" s="18">
        <v>900.5</v>
      </c>
      <c r="P203" s="41"/>
      <c r="Q203" s="41"/>
      <c r="R203" s="41"/>
      <c r="S203" s="41"/>
    </row>
    <row r="204" spans="1:19" x14ac:dyDescent="0.3">
      <c r="A204" s="11">
        <v>190</v>
      </c>
      <c r="B204" s="17">
        <v>39.4</v>
      </c>
      <c r="C204" s="11">
        <v>110.6</v>
      </c>
      <c r="D204" s="11">
        <v>33</v>
      </c>
      <c r="E204" s="11">
        <v>31.31</v>
      </c>
      <c r="F204" s="18">
        <v>914.7</v>
      </c>
      <c r="G204" s="17"/>
      <c r="H204" s="11">
        <v>0</v>
      </c>
      <c r="I204" s="11">
        <v>0</v>
      </c>
      <c r="J204" s="18">
        <v>0</v>
      </c>
      <c r="K204" s="17">
        <v>39.4</v>
      </c>
      <c r="L204" s="11">
        <v>110.6</v>
      </c>
      <c r="M204" s="11">
        <v>33</v>
      </c>
      <c r="N204" s="11">
        <v>31.31</v>
      </c>
      <c r="O204" s="18">
        <v>914.7</v>
      </c>
      <c r="P204" s="41"/>
      <c r="Q204" s="41"/>
      <c r="R204" s="41"/>
      <c r="S204" s="41"/>
    </row>
    <row r="205" spans="1:19" x14ac:dyDescent="0.3">
      <c r="A205" s="11">
        <v>191</v>
      </c>
      <c r="B205" s="17">
        <v>39.5</v>
      </c>
      <c r="C205" s="11">
        <v>111.4</v>
      </c>
      <c r="D205" s="11">
        <v>33</v>
      </c>
      <c r="E205" s="11">
        <v>31.69</v>
      </c>
      <c r="F205" s="18">
        <v>928.8</v>
      </c>
      <c r="G205" s="17"/>
      <c r="H205" s="11">
        <v>0</v>
      </c>
      <c r="I205" s="11">
        <v>0</v>
      </c>
      <c r="J205" s="18">
        <v>0</v>
      </c>
      <c r="K205" s="17">
        <v>39.5</v>
      </c>
      <c r="L205" s="11">
        <v>111.4</v>
      </c>
      <c r="M205" s="11">
        <v>33</v>
      </c>
      <c r="N205" s="11">
        <v>31.69</v>
      </c>
      <c r="O205" s="18">
        <v>928.8</v>
      </c>
      <c r="P205" s="41"/>
      <c r="Q205" s="41"/>
      <c r="R205" s="41"/>
      <c r="S205" s="41"/>
    </row>
    <row r="206" spans="1:19" x14ac:dyDescent="0.3">
      <c r="A206" s="11">
        <v>192</v>
      </c>
      <c r="B206" s="17">
        <v>39.5</v>
      </c>
      <c r="C206" s="11">
        <v>112.1</v>
      </c>
      <c r="D206" s="11">
        <v>32</v>
      </c>
      <c r="E206" s="11">
        <v>32.07</v>
      </c>
      <c r="F206" s="18">
        <v>943.1</v>
      </c>
      <c r="G206" s="17"/>
      <c r="H206" s="11">
        <v>0</v>
      </c>
      <c r="I206" s="11">
        <v>0</v>
      </c>
      <c r="J206" s="18">
        <v>0</v>
      </c>
      <c r="K206" s="17">
        <v>39.5</v>
      </c>
      <c r="L206" s="11">
        <v>112.1</v>
      </c>
      <c r="M206" s="11">
        <v>32</v>
      </c>
      <c r="N206" s="11">
        <v>32.07</v>
      </c>
      <c r="O206" s="18">
        <v>943.1</v>
      </c>
      <c r="P206" s="41"/>
      <c r="Q206" s="41"/>
      <c r="R206" s="41"/>
      <c r="S206" s="41"/>
    </row>
    <row r="207" spans="1:19" x14ac:dyDescent="0.3">
      <c r="A207" s="11">
        <v>193</v>
      </c>
      <c r="B207" s="17">
        <v>39.6</v>
      </c>
      <c r="C207" s="11">
        <v>112.9</v>
      </c>
      <c r="D207" s="11">
        <v>32</v>
      </c>
      <c r="E207" s="11">
        <v>32.450000000000003</v>
      </c>
      <c r="F207" s="18">
        <v>957.4</v>
      </c>
      <c r="G207" s="17"/>
      <c r="H207" s="11">
        <v>0</v>
      </c>
      <c r="I207" s="11">
        <v>0</v>
      </c>
      <c r="J207" s="18">
        <v>0</v>
      </c>
      <c r="K207" s="17">
        <v>39.6</v>
      </c>
      <c r="L207" s="11">
        <v>112.9</v>
      </c>
      <c r="M207" s="11">
        <v>32</v>
      </c>
      <c r="N207" s="11">
        <v>32.450000000000003</v>
      </c>
      <c r="O207" s="18">
        <v>957.4</v>
      </c>
      <c r="P207" s="41"/>
      <c r="Q207" s="41"/>
      <c r="R207" s="41"/>
      <c r="S207" s="41"/>
    </row>
    <row r="208" spans="1:19" x14ac:dyDescent="0.3">
      <c r="A208" s="11">
        <v>194</v>
      </c>
      <c r="B208" s="17">
        <v>39.6</v>
      </c>
      <c r="C208" s="11">
        <v>113.7</v>
      </c>
      <c r="D208" s="11">
        <v>32</v>
      </c>
      <c r="E208" s="11">
        <v>32.83</v>
      </c>
      <c r="F208" s="18">
        <v>971.7</v>
      </c>
      <c r="G208" s="17"/>
      <c r="H208" s="11">
        <v>0</v>
      </c>
      <c r="I208" s="11">
        <v>0</v>
      </c>
      <c r="J208" s="18">
        <v>0</v>
      </c>
      <c r="K208" s="17">
        <v>39.6</v>
      </c>
      <c r="L208" s="11">
        <v>113.7</v>
      </c>
      <c r="M208" s="11">
        <v>32</v>
      </c>
      <c r="N208" s="11">
        <v>32.83</v>
      </c>
      <c r="O208" s="18">
        <v>971.7</v>
      </c>
      <c r="P208" s="41"/>
      <c r="Q208" s="41"/>
      <c r="R208" s="41"/>
      <c r="S208" s="41"/>
    </row>
    <row r="209" spans="1:19" x14ac:dyDescent="0.3">
      <c r="A209" s="11">
        <v>195</v>
      </c>
      <c r="B209" s="17">
        <v>39.700000000000003</v>
      </c>
      <c r="C209" s="11">
        <v>114.5</v>
      </c>
      <c r="D209" s="11">
        <v>32</v>
      </c>
      <c r="E209" s="11">
        <v>33.200000000000003</v>
      </c>
      <c r="F209" s="18">
        <v>986.1</v>
      </c>
      <c r="G209" s="17">
        <v>111</v>
      </c>
      <c r="H209" s="11">
        <v>6</v>
      </c>
      <c r="I209" s="11">
        <v>5.7</v>
      </c>
      <c r="J209" s="18">
        <v>167.8</v>
      </c>
      <c r="K209" s="17">
        <v>39.799999999999997</v>
      </c>
      <c r="L209" s="11">
        <v>115.2</v>
      </c>
      <c r="M209" s="11">
        <v>26</v>
      </c>
      <c r="N209" s="11">
        <v>27.5</v>
      </c>
      <c r="O209" s="18">
        <v>818.3</v>
      </c>
      <c r="P209" s="41"/>
      <c r="Q209" s="41"/>
      <c r="R209" s="41"/>
      <c r="S209" s="41"/>
    </row>
    <row r="210" spans="1:19" x14ac:dyDescent="0.3">
      <c r="A210" s="11">
        <v>196</v>
      </c>
      <c r="B210" s="17">
        <v>39.799999999999997</v>
      </c>
      <c r="C210" s="11">
        <v>116.1</v>
      </c>
      <c r="D210" s="11">
        <v>26</v>
      </c>
      <c r="E210" s="11">
        <v>27.87</v>
      </c>
      <c r="F210" s="18">
        <v>833.4</v>
      </c>
      <c r="G210" s="17"/>
      <c r="H210" s="11">
        <v>0</v>
      </c>
      <c r="I210" s="11">
        <v>0</v>
      </c>
      <c r="J210" s="18">
        <v>0</v>
      </c>
      <c r="K210" s="17">
        <v>39.799999999999997</v>
      </c>
      <c r="L210" s="11">
        <v>116.1</v>
      </c>
      <c r="M210" s="11">
        <v>26</v>
      </c>
      <c r="N210" s="11">
        <v>27.87</v>
      </c>
      <c r="O210" s="18">
        <v>833.4</v>
      </c>
      <c r="P210" s="41"/>
      <c r="Q210" s="41"/>
      <c r="R210" s="41"/>
      <c r="S210" s="41"/>
    </row>
    <row r="211" spans="1:19" x14ac:dyDescent="0.3">
      <c r="A211" s="11">
        <v>197</v>
      </c>
      <c r="B211" s="17">
        <v>39.799999999999997</v>
      </c>
      <c r="C211" s="11">
        <v>117</v>
      </c>
      <c r="D211" s="11">
        <v>26</v>
      </c>
      <c r="E211" s="11">
        <v>28.23</v>
      </c>
      <c r="F211" s="18">
        <v>847.3</v>
      </c>
      <c r="G211" s="17"/>
      <c r="H211" s="11">
        <v>0</v>
      </c>
      <c r="I211" s="11">
        <v>0</v>
      </c>
      <c r="J211" s="18">
        <v>0</v>
      </c>
      <c r="K211" s="17">
        <v>39.799999999999997</v>
      </c>
      <c r="L211" s="11">
        <v>117</v>
      </c>
      <c r="M211" s="11">
        <v>26</v>
      </c>
      <c r="N211" s="11">
        <v>28.23</v>
      </c>
      <c r="O211" s="18">
        <v>847.3</v>
      </c>
      <c r="P211" s="41"/>
      <c r="Q211" s="41"/>
      <c r="R211" s="41"/>
      <c r="S211" s="41"/>
    </row>
    <row r="212" spans="1:19" x14ac:dyDescent="0.3">
      <c r="A212" s="11">
        <v>198</v>
      </c>
      <c r="B212" s="17">
        <v>39.9</v>
      </c>
      <c r="C212" s="11">
        <v>117.8</v>
      </c>
      <c r="D212" s="11">
        <v>26</v>
      </c>
      <c r="E212" s="11">
        <v>28.6</v>
      </c>
      <c r="F212" s="18">
        <v>861.2</v>
      </c>
      <c r="G212" s="17"/>
      <c r="H212" s="11">
        <v>0</v>
      </c>
      <c r="I212" s="11">
        <v>0</v>
      </c>
      <c r="J212" s="18">
        <v>0</v>
      </c>
      <c r="K212" s="17">
        <v>39.9</v>
      </c>
      <c r="L212" s="11">
        <v>117.8</v>
      </c>
      <c r="M212" s="11">
        <v>26</v>
      </c>
      <c r="N212" s="11">
        <v>28.6</v>
      </c>
      <c r="O212" s="18">
        <v>861.2</v>
      </c>
      <c r="P212" s="41"/>
      <c r="Q212" s="41"/>
      <c r="R212" s="41"/>
      <c r="S212" s="41"/>
    </row>
    <row r="213" spans="1:19" x14ac:dyDescent="0.3">
      <c r="A213" s="11">
        <v>199</v>
      </c>
      <c r="B213" s="17">
        <v>39.9</v>
      </c>
      <c r="C213" s="11">
        <v>118.7</v>
      </c>
      <c r="D213" s="11">
        <v>26</v>
      </c>
      <c r="E213" s="11">
        <v>28.96</v>
      </c>
      <c r="F213" s="18">
        <v>875.2</v>
      </c>
      <c r="G213" s="17"/>
      <c r="H213" s="11">
        <v>0</v>
      </c>
      <c r="I213" s="11">
        <v>0</v>
      </c>
      <c r="J213" s="18">
        <v>0</v>
      </c>
      <c r="K213" s="17">
        <v>39.9</v>
      </c>
      <c r="L213" s="11">
        <v>118.7</v>
      </c>
      <c r="M213" s="11">
        <v>26</v>
      </c>
      <c r="N213" s="11">
        <v>28.96</v>
      </c>
      <c r="O213" s="18">
        <v>875.2</v>
      </c>
      <c r="P213" s="41"/>
      <c r="Q213" s="41"/>
      <c r="R213" s="41"/>
      <c r="S213" s="41"/>
    </row>
    <row r="214" spans="1:19" x14ac:dyDescent="0.3">
      <c r="A214" s="11">
        <v>200</v>
      </c>
      <c r="B214" s="17">
        <v>40</v>
      </c>
      <c r="C214" s="11">
        <v>119.6</v>
      </c>
      <c r="D214" s="11">
        <v>26</v>
      </c>
      <c r="E214" s="11">
        <v>29.33</v>
      </c>
      <c r="F214" s="18">
        <v>889.2</v>
      </c>
      <c r="G214" s="17"/>
      <c r="H214" s="11">
        <v>0</v>
      </c>
      <c r="I214" s="11">
        <v>0</v>
      </c>
      <c r="J214" s="18">
        <v>0</v>
      </c>
      <c r="K214" s="17">
        <v>40</v>
      </c>
      <c r="L214" s="11">
        <v>119.6</v>
      </c>
      <c r="M214" s="11">
        <v>26</v>
      </c>
      <c r="N214" s="11">
        <v>29.33</v>
      </c>
      <c r="O214" s="18">
        <v>889.2</v>
      </c>
      <c r="P214" s="45"/>
      <c r="Q214" s="45"/>
      <c r="R214" s="45"/>
      <c r="S214" s="45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A214"/>
  <sheetViews>
    <sheetView topLeftCell="A10" zoomScale="50" zoomScaleNormal="50" workbookViewId="0">
      <selection activeCell="K16" sqref="K16"/>
    </sheetView>
  </sheetViews>
  <sheetFormatPr defaultRowHeight="14.4" x14ac:dyDescent="0.3"/>
  <cols>
    <col min="2" max="2" width="16.77734375" bestFit="1" customWidth="1"/>
    <col min="11" max="11" width="14.6640625" customWidth="1"/>
    <col min="12" max="13" width="18.88671875" customWidth="1"/>
    <col min="17" max="17" width="12.77734375" customWidth="1"/>
    <col min="18" max="18" width="10.6640625" bestFit="1" customWidth="1"/>
    <col min="19" max="19" width="15.109375" customWidth="1"/>
    <col min="20" max="20" width="10.6640625" bestFit="1" customWidth="1"/>
    <col min="21" max="21" width="21.88671875" bestFit="1" customWidth="1"/>
    <col min="22" max="23" width="26.21875" bestFit="1" customWidth="1"/>
    <col min="24" max="24" width="26.21875" customWidth="1"/>
  </cols>
  <sheetData>
    <row r="1" spans="1:53" x14ac:dyDescent="0.3">
      <c r="AA1" s="2" t="s">
        <v>193</v>
      </c>
      <c r="AB1" s="3"/>
      <c r="AC1" s="3"/>
      <c r="AD1" s="3"/>
      <c r="AE1" s="4"/>
    </row>
    <row r="2" spans="1:53" x14ac:dyDescent="0.3">
      <c r="AA2" s="5" t="s">
        <v>185</v>
      </c>
      <c r="AC2">
        <v>0.5</v>
      </c>
      <c r="AD2" t="s">
        <v>186</v>
      </c>
      <c r="AE2" s="6"/>
    </row>
    <row r="3" spans="1:53" x14ac:dyDescent="0.3">
      <c r="AA3" s="5" t="s">
        <v>187</v>
      </c>
      <c r="AC3">
        <v>1.2</v>
      </c>
      <c r="AD3" t="s">
        <v>188</v>
      </c>
      <c r="AE3" s="6"/>
    </row>
    <row r="4" spans="1:53" x14ac:dyDescent="0.3">
      <c r="AA4" s="5" t="s">
        <v>189</v>
      </c>
      <c r="AC4">
        <v>0.3</v>
      </c>
      <c r="AD4" t="s">
        <v>186</v>
      </c>
      <c r="AE4" s="6"/>
    </row>
    <row r="5" spans="1:53" x14ac:dyDescent="0.3">
      <c r="B5" s="31" t="s">
        <v>78</v>
      </c>
      <c r="C5" s="31"/>
      <c r="E5" s="31" t="s">
        <v>122</v>
      </c>
      <c r="F5" s="31"/>
      <c r="AA5" s="5" t="s">
        <v>190</v>
      </c>
      <c r="AC5">
        <v>0.45</v>
      </c>
      <c r="AD5" t="s">
        <v>186</v>
      </c>
      <c r="AE5" s="6"/>
    </row>
    <row r="6" spans="1:53" x14ac:dyDescent="0.3">
      <c r="B6" s="31" t="s">
        <v>77</v>
      </c>
      <c r="C6" s="31">
        <v>1.4999999999999999E-2</v>
      </c>
      <c r="E6" s="31" t="s">
        <v>70</v>
      </c>
      <c r="F6" s="31">
        <f xml:space="preserve"> 'Assortment distribution &amp; Price'!E28</f>
        <v>399.33</v>
      </c>
      <c r="AA6" s="5" t="s">
        <v>191</v>
      </c>
      <c r="AC6">
        <v>1100</v>
      </c>
      <c r="AE6" s="6"/>
    </row>
    <row r="7" spans="1:53" x14ac:dyDescent="0.3">
      <c r="E7" s="31" t="s">
        <v>71</v>
      </c>
      <c r="F7" s="31">
        <f xml:space="preserve"> 'Assortment distribution &amp; Price'!E29</f>
        <v>-3.03</v>
      </c>
      <c r="AA7" s="52" t="s">
        <v>192</v>
      </c>
      <c r="AB7" s="8"/>
      <c r="AC7" s="8">
        <f>AC6/44*12</f>
        <v>300</v>
      </c>
      <c r="AD7" s="8"/>
      <c r="AE7" s="9"/>
    </row>
    <row r="8" spans="1:53" x14ac:dyDescent="0.3">
      <c r="E8" s="31" t="s">
        <v>72</v>
      </c>
      <c r="F8" s="31">
        <f xml:space="preserve"> 'Assortment distribution &amp; Price'!E30</f>
        <v>0.13539999999999999</v>
      </c>
      <c r="U8" s="54" t="s">
        <v>199</v>
      </c>
    </row>
    <row r="9" spans="1:53" x14ac:dyDescent="0.3">
      <c r="E9" s="31" t="s">
        <v>73</v>
      </c>
      <c r="F9" s="31">
        <f xml:space="preserve"> 'Assortment distribution &amp; Price'!E31</f>
        <v>-1.4E-3</v>
      </c>
      <c r="U9" s="61">
        <f xml:space="preserve"> SUM(U101:U125) + P125*((1+C6)^(-(B125-B101)))</f>
        <v>399429.01216967602</v>
      </c>
      <c r="V9" s="62"/>
      <c r="W9" s="62"/>
      <c r="X9" s="62"/>
    </row>
    <row r="10" spans="1:53" x14ac:dyDescent="0.3">
      <c r="E10" s="31" t="s">
        <v>74</v>
      </c>
      <c r="F10" s="31">
        <f xml:space="preserve"> 'Assortment distribution &amp; Price'!E32</f>
        <v>3.0000000000000001E-6</v>
      </c>
      <c r="U10" s="54"/>
      <c r="V10" t="s">
        <v>152</v>
      </c>
      <c r="AA10" t="s">
        <v>153</v>
      </c>
    </row>
    <row r="11" spans="1:53" x14ac:dyDescent="0.3">
      <c r="C11" s="44" t="s">
        <v>124</v>
      </c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4"/>
      <c r="P11" s="44"/>
      <c r="Q11" s="58" t="s">
        <v>151</v>
      </c>
      <c r="R11" s="54"/>
      <c r="S11" s="58"/>
      <c r="T11" s="54"/>
      <c r="U11" s="54"/>
      <c r="V11" s="63" t="s">
        <v>128</v>
      </c>
      <c r="W11" s="63" t="s">
        <v>127</v>
      </c>
      <c r="X11" s="63" t="s">
        <v>212</v>
      </c>
      <c r="Y11" s="63" t="s">
        <v>126</v>
      </c>
      <c r="Z11" s="63"/>
      <c r="AA11" s="100" t="s">
        <v>154</v>
      </c>
      <c r="AB11" s="101"/>
      <c r="AC11" s="101"/>
      <c r="AD11" s="101"/>
      <c r="AE11" s="101"/>
      <c r="AF11" s="101"/>
      <c r="AG11" s="101"/>
      <c r="AH11" s="102" t="s">
        <v>155</v>
      </c>
      <c r="AI11" s="103"/>
      <c r="AJ11" s="102"/>
      <c r="AK11" s="102"/>
      <c r="AL11" s="103"/>
      <c r="AM11" s="103"/>
      <c r="AN11" s="103"/>
      <c r="AO11" s="103"/>
      <c r="AP11" s="104" t="s">
        <v>156</v>
      </c>
      <c r="AQ11" s="105"/>
      <c r="AR11" s="105"/>
      <c r="AS11" s="105"/>
      <c r="AT11" s="106" t="s">
        <v>157</v>
      </c>
      <c r="AU11" s="106"/>
      <c r="AV11" s="106"/>
      <c r="AW11" s="106"/>
      <c r="AX11" s="106"/>
      <c r="AY11" s="106"/>
      <c r="AZ11" s="106"/>
      <c r="BA11" s="106"/>
    </row>
    <row r="12" spans="1:53" s="47" customFormat="1" ht="129.6" x14ac:dyDescent="0.3">
      <c r="A12" s="46" t="s">
        <v>55</v>
      </c>
      <c r="B12" s="46" t="s">
        <v>56</v>
      </c>
      <c r="C12" s="48" t="s">
        <v>57</v>
      </c>
      <c r="D12" s="48"/>
      <c r="E12" s="48"/>
      <c r="F12" s="48"/>
      <c r="G12" s="49" t="s">
        <v>60</v>
      </c>
      <c r="H12" s="49"/>
      <c r="I12" s="49"/>
      <c r="J12" s="49"/>
      <c r="K12" s="48" t="s">
        <v>63</v>
      </c>
      <c r="L12" s="48" t="s">
        <v>75</v>
      </c>
      <c r="M12" s="48" t="s">
        <v>123</v>
      </c>
      <c r="N12" s="49" t="s">
        <v>76</v>
      </c>
      <c r="O12" s="50" t="s">
        <v>79</v>
      </c>
      <c r="P12" s="50" t="s">
        <v>80</v>
      </c>
      <c r="Q12" s="59" t="s">
        <v>85</v>
      </c>
      <c r="R12" s="59" t="s">
        <v>86</v>
      </c>
      <c r="S12" s="59" t="s">
        <v>85</v>
      </c>
      <c r="T12" s="59" t="s">
        <v>86</v>
      </c>
      <c r="U12" s="53" t="s">
        <v>200</v>
      </c>
      <c r="V12" s="64"/>
      <c r="W12" s="64"/>
      <c r="X12" s="64"/>
      <c r="Y12" s="64" t="s">
        <v>213</v>
      </c>
      <c r="Z12" s="64" t="s">
        <v>214</v>
      </c>
      <c r="AA12" s="107" t="s">
        <v>158</v>
      </c>
      <c r="AB12" s="107" t="s">
        <v>159</v>
      </c>
      <c r="AC12" s="107" t="s">
        <v>160</v>
      </c>
      <c r="AD12" s="107" t="s">
        <v>161</v>
      </c>
      <c r="AE12" s="107" t="s">
        <v>162</v>
      </c>
      <c r="AF12" s="107" t="s">
        <v>163</v>
      </c>
      <c r="AG12" s="107" t="s">
        <v>164</v>
      </c>
      <c r="AH12" s="108" t="s">
        <v>165</v>
      </c>
      <c r="AI12" s="108" t="s">
        <v>166</v>
      </c>
      <c r="AJ12" s="108" t="s">
        <v>167</v>
      </c>
      <c r="AK12" s="108" t="s">
        <v>168</v>
      </c>
      <c r="AL12" s="108" t="s">
        <v>169</v>
      </c>
      <c r="AM12" s="108" t="s">
        <v>170</v>
      </c>
      <c r="AN12" s="108" t="s">
        <v>171</v>
      </c>
      <c r="AO12" s="108" t="s">
        <v>172</v>
      </c>
      <c r="AP12" s="109" t="s">
        <v>173</v>
      </c>
      <c r="AQ12" s="109" t="s">
        <v>174</v>
      </c>
      <c r="AR12" s="109" t="s">
        <v>175</v>
      </c>
      <c r="AS12" s="109" t="s">
        <v>176</v>
      </c>
      <c r="AT12" s="110" t="s">
        <v>177</v>
      </c>
      <c r="AU12" s="110" t="s">
        <v>178</v>
      </c>
      <c r="AV12" s="110" t="s">
        <v>179</v>
      </c>
      <c r="AW12" s="110" t="s">
        <v>180</v>
      </c>
      <c r="AX12" s="110" t="s">
        <v>181</v>
      </c>
      <c r="AY12" s="110" t="s">
        <v>182</v>
      </c>
      <c r="AZ12" s="110" t="s">
        <v>183</v>
      </c>
      <c r="BA12" s="110" t="s">
        <v>184</v>
      </c>
    </row>
    <row r="13" spans="1:53" x14ac:dyDescent="0.3">
      <c r="A13" s="31"/>
      <c r="B13" s="31"/>
      <c r="C13" s="43" t="s">
        <v>58</v>
      </c>
      <c r="D13" s="43" t="s">
        <v>8</v>
      </c>
      <c r="E13" s="43" t="s">
        <v>61</v>
      </c>
      <c r="F13" s="43" t="s">
        <v>59</v>
      </c>
      <c r="G13" s="44" t="s">
        <v>58</v>
      </c>
      <c r="H13" s="44" t="s">
        <v>8</v>
      </c>
      <c r="I13" s="44" t="s">
        <v>62</v>
      </c>
      <c r="J13" s="44" t="s">
        <v>59</v>
      </c>
      <c r="K13" s="43"/>
      <c r="L13" s="43"/>
      <c r="M13" s="43"/>
      <c r="N13" s="44"/>
      <c r="O13" s="51"/>
      <c r="P13" s="51"/>
      <c r="Q13" s="58" t="s">
        <v>88</v>
      </c>
      <c r="R13" s="54"/>
      <c r="S13" s="58" t="s">
        <v>87</v>
      </c>
      <c r="T13" s="54"/>
      <c r="U13" s="54" t="s">
        <v>201</v>
      </c>
      <c r="V13" s="63"/>
      <c r="W13" s="63"/>
      <c r="X13" s="63"/>
      <c r="Y13" s="63"/>
      <c r="Z13" s="63"/>
    </row>
    <row r="14" spans="1:53" x14ac:dyDescent="0.3">
      <c r="A14" s="31"/>
      <c r="B14" s="31"/>
      <c r="C14" s="43"/>
      <c r="D14" s="43"/>
      <c r="E14" s="43"/>
      <c r="F14" s="43"/>
      <c r="G14" s="44"/>
      <c r="H14" s="44"/>
      <c r="I14" s="44"/>
      <c r="J14" s="44"/>
      <c r="K14" s="43"/>
      <c r="L14" s="43"/>
      <c r="M14" s="43"/>
      <c r="N14" s="44"/>
      <c r="O14" s="51"/>
      <c r="P14" s="51"/>
      <c r="Q14" s="54"/>
      <c r="R14" s="54"/>
      <c r="S14" s="54"/>
      <c r="T14" s="54"/>
      <c r="U14" s="54"/>
      <c r="V14" s="63"/>
      <c r="W14" s="63"/>
      <c r="X14" s="63"/>
      <c r="Y14" s="63"/>
      <c r="Z14" s="63"/>
    </row>
    <row r="15" spans="1:53" x14ac:dyDescent="0.3">
      <c r="A15" s="31">
        <v>2</v>
      </c>
      <c r="B15" s="31">
        <v>0</v>
      </c>
      <c r="C15" s="43">
        <f xml:space="preserve"> 'Growth &amp; yield data'!G16</f>
        <v>0</v>
      </c>
      <c r="D15" s="43">
        <f xml:space="preserve"> 'Growth &amp; yield data'!J16</f>
        <v>0</v>
      </c>
      <c r="E15" s="43">
        <v>0</v>
      </c>
      <c r="F15" s="43">
        <f t="shared" ref="F15:F46" si="0" xml:space="preserve"> D15*E15</f>
        <v>0</v>
      </c>
      <c r="G15" s="44">
        <f xml:space="preserve"> 'Growth &amp; yield data'!C16</f>
        <v>0</v>
      </c>
      <c r="H15" s="44">
        <f xml:space="preserve"> 'Growth &amp; yield data'!F16</f>
        <v>0</v>
      </c>
      <c r="I15" s="44">
        <v>0</v>
      </c>
      <c r="J15" s="44">
        <f t="shared" ref="J15:J28" si="1" xml:space="preserve"> I15*H15</f>
        <v>0</v>
      </c>
      <c r="K15" s="43">
        <f xml:space="preserve"> 'Establishment costs'!G6 + 'Establishment costs'!G8 + 'Establishment costs'!G10</f>
        <v>41850</v>
      </c>
      <c r="L15" s="43">
        <f xml:space="preserve"> F15 - K15</f>
        <v>-41850</v>
      </c>
      <c r="M15" s="57">
        <f t="shared" ref="M15:M46" si="2">L15*((1+$C$6)^(-B15))</f>
        <v>-41850</v>
      </c>
      <c r="N15" s="44">
        <f xml:space="preserve"> J15 - K15</f>
        <v>-41850</v>
      </c>
      <c r="O15" s="51">
        <f xml:space="preserve"> N15*((1+$C$6)^(-B15))</f>
        <v>-41850</v>
      </c>
      <c r="P15" s="51" t="e">
        <f t="shared" ref="P15:P46" si="3" xml:space="preserve"> O15/(1-((1+$C$6)^(-B15)))</f>
        <v>#DIV/0!</v>
      </c>
      <c r="Q15" s="54">
        <f xml:space="preserve"> MAX(P16:P213)</f>
        <v>154233.01274265698</v>
      </c>
      <c r="R15" s="54">
        <f xml:space="preserve"> Q15-L15</f>
        <v>196083.01274265698</v>
      </c>
      <c r="S15" s="54">
        <f t="shared" ref="S15:S78" si="4" xml:space="preserve"> T15+L15</f>
        <v>154233.01274265695</v>
      </c>
      <c r="T15" s="54">
        <f t="shared" ref="T15:T78" si="5" xml:space="preserve"> S16*(1+$C$6)^(-1)</f>
        <v>196083.01274265695</v>
      </c>
      <c r="U15" s="54"/>
      <c r="V15" s="63"/>
      <c r="W15" s="63"/>
      <c r="X15" s="63"/>
      <c r="Y15" s="63"/>
      <c r="Z15" s="63"/>
    </row>
    <row r="16" spans="1:53" x14ac:dyDescent="0.3">
      <c r="A16" s="31">
        <v>3</v>
      </c>
      <c r="B16" s="31">
        <v>1</v>
      </c>
      <c r="C16" s="43">
        <f xml:space="preserve"> 'Growth &amp; yield data'!G17</f>
        <v>0</v>
      </c>
      <c r="D16" s="43">
        <f xml:space="preserve"> 'Growth &amp; yield data'!J17</f>
        <v>0</v>
      </c>
      <c r="E16" s="43">
        <v>0</v>
      </c>
      <c r="F16" s="43">
        <f t="shared" si="0"/>
        <v>0</v>
      </c>
      <c r="G16" s="44">
        <f xml:space="preserve"> 'Growth &amp; yield data'!C17</f>
        <v>0</v>
      </c>
      <c r="H16" s="44">
        <f xml:space="preserve"> 'Growth &amp; yield data'!F17</f>
        <v>0</v>
      </c>
      <c r="I16" s="44">
        <v>0</v>
      </c>
      <c r="J16" s="44">
        <f t="shared" si="1"/>
        <v>0</v>
      </c>
      <c r="K16" s="43">
        <f xml:space="preserve"> ('Establishment costs'!G12)/5 + 'Establishment costs'!G15 + 'Establishment costs'!G16 + 'Establishment costs'!G19 + 'Establishment costs'!G20 + ('Establishment costs'!G22)/5 + ('Establishment costs'!G23)/5</f>
        <v>5157</v>
      </c>
      <c r="L16" s="43">
        <f t="shared" ref="L16:L79" si="6" xml:space="preserve"> F16 - K16</f>
        <v>-5157</v>
      </c>
      <c r="M16" s="57">
        <f t="shared" si="2"/>
        <v>-5080.7881773399022</v>
      </c>
      <c r="N16" s="44">
        <f t="shared" ref="N16:N79" si="7" xml:space="preserve"> J16 - K16</f>
        <v>-5157</v>
      </c>
      <c r="O16" s="51">
        <f xml:space="preserve"> SUM($M$15:M15) + N16*((1+$C$6)^(-B16))</f>
        <v>-46930.788177339899</v>
      </c>
      <c r="P16" s="51">
        <f t="shared" si="3"/>
        <v>-3175650.0000000275</v>
      </c>
      <c r="Q16" s="54">
        <f xml:space="preserve"> R15*(1+$C$6)^1</f>
        <v>199024.25793379682</v>
      </c>
      <c r="R16" s="54">
        <f t="shared" ref="R16:R79" si="8" xml:space="preserve"> Q16-L16</f>
        <v>204181.25793379682</v>
      </c>
      <c r="S16" s="54">
        <f t="shared" si="4"/>
        <v>199024.25793379679</v>
      </c>
      <c r="T16" s="54">
        <f t="shared" si="5"/>
        <v>204181.25793379679</v>
      </c>
      <c r="U16" s="54"/>
      <c r="V16" s="63">
        <f xml:space="preserve"> (J17-J16)*(1+$C$6)^(A16-A17) + L16</f>
        <v>-5157</v>
      </c>
      <c r="W16" s="63">
        <f xml:space="preserve"> (J16+P16)*$C$6</f>
        <v>-47634.750000000407</v>
      </c>
      <c r="X16" s="63" t="str">
        <f xml:space="preserve"> IF(V16&gt;W16, "MIV &gt; MOC", "MOC &gt; MIV")</f>
        <v>MIV &gt; MOC</v>
      </c>
      <c r="Y16" s="65">
        <f xml:space="preserve"> (SUM($D$15:D15) + H16)/B16</f>
        <v>0</v>
      </c>
      <c r="Z16" s="65">
        <f xml:space="preserve"> 'Growth &amp; yield data'!F18 - 'Growth &amp; yield data'!O17</f>
        <v>0</v>
      </c>
      <c r="AA16" s="117"/>
      <c r="AB16" s="117"/>
    </row>
    <row r="17" spans="1:27" x14ac:dyDescent="0.3">
      <c r="A17" s="31">
        <v>4</v>
      </c>
      <c r="B17" s="31">
        <v>2</v>
      </c>
      <c r="C17" s="43">
        <f xml:space="preserve"> 'Growth &amp; yield data'!G18</f>
        <v>0</v>
      </c>
      <c r="D17" s="43">
        <f xml:space="preserve"> 'Growth &amp; yield data'!J18</f>
        <v>0</v>
      </c>
      <c r="E17" s="43">
        <v>0</v>
      </c>
      <c r="F17" s="43">
        <f t="shared" si="0"/>
        <v>0</v>
      </c>
      <c r="G17" s="44">
        <f xml:space="preserve"> 'Growth &amp; yield data'!C18</f>
        <v>0</v>
      </c>
      <c r="H17" s="44">
        <f xml:space="preserve"> 'Growth &amp; yield data'!F18</f>
        <v>0</v>
      </c>
      <c r="I17" s="44">
        <v>0</v>
      </c>
      <c r="J17" s="44">
        <f t="shared" si="1"/>
        <v>0</v>
      </c>
      <c r="K17" s="43">
        <f xml:space="preserve"> ('Establishment costs'!$G$12)/5 + ('Establishment costs'!$G$22 + 'Establishment costs'!$G$23)/5</f>
        <v>1680</v>
      </c>
      <c r="L17" s="43">
        <f t="shared" si="6"/>
        <v>-1680</v>
      </c>
      <c r="M17" s="57">
        <f t="shared" si="2"/>
        <v>-1630.7117377271961</v>
      </c>
      <c r="N17" s="44">
        <f t="shared" si="7"/>
        <v>-1680</v>
      </c>
      <c r="O17" s="51">
        <f xml:space="preserve"> SUM($M$15:M16) + N17*((1+$C$6)^(-B17))</f>
        <v>-48561.499915067092</v>
      </c>
      <c r="P17" s="51">
        <f t="shared" si="3"/>
        <v>-1655228.1637717295</v>
      </c>
      <c r="Q17" s="54">
        <f t="shared" ref="Q17:Q80" si="9" xml:space="preserve"> R16*(1+$C$6)^1</f>
        <v>207243.97680280375</v>
      </c>
      <c r="R17" s="54">
        <f t="shared" si="8"/>
        <v>208923.97680280375</v>
      </c>
      <c r="S17" s="54">
        <f t="shared" si="4"/>
        <v>207243.97680280372</v>
      </c>
      <c r="T17" s="54">
        <f t="shared" si="5"/>
        <v>208923.97680280372</v>
      </c>
      <c r="U17" s="54"/>
      <c r="V17" s="63">
        <f t="shared" ref="V17:V80" si="10" xml:space="preserve"> (J18-J17)*(1+$C$6)^(A17-A18) + L17</f>
        <v>-1680</v>
      </c>
      <c r="W17" s="63">
        <f t="shared" ref="W17:W80" si="11" xml:space="preserve"> (J17+P17)*$C$6</f>
        <v>-24828.42245657594</v>
      </c>
      <c r="X17" s="63" t="str">
        <f t="shared" ref="X17:X80" si="12" xml:space="preserve"> IF(V17&gt;W17, "MIV &gt; MOC", "MOC &gt; MIV")</f>
        <v>MIV &gt; MOC</v>
      </c>
      <c r="Y17" s="65">
        <f xml:space="preserve"> (SUM($D$15:D16) + H17)/B17</f>
        <v>0</v>
      </c>
      <c r="Z17" s="65">
        <f xml:space="preserve"> 'Growth &amp; yield data'!F19 - 'Growth &amp; yield data'!O18</f>
        <v>0</v>
      </c>
      <c r="AA17" s="117"/>
    </row>
    <row r="18" spans="1:27" x14ac:dyDescent="0.3">
      <c r="A18" s="31">
        <v>5</v>
      </c>
      <c r="B18" s="31">
        <v>3</v>
      </c>
      <c r="C18" s="43">
        <f xml:space="preserve"> 'Growth &amp; yield data'!G19</f>
        <v>0</v>
      </c>
      <c r="D18" s="43">
        <f xml:space="preserve"> 'Growth &amp; yield data'!J19</f>
        <v>0</v>
      </c>
      <c r="E18" s="43">
        <v>0</v>
      </c>
      <c r="F18" s="43">
        <f t="shared" si="0"/>
        <v>0</v>
      </c>
      <c r="G18" s="44">
        <f xml:space="preserve"> 'Growth &amp; yield data'!C19</f>
        <v>0</v>
      </c>
      <c r="H18" s="44">
        <f xml:space="preserve"> 'Growth &amp; yield data'!F19</f>
        <v>0</v>
      </c>
      <c r="I18" s="44">
        <v>0</v>
      </c>
      <c r="J18" s="44">
        <f t="shared" si="1"/>
        <v>0</v>
      </c>
      <c r="K18" s="43">
        <f xml:space="preserve"> ('Establishment costs'!$G$12)/5 + ('Establishment costs'!$G$22 + 'Establishment costs'!$G$23)/5</f>
        <v>1680</v>
      </c>
      <c r="L18" s="43">
        <f t="shared" si="6"/>
        <v>-1680</v>
      </c>
      <c r="M18" s="57">
        <f t="shared" si="2"/>
        <v>-1606.6125494849223</v>
      </c>
      <c r="N18" s="44">
        <f t="shared" si="7"/>
        <v>-1680</v>
      </c>
      <c r="O18" s="51">
        <f xml:space="preserve"> SUM($M$15:M17) + N18*((1+$C$6)^(-B18))</f>
        <v>-50168.112464552018</v>
      </c>
      <c r="P18" s="51">
        <f t="shared" si="3"/>
        <v>-1148458.3310757102</v>
      </c>
      <c r="Q18" s="54">
        <f t="shared" si="9"/>
        <v>212057.83645484579</v>
      </c>
      <c r="R18" s="54">
        <f t="shared" si="8"/>
        <v>213737.83645484579</v>
      </c>
      <c r="S18" s="54">
        <f t="shared" si="4"/>
        <v>212057.83645484576</v>
      </c>
      <c r="T18" s="54">
        <f t="shared" si="5"/>
        <v>213737.83645484576</v>
      </c>
      <c r="U18" s="54"/>
      <c r="V18" s="63">
        <f t="shared" si="10"/>
        <v>-1680</v>
      </c>
      <c r="W18" s="63">
        <f t="shared" si="11"/>
        <v>-17226.874966135652</v>
      </c>
      <c r="X18" s="63" t="str">
        <f t="shared" si="12"/>
        <v>MIV &gt; MOC</v>
      </c>
      <c r="Y18" s="65">
        <f xml:space="preserve"> (SUM($D$15:D17) + H18)/B18</f>
        <v>0</v>
      </c>
      <c r="Z18" s="65">
        <f xml:space="preserve"> 'Growth &amp; yield data'!F20 - 'Growth &amp; yield data'!O19</f>
        <v>0</v>
      </c>
      <c r="AA18" s="117"/>
    </row>
    <row r="19" spans="1:27" x14ac:dyDescent="0.3">
      <c r="A19" s="31">
        <v>6</v>
      </c>
      <c r="B19" s="31">
        <v>4</v>
      </c>
      <c r="C19" s="43">
        <f xml:space="preserve"> 'Growth &amp; yield data'!G20</f>
        <v>0</v>
      </c>
      <c r="D19" s="43">
        <f xml:space="preserve"> 'Growth &amp; yield data'!J20</f>
        <v>0</v>
      </c>
      <c r="E19" s="43">
        <v>0</v>
      </c>
      <c r="F19" s="43">
        <f t="shared" si="0"/>
        <v>0</v>
      </c>
      <c r="G19" s="44">
        <f xml:space="preserve"> 'Growth &amp; yield data'!C20</f>
        <v>0</v>
      </c>
      <c r="H19" s="44">
        <f xml:space="preserve"> 'Growth &amp; yield data'!F20</f>
        <v>0</v>
      </c>
      <c r="I19" s="44">
        <v>0</v>
      </c>
      <c r="J19" s="44">
        <f t="shared" si="1"/>
        <v>0</v>
      </c>
      <c r="K19" s="43">
        <f xml:space="preserve"> ('Establishment costs'!$G$12)/5 + ('Establishment costs'!$G$22 + 'Establishment costs'!$G$23)/5</f>
        <v>1680</v>
      </c>
      <c r="L19" s="43">
        <f t="shared" si="6"/>
        <v>-1680</v>
      </c>
      <c r="M19" s="57">
        <f t="shared" si="2"/>
        <v>-1582.8695068816971</v>
      </c>
      <c r="N19" s="44">
        <f t="shared" si="7"/>
        <v>-1680</v>
      </c>
      <c r="O19" s="51">
        <f xml:space="preserve"> SUM($M$15:M18) + N19*((1+$C$6)^(-B19))</f>
        <v>-51750.981971433714</v>
      </c>
      <c r="P19" s="51">
        <f t="shared" si="3"/>
        <v>-895101.49615029315</v>
      </c>
      <c r="Q19" s="54">
        <f t="shared" si="9"/>
        <v>216943.90400166844</v>
      </c>
      <c r="R19" s="54">
        <f t="shared" si="8"/>
        <v>218623.90400166844</v>
      </c>
      <c r="S19" s="54">
        <f t="shared" si="4"/>
        <v>216943.90400166842</v>
      </c>
      <c r="T19" s="54">
        <f t="shared" si="5"/>
        <v>218623.90400166842</v>
      </c>
      <c r="U19" s="54"/>
      <c r="V19" s="63">
        <f t="shared" si="10"/>
        <v>-1680</v>
      </c>
      <c r="W19" s="63">
        <f t="shared" si="11"/>
        <v>-13426.522442254396</v>
      </c>
      <c r="X19" s="63" t="str">
        <f t="shared" si="12"/>
        <v>MIV &gt; MOC</v>
      </c>
      <c r="Y19" s="65">
        <f xml:space="preserve"> (SUM($D$15:D18) + H19)/B19</f>
        <v>0</v>
      </c>
      <c r="Z19" s="65">
        <f xml:space="preserve"> 'Growth &amp; yield data'!F21 - 'Growth &amp; yield data'!O20</f>
        <v>0</v>
      </c>
      <c r="AA19" s="117"/>
    </row>
    <row r="20" spans="1:27" x14ac:dyDescent="0.3">
      <c r="A20" s="31">
        <v>7</v>
      </c>
      <c r="B20" s="31">
        <v>5</v>
      </c>
      <c r="C20" s="43">
        <f xml:space="preserve"> 'Growth &amp; yield data'!G21</f>
        <v>0</v>
      </c>
      <c r="D20" s="43">
        <f xml:space="preserve"> 'Growth &amp; yield data'!J21</f>
        <v>0</v>
      </c>
      <c r="E20" s="43">
        <v>0</v>
      </c>
      <c r="F20" s="43">
        <f t="shared" si="0"/>
        <v>0</v>
      </c>
      <c r="G20" s="44">
        <f xml:space="preserve"> 'Growth &amp; yield data'!C21</f>
        <v>0</v>
      </c>
      <c r="H20" s="44">
        <f xml:space="preserve"> 'Growth &amp; yield data'!F21</f>
        <v>0</v>
      </c>
      <c r="I20" s="44">
        <v>0</v>
      </c>
      <c r="J20" s="44">
        <f t="shared" si="1"/>
        <v>0</v>
      </c>
      <c r="K20" s="43">
        <f xml:space="preserve"> ('Establishment costs'!$G$12)/5 + ('Establishment costs'!$G$22 + 'Establishment costs'!$G$23)/5</f>
        <v>1680</v>
      </c>
      <c r="L20" s="43">
        <f t="shared" si="6"/>
        <v>-1680</v>
      </c>
      <c r="M20" s="57">
        <f t="shared" si="2"/>
        <v>-1559.4773466814752</v>
      </c>
      <c r="N20" s="44">
        <f t="shared" si="7"/>
        <v>-1680</v>
      </c>
      <c r="O20" s="51">
        <f xml:space="preserve"> SUM($M$15:M19) + N20*((1+$C$6)^(-B20))</f>
        <v>-53310.459318115187</v>
      </c>
      <c r="P20" s="51">
        <f t="shared" si="3"/>
        <v>-743109.85684769612</v>
      </c>
      <c r="Q20" s="54">
        <f t="shared" si="9"/>
        <v>221903.26256169344</v>
      </c>
      <c r="R20" s="54">
        <f t="shared" si="8"/>
        <v>223583.26256169344</v>
      </c>
      <c r="S20" s="54">
        <f t="shared" si="4"/>
        <v>221903.26256169341</v>
      </c>
      <c r="T20" s="54">
        <f t="shared" si="5"/>
        <v>223583.26256169341</v>
      </c>
      <c r="U20" s="54"/>
      <c r="V20" s="63">
        <f t="shared" si="10"/>
        <v>-1680</v>
      </c>
      <c r="W20" s="63">
        <f t="shared" si="11"/>
        <v>-11146.647852715441</v>
      </c>
      <c r="X20" s="63" t="str">
        <f t="shared" si="12"/>
        <v>MIV &gt; MOC</v>
      </c>
      <c r="Y20" s="65">
        <f xml:space="preserve"> (SUM($D$15:D19) + H20)/B20</f>
        <v>0</v>
      </c>
      <c r="Z20" s="65">
        <f xml:space="preserve"> 'Growth &amp; yield data'!F22 - 'Growth &amp; yield data'!O21</f>
        <v>0</v>
      </c>
      <c r="AA20" s="117"/>
    </row>
    <row r="21" spans="1:27" x14ac:dyDescent="0.3">
      <c r="A21" s="31">
        <v>8</v>
      </c>
      <c r="B21" s="31">
        <v>6</v>
      </c>
      <c r="C21" s="43">
        <f xml:space="preserve"> 'Growth &amp; yield data'!G22</f>
        <v>0</v>
      </c>
      <c r="D21" s="43">
        <f xml:space="preserve"> 'Growth &amp; yield data'!J22</f>
        <v>0</v>
      </c>
      <c r="E21" s="43">
        <v>0</v>
      </c>
      <c r="F21" s="43">
        <f t="shared" si="0"/>
        <v>0</v>
      </c>
      <c r="G21" s="44">
        <f xml:space="preserve"> 'Growth &amp; yield data'!C22</f>
        <v>0</v>
      </c>
      <c r="H21" s="44">
        <f xml:space="preserve"> 'Growth &amp; yield data'!F22</f>
        <v>0</v>
      </c>
      <c r="I21" s="44">
        <v>0</v>
      </c>
      <c r="J21" s="44">
        <f t="shared" si="1"/>
        <v>0</v>
      </c>
      <c r="K21" s="43">
        <f xml:space="preserve"> ('Establishment costs'!$H$12)/2</f>
        <v>400</v>
      </c>
      <c r="L21" s="43">
        <f t="shared" si="6"/>
        <v>-400</v>
      </c>
      <c r="M21" s="57">
        <f t="shared" si="2"/>
        <v>-365.81687700714883</v>
      </c>
      <c r="N21" s="44">
        <f t="shared" si="7"/>
        <v>-400</v>
      </c>
      <c r="O21" s="51">
        <f xml:space="preserve"> SUM($M$15:M20) + N21*((1+$C$6)^(-B21))</f>
        <v>-53676.276195122337</v>
      </c>
      <c r="P21" s="51">
        <f t="shared" si="3"/>
        <v>-628102.65997460589</v>
      </c>
      <c r="Q21" s="54">
        <f t="shared" si="9"/>
        <v>226937.01150011882</v>
      </c>
      <c r="R21" s="54">
        <f t="shared" si="8"/>
        <v>227337.01150011882</v>
      </c>
      <c r="S21" s="54">
        <f t="shared" si="4"/>
        <v>226937.01150011877</v>
      </c>
      <c r="T21" s="54">
        <f t="shared" si="5"/>
        <v>227337.01150011877</v>
      </c>
      <c r="U21" s="54"/>
      <c r="V21" s="63">
        <f t="shared" si="10"/>
        <v>-400</v>
      </c>
      <c r="W21" s="63">
        <f t="shared" si="11"/>
        <v>-9421.5398996190888</v>
      </c>
      <c r="X21" s="63" t="str">
        <f t="shared" si="12"/>
        <v>MIV &gt; MOC</v>
      </c>
      <c r="Y21" s="65">
        <f xml:space="preserve"> (SUM($D$15:D20) + H21)/B21</f>
        <v>0</v>
      </c>
      <c r="Z21" s="65">
        <f xml:space="preserve"> 'Growth &amp; yield data'!F23 - 'Growth &amp; yield data'!O22</f>
        <v>0</v>
      </c>
      <c r="AA21" s="117"/>
    </row>
    <row r="22" spans="1:27" x14ac:dyDescent="0.3">
      <c r="A22" s="31">
        <v>9</v>
      </c>
      <c r="B22" s="31">
        <v>7</v>
      </c>
      <c r="C22" s="43">
        <f xml:space="preserve"> 'Growth &amp; yield data'!G23</f>
        <v>0</v>
      </c>
      <c r="D22" s="43">
        <f xml:space="preserve"> 'Growth &amp; yield data'!J23</f>
        <v>0</v>
      </c>
      <c r="E22" s="43">
        <v>0</v>
      </c>
      <c r="F22" s="43">
        <f t="shared" si="0"/>
        <v>0</v>
      </c>
      <c r="G22" s="44">
        <f xml:space="preserve"> 'Growth &amp; yield data'!C23</f>
        <v>0</v>
      </c>
      <c r="H22" s="44">
        <f xml:space="preserve"> 'Growth &amp; yield data'!F23</f>
        <v>0</v>
      </c>
      <c r="I22" s="44">
        <v>0</v>
      </c>
      <c r="J22" s="44">
        <f t="shared" si="1"/>
        <v>0</v>
      </c>
      <c r="K22" s="43">
        <f xml:space="preserve"> ('Establishment costs'!$H$12)/2</f>
        <v>400</v>
      </c>
      <c r="L22" s="43">
        <f t="shared" si="6"/>
        <v>-400</v>
      </c>
      <c r="M22" s="57">
        <f t="shared" si="2"/>
        <v>-360.41071626320087</v>
      </c>
      <c r="N22" s="44">
        <f t="shared" si="7"/>
        <v>-400</v>
      </c>
      <c r="O22" s="51">
        <f xml:space="preserve"> SUM($M$15:M21) + N22*((1+$C$6)^(-B22))</f>
        <v>-54036.686911385535</v>
      </c>
      <c r="P22" s="51">
        <f t="shared" si="3"/>
        <v>-545972.86751270236</v>
      </c>
      <c r="Q22" s="54">
        <f t="shared" si="9"/>
        <v>230747.0666726206</v>
      </c>
      <c r="R22" s="54">
        <f t="shared" si="8"/>
        <v>231147.0666726206</v>
      </c>
      <c r="S22" s="54">
        <f t="shared" si="4"/>
        <v>230747.06667262051</v>
      </c>
      <c r="T22" s="54">
        <f t="shared" si="5"/>
        <v>231147.06667262051</v>
      </c>
      <c r="U22" s="54"/>
      <c r="V22" s="63">
        <f t="shared" si="10"/>
        <v>-400</v>
      </c>
      <c r="W22" s="63">
        <f t="shared" si="11"/>
        <v>-8189.593012690535</v>
      </c>
      <c r="X22" s="63" t="str">
        <f t="shared" si="12"/>
        <v>MIV &gt; MOC</v>
      </c>
      <c r="Y22" s="65">
        <f xml:space="preserve"> (SUM($D$15:D21) + H22)/B22</f>
        <v>0</v>
      </c>
      <c r="Z22" s="65">
        <f xml:space="preserve"> 'Growth &amp; yield data'!F24 - 'Growth &amp; yield data'!O23</f>
        <v>0</v>
      </c>
      <c r="AA22" s="117"/>
    </row>
    <row r="23" spans="1:27" x14ac:dyDescent="0.3">
      <c r="A23" s="31">
        <v>10</v>
      </c>
      <c r="B23" s="31">
        <v>8</v>
      </c>
      <c r="C23" s="43">
        <f xml:space="preserve"> 'Growth &amp; yield data'!G24</f>
        <v>0</v>
      </c>
      <c r="D23" s="43">
        <f xml:space="preserve"> 'Growth &amp; yield data'!J24</f>
        <v>0</v>
      </c>
      <c r="E23" s="43">
        <v>0</v>
      </c>
      <c r="F23" s="43">
        <f t="shared" si="0"/>
        <v>0</v>
      </c>
      <c r="G23" s="44">
        <f xml:space="preserve"> 'Growth &amp; yield data'!C24</f>
        <v>0</v>
      </c>
      <c r="H23" s="44">
        <f xml:space="preserve"> 'Growth &amp; yield data'!F24</f>
        <v>0</v>
      </c>
      <c r="I23" s="44">
        <v>0</v>
      </c>
      <c r="J23" s="44">
        <f t="shared" si="1"/>
        <v>0</v>
      </c>
      <c r="K23" s="43">
        <f xml:space="preserve"> 'Establishment costs'!H13</f>
        <v>3000</v>
      </c>
      <c r="L23" s="43">
        <f t="shared" si="6"/>
        <v>-3000</v>
      </c>
      <c r="M23" s="57">
        <f t="shared" si="2"/>
        <v>-2663.1333714029624</v>
      </c>
      <c r="N23" s="44">
        <f t="shared" si="7"/>
        <v>-3000</v>
      </c>
      <c r="O23" s="51">
        <f xml:space="preserve"> SUM($M$15:M22) + N23*((1+$C$6)^(-B23))</f>
        <v>-56699.820282788496</v>
      </c>
      <c r="P23" s="51">
        <f t="shared" si="3"/>
        <v>-504946.01248210837</v>
      </c>
      <c r="Q23" s="54">
        <f t="shared" si="9"/>
        <v>234614.27267270989</v>
      </c>
      <c r="R23" s="54">
        <f t="shared" si="8"/>
        <v>237614.27267270989</v>
      </c>
      <c r="S23" s="54">
        <f t="shared" si="4"/>
        <v>234614.27267270978</v>
      </c>
      <c r="T23" s="54">
        <f t="shared" si="5"/>
        <v>237614.27267270978</v>
      </c>
      <c r="U23" s="54"/>
      <c r="V23" s="63">
        <f t="shared" si="10"/>
        <v>-3000</v>
      </c>
      <c r="W23" s="63">
        <f t="shared" si="11"/>
        <v>-7574.1901872316257</v>
      </c>
      <c r="X23" s="63" t="str">
        <f t="shared" si="12"/>
        <v>MIV &gt; MOC</v>
      </c>
      <c r="Y23" s="65">
        <f xml:space="preserve"> (SUM($D$15:D22) + H23)/B23</f>
        <v>0</v>
      </c>
      <c r="Z23" s="65">
        <f xml:space="preserve"> 'Growth &amp; yield data'!F25 - 'Growth &amp; yield data'!O24</f>
        <v>0</v>
      </c>
      <c r="AA23" s="117"/>
    </row>
    <row r="24" spans="1:27" x14ac:dyDescent="0.3">
      <c r="A24" s="31">
        <v>11</v>
      </c>
      <c r="B24" s="31">
        <v>9</v>
      </c>
      <c r="C24" s="43">
        <f xml:space="preserve"> 'Growth &amp; yield data'!G25</f>
        <v>0</v>
      </c>
      <c r="D24" s="43">
        <f xml:space="preserve"> 'Growth &amp; yield data'!J25</f>
        <v>0</v>
      </c>
      <c r="E24" s="43">
        <v>0</v>
      </c>
      <c r="F24" s="43">
        <f t="shared" si="0"/>
        <v>0</v>
      </c>
      <c r="G24" s="44">
        <f xml:space="preserve"> 'Growth &amp; yield data'!C25</f>
        <v>0</v>
      </c>
      <c r="H24" s="44">
        <f xml:space="preserve"> 'Growth &amp; yield data'!F25</f>
        <v>0</v>
      </c>
      <c r="I24" s="44">
        <v>0</v>
      </c>
      <c r="J24" s="44">
        <f t="shared" si="1"/>
        <v>0</v>
      </c>
      <c r="K24" s="43">
        <v>0</v>
      </c>
      <c r="L24" s="43">
        <f t="shared" si="6"/>
        <v>0</v>
      </c>
      <c r="M24" s="57">
        <f t="shared" si="2"/>
        <v>0</v>
      </c>
      <c r="N24" s="44">
        <f t="shared" si="7"/>
        <v>0</v>
      </c>
      <c r="O24" s="51">
        <f xml:space="preserve"> SUM($M$15:M23) + N24*((1+$C$6)^(-B24))</f>
        <v>-56699.820282788496</v>
      </c>
      <c r="P24" s="51">
        <f t="shared" si="3"/>
        <v>-452123.69930151693</v>
      </c>
      <c r="Q24" s="54">
        <f t="shared" si="9"/>
        <v>241178.48676280052</v>
      </c>
      <c r="R24" s="54">
        <f t="shared" si="8"/>
        <v>241178.48676280052</v>
      </c>
      <c r="S24" s="54">
        <f t="shared" si="4"/>
        <v>241178.4867628004</v>
      </c>
      <c r="T24" s="54">
        <f t="shared" si="5"/>
        <v>241178.4867628004</v>
      </c>
      <c r="U24" s="54"/>
      <c r="V24" s="63">
        <f t="shared" si="10"/>
        <v>0</v>
      </c>
      <c r="W24" s="63">
        <f t="shared" si="11"/>
        <v>-6781.8554895227535</v>
      </c>
      <c r="X24" s="63" t="str">
        <f t="shared" si="12"/>
        <v>MIV &gt; MOC</v>
      </c>
      <c r="Y24" s="65">
        <f xml:space="preserve"> (SUM($D$15:D23) + H24)/B24</f>
        <v>0</v>
      </c>
      <c r="Z24" s="65">
        <f xml:space="preserve"> 'Growth &amp; yield data'!F26 - 'Growth &amp; yield data'!O25</f>
        <v>0</v>
      </c>
      <c r="AA24" s="117"/>
    </row>
    <row r="25" spans="1:27" x14ac:dyDescent="0.3">
      <c r="A25" s="31">
        <v>12</v>
      </c>
      <c r="B25" s="31">
        <v>10</v>
      </c>
      <c r="C25" s="43">
        <f xml:space="preserve"> 'Growth &amp; yield data'!G26</f>
        <v>0</v>
      </c>
      <c r="D25" s="43">
        <f xml:space="preserve"> 'Growth &amp; yield data'!J26</f>
        <v>0</v>
      </c>
      <c r="E25" s="43">
        <v>0</v>
      </c>
      <c r="F25" s="43">
        <f t="shared" si="0"/>
        <v>0</v>
      </c>
      <c r="G25" s="44">
        <f xml:space="preserve"> 'Growth &amp; yield data'!C26</f>
        <v>0</v>
      </c>
      <c r="H25" s="44">
        <f xml:space="preserve"> 'Growth &amp; yield data'!F26</f>
        <v>0</v>
      </c>
      <c r="I25" s="44">
        <v>0</v>
      </c>
      <c r="J25" s="44">
        <f t="shared" si="1"/>
        <v>0</v>
      </c>
      <c r="K25" s="43">
        <f xml:space="preserve"> 'Establishment costs'!H25</f>
        <v>6000</v>
      </c>
      <c r="L25" s="43">
        <f t="shared" si="6"/>
        <v>-6000</v>
      </c>
      <c r="M25" s="57">
        <f t="shared" si="2"/>
        <v>-5170.0033903331077</v>
      </c>
      <c r="N25" s="44">
        <f t="shared" si="7"/>
        <v>-6000</v>
      </c>
      <c r="O25" s="51">
        <f xml:space="preserve"> SUM($M$15:M24) + N25*((1+$C$6)^(-B25))</f>
        <v>-61869.823673121602</v>
      </c>
      <c r="P25" s="51">
        <f t="shared" si="3"/>
        <v>-447253.56430999551</v>
      </c>
      <c r="Q25" s="54">
        <f t="shared" si="9"/>
        <v>244796.1640642425</v>
      </c>
      <c r="R25" s="54">
        <f t="shared" si="8"/>
        <v>250796.1640642425</v>
      </c>
      <c r="S25" s="54">
        <f t="shared" si="4"/>
        <v>244796.16406424239</v>
      </c>
      <c r="T25" s="54">
        <f t="shared" si="5"/>
        <v>250796.16406424239</v>
      </c>
      <c r="U25" s="54"/>
      <c r="V25" s="63">
        <f t="shared" si="10"/>
        <v>-6000</v>
      </c>
      <c r="W25" s="63">
        <f t="shared" si="11"/>
        <v>-6708.8034646499327</v>
      </c>
      <c r="X25" s="63" t="str">
        <f t="shared" si="12"/>
        <v>MIV &gt; MOC</v>
      </c>
      <c r="Y25" s="65">
        <f xml:space="preserve"> (SUM($D$15:D24) + H25)/B25</f>
        <v>0</v>
      </c>
      <c r="Z25" s="65">
        <f xml:space="preserve"> 'Growth &amp; yield data'!F27 - 'Growth &amp; yield data'!O26</f>
        <v>0</v>
      </c>
      <c r="AA25" s="117"/>
    </row>
    <row r="26" spans="1:27" x14ac:dyDescent="0.3">
      <c r="A26" s="31">
        <v>13</v>
      </c>
      <c r="B26" s="31">
        <v>11</v>
      </c>
      <c r="C26" s="43">
        <f xml:space="preserve"> 'Growth &amp; yield data'!G27</f>
        <v>0</v>
      </c>
      <c r="D26" s="43">
        <f xml:space="preserve"> 'Growth &amp; yield data'!J27</f>
        <v>0</v>
      </c>
      <c r="E26" s="43">
        <v>0</v>
      </c>
      <c r="F26" s="43">
        <f t="shared" si="0"/>
        <v>0</v>
      </c>
      <c r="G26" s="44">
        <f xml:space="preserve"> 'Growth &amp; yield data'!C27</f>
        <v>0</v>
      </c>
      <c r="H26" s="44">
        <f xml:space="preserve"> 'Growth &amp; yield data'!F27</f>
        <v>0</v>
      </c>
      <c r="I26" s="44">
        <v>0</v>
      </c>
      <c r="J26" s="44">
        <f t="shared" si="1"/>
        <v>0</v>
      </c>
      <c r="K26" s="43">
        <v>0</v>
      </c>
      <c r="L26" s="43">
        <f t="shared" si="6"/>
        <v>0</v>
      </c>
      <c r="M26" s="57">
        <f t="shared" si="2"/>
        <v>0</v>
      </c>
      <c r="N26" s="44">
        <f t="shared" si="7"/>
        <v>0</v>
      </c>
      <c r="O26" s="51">
        <f xml:space="preserve"> SUM($M$15:M25) + N26*((1+$C$6)^(-B26))</f>
        <v>-61869.823673121602</v>
      </c>
      <c r="P26" s="51">
        <f t="shared" si="3"/>
        <v>-409552.84205420711</v>
      </c>
      <c r="Q26" s="54">
        <f t="shared" si="9"/>
        <v>254558.10652520612</v>
      </c>
      <c r="R26" s="54">
        <f t="shared" si="8"/>
        <v>254558.10652520612</v>
      </c>
      <c r="S26" s="54">
        <f t="shared" si="4"/>
        <v>254558.10652520598</v>
      </c>
      <c r="T26" s="54">
        <f t="shared" si="5"/>
        <v>254558.10652520598</v>
      </c>
      <c r="U26" s="54"/>
      <c r="V26" s="63">
        <f t="shared" si="10"/>
        <v>0</v>
      </c>
      <c r="W26" s="63">
        <f t="shared" si="11"/>
        <v>-6143.2926308131064</v>
      </c>
      <c r="X26" s="63" t="str">
        <f t="shared" si="12"/>
        <v>MIV &gt; MOC</v>
      </c>
      <c r="Y26" s="65">
        <f xml:space="preserve"> (SUM($D$15:D25) + H26)/B26</f>
        <v>0</v>
      </c>
      <c r="Z26" s="65">
        <f xml:space="preserve"> 'Growth &amp; yield data'!F28 - 'Growth &amp; yield data'!O27</f>
        <v>0</v>
      </c>
      <c r="AA26" s="117"/>
    </row>
    <row r="27" spans="1:27" x14ac:dyDescent="0.3">
      <c r="A27" s="31">
        <v>14</v>
      </c>
      <c r="B27" s="31">
        <v>12</v>
      </c>
      <c r="C27" s="43">
        <f xml:space="preserve"> 'Growth &amp; yield data'!G28</f>
        <v>0</v>
      </c>
      <c r="D27" s="43">
        <f xml:space="preserve"> 'Growth &amp; yield data'!J28</f>
        <v>0</v>
      </c>
      <c r="E27" s="43">
        <v>0</v>
      </c>
      <c r="F27" s="43">
        <f t="shared" si="0"/>
        <v>0</v>
      </c>
      <c r="G27" s="44">
        <f xml:space="preserve"> 'Growth &amp; yield data'!C28</f>
        <v>0</v>
      </c>
      <c r="H27" s="44">
        <f xml:space="preserve"> 'Growth &amp; yield data'!F28</f>
        <v>0</v>
      </c>
      <c r="I27" s="44">
        <v>0</v>
      </c>
      <c r="J27" s="44">
        <f t="shared" si="1"/>
        <v>0</v>
      </c>
      <c r="K27" s="43">
        <v>0</v>
      </c>
      <c r="L27" s="43">
        <f t="shared" si="6"/>
        <v>0</v>
      </c>
      <c r="M27" s="57">
        <f t="shared" si="2"/>
        <v>0</v>
      </c>
      <c r="N27" s="44">
        <f t="shared" si="7"/>
        <v>0</v>
      </c>
      <c r="O27" s="51">
        <f xml:space="preserve"> SUM($M$15:M26) + N27*((1+$C$6)^(-B27))</f>
        <v>-61869.823673121602</v>
      </c>
      <c r="P27" s="51">
        <f t="shared" si="3"/>
        <v>-378148.33303076494</v>
      </c>
      <c r="Q27" s="54">
        <f t="shared" si="9"/>
        <v>258376.47812308418</v>
      </c>
      <c r="R27" s="54">
        <f t="shared" si="8"/>
        <v>258376.47812308418</v>
      </c>
      <c r="S27" s="54">
        <f t="shared" si="4"/>
        <v>258376.47812308403</v>
      </c>
      <c r="T27" s="54">
        <f t="shared" si="5"/>
        <v>258376.47812308403</v>
      </c>
      <c r="U27" s="54"/>
      <c r="V27" s="63">
        <f t="shared" si="10"/>
        <v>0</v>
      </c>
      <c r="W27" s="63">
        <f t="shared" si="11"/>
        <v>-5672.2249954614736</v>
      </c>
      <c r="X27" s="63" t="str">
        <f t="shared" si="12"/>
        <v>MIV &gt; MOC</v>
      </c>
      <c r="Y27" s="65">
        <f xml:space="preserve"> (SUM($D$15:D26) + H27)/B27</f>
        <v>0</v>
      </c>
      <c r="Z27" s="65">
        <f xml:space="preserve"> 'Growth &amp; yield data'!F29 - 'Growth &amp; yield data'!O28</f>
        <v>0</v>
      </c>
      <c r="AA27" s="117"/>
    </row>
    <row r="28" spans="1:27" x14ac:dyDescent="0.3">
      <c r="A28" s="31">
        <v>15</v>
      </c>
      <c r="B28" s="31">
        <v>13</v>
      </c>
      <c r="C28" s="43">
        <f xml:space="preserve"> 'Growth &amp; yield data'!G29</f>
        <v>0</v>
      </c>
      <c r="D28" s="43">
        <f xml:space="preserve"> 'Growth &amp; yield data'!J29</f>
        <v>0</v>
      </c>
      <c r="E28" s="43">
        <v>0</v>
      </c>
      <c r="F28" s="43">
        <f t="shared" si="0"/>
        <v>0</v>
      </c>
      <c r="G28" s="44">
        <f xml:space="preserve"> 'Growth &amp; yield data'!C29</f>
        <v>0</v>
      </c>
      <c r="H28" s="44">
        <f xml:space="preserve"> 'Growth &amp; yield data'!F29</f>
        <v>0</v>
      </c>
      <c r="I28" s="44">
        <v>0</v>
      </c>
      <c r="J28" s="44">
        <f t="shared" si="1"/>
        <v>0</v>
      </c>
      <c r="K28" s="43">
        <v>0</v>
      </c>
      <c r="L28" s="43">
        <f t="shared" si="6"/>
        <v>0</v>
      </c>
      <c r="M28" s="57">
        <f t="shared" si="2"/>
        <v>0</v>
      </c>
      <c r="N28" s="44">
        <f t="shared" si="7"/>
        <v>0</v>
      </c>
      <c r="O28" s="51">
        <f xml:space="preserve"> SUM($M$15:M27) + N28*((1+$C$6)^(-B28))</f>
        <v>-61869.823673121602</v>
      </c>
      <c r="P28" s="51">
        <f t="shared" si="3"/>
        <v>-351587.05895528389</v>
      </c>
      <c r="Q28" s="54">
        <f t="shared" si="9"/>
        <v>262252.12529493042</v>
      </c>
      <c r="R28" s="54">
        <f t="shared" si="8"/>
        <v>262252.12529493042</v>
      </c>
      <c r="S28" s="54">
        <f t="shared" si="4"/>
        <v>262252.12529493024</v>
      </c>
      <c r="T28" s="54">
        <f t="shared" si="5"/>
        <v>262252.12529493024</v>
      </c>
      <c r="U28" s="54"/>
      <c r="V28" s="63">
        <f t="shared" si="10"/>
        <v>6533.8950554104449</v>
      </c>
      <c r="W28" s="63">
        <f t="shared" si="11"/>
        <v>-5273.8058843292583</v>
      </c>
      <c r="X28" s="63" t="str">
        <f t="shared" si="12"/>
        <v>MIV &gt; MOC</v>
      </c>
      <c r="Y28" s="65">
        <f xml:space="preserve"> (SUM($D$15:D27) + H28)/B28</f>
        <v>0</v>
      </c>
      <c r="Z28" s="65">
        <f xml:space="preserve"> 'Growth &amp; yield data'!F30 - 'Growth &amp; yield data'!O29</f>
        <v>17</v>
      </c>
      <c r="AA28" s="117"/>
    </row>
    <row r="29" spans="1:27" x14ac:dyDescent="0.3">
      <c r="A29" s="31">
        <v>16</v>
      </c>
      <c r="B29" s="31">
        <v>14</v>
      </c>
      <c r="C29" s="43">
        <f xml:space="preserve"> 'Growth &amp; yield data'!G30</f>
        <v>3.2</v>
      </c>
      <c r="D29" s="43">
        <f xml:space="preserve"> 'Growth &amp; yield data'!J30</f>
        <v>0</v>
      </c>
      <c r="E29" s="43">
        <f xml:space="preserve">  $F$10*(C29^4) + $F$9*(C29^3) + $F$8*(C29^2) + $F$7*C29 + $F$6</f>
        <v>390.97493537279996</v>
      </c>
      <c r="F29" s="43">
        <f t="shared" si="0"/>
        <v>0</v>
      </c>
      <c r="G29" s="44">
        <f xml:space="preserve"> 'Growth &amp; yield data'!C30</f>
        <v>3.6</v>
      </c>
      <c r="H29" s="44">
        <f xml:space="preserve"> 'Growth &amp; yield data'!F30</f>
        <v>17</v>
      </c>
      <c r="I29" s="43">
        <f t="shared" ref="I29:I60" si="13" xml:space="preserve">  $F$10*(G29^4) + $F$9*(G29^3) + $F$8*(G29^2) + $F$7*G29 + $F$6</f>
        <v>390.1119694848</v>
      </c>
      <c r="J29" s="44">
        <f xml:space="preserve"> I29*H29</f>
        <v>6631.9034812416003</v>
      </c>
      <c r="K29" s="43">
        <v>0</v>
      </c>
      <c r="L29" s="43">
        <f t="shared" si="6"/>
        <v>0</v>
      </c>
      <c r="M29" s="57">
        <f t="shared" si="2"/>
        <v>0</v>
      </c>
      <c r="N29" s="44">
        <f t="shared" si="7"/>
        <v>6631.9034812416003</v>
      </c>
      <c r="O29" s="51">
        <f xml:space="preserve"> SUM($M$15:M28) + N29*((1+$C$6)^(-B29))</f>
        <v>-56485.717623535573</v>
      </c>
      <c r="P29" s="51">
        <f t="shared" si="3"/>
        <v>-300215.25757664727</v>
      </c>
      <c r="Q29" s="54">
        <f t="shared" si="9"/>
        <v>266185.90717435436</v>
      </c>
      <c r="R29" s="54">
        <f t="shared" si="8"/>
        <v>266185.90717435436</v>
      </c>
      <c r="S29" s="54">
        <f t="shared" si="4"/>
        <v>266185.90717435419</v>
      </c>
      <c r="T29" s="54">
        <f t="shared" si="5"/>
        <v>266185.90717435419</v>
      </c>
      <c r="U29" s="54"/>
      <c r="V29" s="63">
        <f t="shared" si="10"/>
        <v>2436.1994435868169</v>
      </c>
      <c r="W29" s="63">
        <f t="shared" si="11"/>
        <v>-4403.7503114310848</v>
      </c>
      <c r="X29" s="63" t="str">
        <f t="shared" si="12"/>
        <v>MIV &gt; MOC</v>
      </c>
      <c r="Y29" s="65">
        <f xml:space="preserve"> (SUM($D$15:D28) + H29)/B29</f>
        <v>1.2142857142857142</v>
      </c>
      <c r="Z29" s="65">
        <f xml:space="preserve"> 'Growth &amp; yield data'!F31 - 'Growth &amp; yield data'!O30</f>
        <v>6.3999999999999986</v>
      </c>
      <c r="AA29" s="117"/>
    </row>
    <row r="30" spans="1:27" x14ac:dyDescent="0.3">
      <c r="A30" s="31">
        <v>17</v>
      </c>
      <c r="B30" s="31">
        <v>15</v>
      </c>
      <c r="C30" s="43">
        <f xml:space="preserve"> 'Growth &amp; yield data'!G31</f>
        <v>0</v>
      </c>
      <c r="D30" s="43">
        <f xml:space="preserve"> 'Growth &amp; yield data'!J31</f>
        <v>0</v>
      </c>
      <c r="E30" s="43">
        <v>0</v>
      </c>
      <c r="F30" s="43">
        <f t="shared" si="0"/>
        <v>0</v>
      </c>
      <c r="G30" s="44">
        <f xml:space="preserve"> 'Growth &amp; yield data'!C31</f>
        <v>4.0999999999999996</v>
      </c>
      <c r="H30" s="44">
        <f xml:space="preserve"> 'Growth &amp; yield data'!F31</f>
        <v>23.4</v>
      </c>
      <c r="I30" s="43">
        <f t="shared" si="13"/>
        <v>389.0874323283</v>
      </c>
      <c r="J30" s="44">
        <f t="shared" ref="J30:J93" si="14" xml:space="preserve"> I30*H30</f>
        <v>9104.645916482219</v>
      </c>
      <c r="K30" s="43">
        <v>0</v>
      </c>
      <c r="L30" s="43">
        <f t="shared" si="6"/>
        <v>0</v>
      </c>
      <c r="M30" s="57">
        <f t="shared" si="2"/>
        <v>0</v>
      </c>
      <c r="N30" s="44">
        <f t="shared" si="7"/>
        <v>9104.645916482219</v>
      </c>
      <c r="O30" s="51">
        <f xml:space="preserve"> SUM($M$15:M29) + N30*((1+$C$6)^(-B30))</f>
        <v>-54587.458935152325</v>
      </c>
      <c r="P30" s="51">
        <f t="shared" si="3"/>
        <v>-272734.79578527412</v>
      </c>
      <c r="Q30" s="54">
        <f t="shared" si="9"/>
        <v>270178.69578196964</v>
      </c>
      <c r="R30" s="54">
        <f t="shared" si="8"/>
        <v>270178.69578196964</v>
      </c>
      <c r="S30" s="54">
        <f t="shared" si="4"/>
        <v>270178.69578196947</v>
      </c>
      <c r="T30" s="54">
        <f t="shared" si="5"/>
        <v>270178.69578196947</v>
      </c>
      <c r="U30" s="54"/>
      <c r="V30" s="63">
        <f t="shared" si="10"/>
        <v>2998.5979965612037</v>
      </c>
      <c r="W30" s="63">
        <f t="shared" si="11"/>
        <v>-3954.4522480318788</v>
      </c>
      <c r="X30" s="63" t="str">
        <f t="shared" si="12"/>
        <v>MIV &gt; MOC</v>
      </c>
      <c r="Y30" s="65">
        <f xml:space="preserve"> (SUM($D$15:D29) + H30)/B30</f>
        <v>1.5599999999999998</v>
      </c>
      <c r="Z30" s="65">
        <f xml:space="preserve"> 'Growth &amp; yield data'!F32 - 'Growth &amp; yield data'!O31</f>
        <v>7.9000000000000021</v>
      </c>
      <c r="AA30" s="117"/>
    </row>
    <row r="31" spans="1:27" x14ac:dyDescent="0.3">
      <c r="A31" s="31">
        <v>18</v>
      </c>
      <c r="B31" s="31">
        <v>16</v>
      </c>
      <c r="C31" s="43">
        <f xml:space="preserve"> 'Growth &amp; yield data'!G32</f>
        <v>0</v>
      </c>
      <c r="D31" s="43">
        <f xml:space="preserve"> 'Growth &amp; yield data'!J32</f>
        <v>0</v>
      </c>
      <c r="E31" s="43">
        <v>0</v>
      </c>
      <c r="F31" s="43">
        <f t="shared" si="0"/>
        <v>0</v>
      </c>
      <c r="G31" s="44">
        <f xml:space="preserve"> 'Growth &amp; yield data'!C32</f>
        <v>4.5999999999999996</v>
      </c>
      <c r="H31" s="44">
        <f xml:space="preserve"> 'Growth &amp; yield data'!F32</f>
        <v>31.3</v>
      </c>
      <c r="I31" s="43">
        <f t="shared" si="13"/>
        <v>388.1221368368</v>
      </c>
      <c r="J31" s="44">
        <f t="shared" si="14"/>
        <v>12148.22288299184</v>
      </c>
      <c r="K31" s="43">
        <v>0</v>
      </c>
      <c r="L31" s="43">
        <f t="shared" si="6"/>
        <v>0</v>
      </c>
      <c r="M31" s="57">
        <f t="shared" si="2"/>
        <v>0</v>
      </c>
      <c r="N31" s="44">
        <f t="shared" si="7"/>
        <v>12148.22288299184</v>
      </c>
      <c r="O31" s="51">
        <f xml:space="preserve"> SUM($M$15:M30) + N31*((1+$C$6)^(-B31))</f>
        <v>-52296.64696874639</v>
      </c>
      <c r="P31" s="51">
        <f t="shared" si="3"/>
        <v>-246718.41953171277</v>
      </c>
      <c r="Q31" s="54">
        <f t="shared" si="9"/>
        <v>274231.37621869915</v>
      </c>
      <c r="R31" s="54">
        <f t="shared" si="8"/>
        <v>274231.37621869915</v>
      </c>
      <c r="S31" s="54">
        <f t="shared" si="4"/>
        <v>274231.37621869898</v>
      </c>
      <c r="T31" s="54">
        <f t="shared" si="5"/>
        <v>274231.37621869898</v>
      </c>
      <c r="U31" s="54"/>
      <c r="V31" s="63">
        <f t="shared" si="10"/>
        <v>3551.0619105414003</v>
      </c>
      <c r="W31" s="63">
        <f t="shared" si="11"/>
        <v>-3518.5529497308139</v>
      </c>
      <c r="X31" s="63" t="str">
        <f t="shared" si="12"/>
        <v>MIV &gt; MOC</v>
      </c>
      <c r="Y31" s="65">
        <f xml:space="preserve"> (SUM($D$15:D30) + H31)/B31</f>
        <v>1.95625</v>
      </c>
      <c r="Z31" s="65">
        <f xml:space="preserve"> 'Growth &amp; yield data'!F33 - 'Growth &amp; yield data'!O32</f>
        <v>9.4000000000000021</v>
      </c>
      <c r="AA31" s="117"/>
    </row>
    <row r="32" spans="1:27" x14ac:dyDescent="0.3">
      <c r="A32" s="31">
        <v>19</v>
      </c>
      <c r="B32" s="31">
        <v>17</v>
      </c>
      <c r="C32" s="43">
        <f xml:space="preserve"> 'Growth &amp; yield data'!G33</f>
        <v>0</v>
      </c>
      <c r="D32" s="43">
        <f xml:space="preserve"> 'Growth &amp; yield data'!J33</f>
        <v>0</v>
      </c>
      <c r="E32" s="43">
        <v>0</v>
      </c>
      <c r="F32" s="43">
        <f t="shared" si="0"/>
        <v>0</v>
      </c>
      <c r="G32" s="44">
        <f xml:space="preserve"> 'Growth &amp; yield data'!C33</f>
        <v>5.2</v>
      </c>
      <c r="H32" s="44">
        <f xml:space="preserve"> 'Growth &amp; yield data'!F33</f>
        <v>40.700000000000003</v>
      </c>
      <c r="I32" s="43">
        <f t="shared" si="13"/>
        <v>387.0405582848</v>
      </c>
      <c r="J32" s="44">
        <f t="shared" si="14"/>
        <v>15752.550722191361</v>
      </c>
      <c r="K32" s="43">
        <v>0</v>
      </c>
      <c r="L32" s="43">
        <f t="shared" si="6"/>
        <v>0</v>
      </c>
      <c r="M32" s="57">
        <f t="shared" si="2"/>
        <v>0</v>
      </c>
      <c r="N32" s="44">
        <f t="shared" si="7"/>
        <v>15752.550722191361</v>
      </c>
      <c r="O32" s="51">
        <f xml:space="preserve"> SUM($M$15:M31) + N32*((1+$C$6)^(-B32))</f>
        <v>-49639.775478491385</v>
      </c>
      <c r="P32" s="51">
        <f t="shared" si="3"/>
        <v>-221987.94037616279</v>
      </c>
      <c r="Q32" s="54">
        <f t="shared" si="9"/>
        <v>278344.84686197963</v>
      </c>
      <c r="R32" s="54">
        <f t="shared" si="8"/>
        <v>278344.84686197963</v>
      </c>
      <c r="S32" s="54">
        <f t="shared" si="4"/>
        <v>278344.8468619794</v>
      </c>
      <c r="T32" s="54">
        <f t="shared" si="5"/>
        <v>278344.8468619794</v>
      </c>
      <c r="U32" s="54"/>
      <c r="V32" s="63">
        <f t="shared" si="10"/>
        <v>4151.8176160040884</v>
      </c>
      <c r="W32" s="63">
        <f t="shared" si="11"/>
        <v>-3093.5308448095711</v>
      </c>
      <c r="X32" s="63" t="str">
        <f t="shared" si="12"/>
        <v>MIV &gt; MOC</v>
      </c>
      <c r="Y32" s="65">
        <f xml:space="preserve"> (SUM($D$15:D31) + H32)/B32</f>
        <v>2.3941176470588239</v>
      </c>
      <c r="Z32" s="65">
        <f xml:space="preserve"> 'Growth &amp; yield data'!F34 - 'Growth &amp; yield data'!O33</f>
        <v>11</v>
      </c>
      <c r="AA32" s="117"/>
    </row>
    <row r="33" spans="1:27" x14ac:dyDescent="0.3">
      <c r="A33" s="31">
        <v>20</v>
      </c>
      <c r="B33" s="31">
        <v>18</v>
      </c>
      <c r="C33" s="43">
        <f xml:space="preserve"> 'Growth &amp; yield data'!G34</f>
        <v>0</v>
      </c>
      <c r="D33" s="43">
        <f xml:space="preserve"> 'Growth &amp; yield data'!J34</f>
        <v>0</v>
      </c>
      <c r="E33" s="43">
        <v>0</v>
      </c>
      <c r="F33" s="43">
        <f t="shared" si="0"/>
        <v>0</v>
      </c>
      <c r="G33" s="44">
        <f xml:space="preserve"> 'Growth &amp; yield data'!C34</f>
        <v>5.7</v>
      </c>
      <c r="H33" s="44">
        <f xml:space="preserve"> 'Growth &amp; yield data'!F34</f>
        <v>51.7</v>
      </c>
      <c r="I33" s="43">
        <f t="shared" si="13"/>
        <v>386.20204260029999</v>
      </c>
      <c r="J33" s="44">
        <f t="shared" si="14"/>
        <v>19966.64560243551</v>
      </c>
      <c r="K33" s="43">
        <v>0</v>
      </c>
      <c r="L33" s="43">
        <f t="shared" si="6"/>
        <v>0</v>
      </c>
      <c r="M33" s="57">
        <f t="shared" si="2"/>
        <v>0</v>
      </c>
      <c r="N33" s="44">
        <f t="shared" si="7"/>
        <v>19966.64560243551</v>
      </c>
      <c r="O33" s="51">
        <f xml:space="preserve"> SUM($M$15:M32) + N33*((1+$C$6)^(-B33))</f>
        <v>-46597.105105991504</v>
      </c>
      <c r="P33" s="51">
        <f t="shared" si="3"/>
        <v>-198210.98128557397</v>
      </c>
      <c r="Q33" s="54">
        <f t="shared" si="9"/>
        <v>282520.01956490928</v>
      </c>
      <c r="R33" s="54">
        <f t="shared" si="8"/>
        <v>282520.01956490928</v>
      </c>
      <c r="S33" s="54">
        <f t="shared" si="4"/>
        <v>282520.01956490905</v>
      </c>
      <c r="T33" s="54">
        <f t="shared" si="5"/>
        <v>282520.01956490905</v>
      </c>
      <c r="U33" s="54"/>
      <c r="V33" s="63">
        <f t="shared" si="10"/>
        <v>4744.6615205181542</v>
      </c>
      <c r="W33" s="63">
        <f t="shared" si="11"/>
        <v>-2673.665035247077</v>
      </c>
      <c r="X33" s="63" t="str">
        <f t="shared" si="12"/>
        <v>MIV &gt; MOC</v>
      </c>
      <c r="Y33" s="65">
        <f xml:space="preserve"> (SUM($D$15:D32) + H33)/B33</f>
        <v>2.8722222222222222</v>
      </c>
      <c r="Z33" s="65">
        <f xml:space="preserve"> 'Growth &amp; yield data'!F35 - 'Growth &amp; yield data'!O34</f>
        <v>12.599999999999994</v>
      </c>
      <c r="AA33" s="117"/>
    </row>
    <row r="34" spans="1:27" x14ac:dyDescent="0.3">
      <c r="A34" s="31">
        <v>21</v>
      </c>
      <c r="B34" s="31">
        <v>19</v>
      </c>
      <c r="C34" s="43">
        <f xml:space="preserve"> 'Growth &amp; yield data'!G35</f>
        <v>5.5</v>
      </c>
      <c r="D34" s="43">
        <f xml:space="preserve"> 'Growth &amp; yield data'!J35</f>
        <v>9.4</v>
      </c>
      <c r="E34" s="43">
        <f xml:space="preserve">  $F$10*(C34^4) + $F$9*(C34^3) + $F$8*(C34^2) + $F$7*C34 + $F$6</f>
        <v>386.53067018749999</v>
      </c>
      <c r="F34" s="43">
        <f t="shared" si="0"/>
        <v>3633.3882997625001</v>
      </c>
      <c r="G34" s="44">
        <f xml:space="preserve"> 'Growth &amp; yield data'!C35</f>
        <v>6.2</v>
      </c>
      <c r="H34" s="44">
        <f xml:space="preserve"> 'Growth &amp; yield data'!F35</f>
        <v>64.3</v>
      </c>
      <c r="I34" s="43">
        <f t="shared" si="13"/>
        <v>385.41954970079996</v>
      </c>
      <c r="J34" s="44">
        <f t="shared" si="14"/>
        <v>24782.477045761436</v>
      </c>
      <c r="K34" s="43">
        <v>0</v>
      </c>
      <c r="L34" s="43">
        <f t="shared" si="6"/>
        <v>3633.3882997625001</v>
      </c>
      <c r="M34" s="57">
        <f t="shared" si="2"/>
        <v>2738.1485804514368</v>
      </c>
      <c r="N34" s="44">
        <f t="shared" si="7"/>
        <v>24782.477045761436</v>
      </c>
      <c r="O34" s="51">
        <f xml:space="preserve"> SUM($M$15:M33) + N34*((1+$C$6)^(-B34))</f>
        <v>-43193.563734882242</v>
      </c>
      <c r="P34" s="51">
        <f t="shared" si="3"/>
        <v>-175303.8719284487</v>
      </c>
      <c r="Q34" s="54">
        <f t="shared" si="9"/>
        <v>286757.81985838286</v>
      </c>
      <c r="R34" s="54">
        <f t="shared" si="8"/>
        <v>283124.43155862036</v>
      </c>
      <c r="S34" s="54">
        <f t="shared" si="4"/>
        <v>286757.81985838263</v>
      </c>
      <c r="T34" s="54">
        <f t="shared" si="5"/>
        <v>283124.43155862013</v>
      </c>
      <c r="U34" s="54"/>
      <c r="V34" s="63">
        <f t="shared" si="10"/>
        <v>4790.8834555285721</v>
      </c>
      <c r="W34" s="63">
        <f t="shared" si="11"/>
        <v>-2257.8209232403087</v>
      </c>
      <c r="X34" s="63" t="str">
        <f t="shared" si="12"/>
        <v>MIV &gt; MOC</v>
      </c>
      <c r="Y34" s="65">
        <f xml:space="preserve"> (SUM($D$15:D33) + H34)/B34</f>
        <v>3.3842105263157891</v>
      </c>
      <c r="Z34" s="65">
        <f xml:space="preserve"> 'Growth &amp; yield data'!F36 - 'Growth &amp; yield data'!O35</f>
        <v>12.5</v>
      </c>
      <c r="AA34" s="117"/>
    </row>
    <row r="35" spans="1:27" x14ac:dyDescent="0.3">
      <c r="A35" s="31">
        <v>22</v>
      </c>
      <c r="B35" s="31">
        <v>20</v>
      </c>
      <c r="C35" s="43">
        <f xml:space="preserve"> 'Growth &amp; yield data'!G36</f>
        <v>0</v>
      </c>
      <c r="D35" s="43">
        <f xml:space="preserve"> 'Growth &amp; yield data'!J36</f>
        <v>0</v>
      </c>
      <c r="E35" s="43">
        <v>0</v>
      </c>
      <c r="F35" s="43">
        <f t="shared" si="0"/>
        <v>0</v>
      </c>
      <c r="G35" s="44">
        <f xml:space="preserve"> 'Growth &amp; yield data'!C36</f>
        <v>6.8</v>
      </c>
      <c r="H35" s="44">
        <f xml:space="preserve"> 'Growth &amp; yield data'!F36</f>
        <v>67.5</v>
      </c>
      <c r="I35" s="43">
        <f t="shared" si="13"/>
        <v>384.55310561279998</v>
      </c>
      <c r="J35" s="44">
        <f t="shared" si="14"/>
        <v>25957.334628863999</v>
      </c>
      <c r="K35" s="43">
        <v>0</v>
      </c>
      <c r="L35" s="43">
        <f t="shared" si="6"/>
        <v>0</v>
      </c>
      <c r="M35" s="57">
        <f t="shared" si="2"/>
        <v>0</v>
      </c>
      <c r="N35" s="44">
        <f t="shared" si="7"/>
        <v>25957.334628863999</v>
      </c>
      <c r="O35" s="51">
        <f xml:space="preserve"> SUM($M$15:M34) + N35*((1+$C$6)^(-B35))</f>
        <v>-39859.121994803078</v>
      </c>
      <c r="P35" s="51">
        <f t="shared" si="3"/>
        <v>-154774.9261264966</v>
      </c>
      <c r="Q35" s="54">
        <f t="shared" si="9"/>
        <v>287371.29803199961</v>
      </c>
      <c r="R35" s="54">
        <f t="shared" si="8"/>
        <v>287371.29803199961</v>
      </c>
      <c r="S35" s="54">
        <f t="shared" si="4"/>
        <v>287371.29803199938</v>
      </c>
      <c r="T35" s="54">
        <f t="shared" si="5"/>
        <v>287371.29803199938</v>
      </c>
      <c r="U35" s="54"/>
      <c r="V35" s="63">
        <f t="shared" si="10"/>
        <v>5326.6087879437573</v>
      </c>
      <c r="W35" s="63">
        <f t="shared" si="11"/>
        <v>-1932.2638724644889</v>
      </c>
      <c r="X35" s="63" t="str">
        <f t="shared" si="12"/>
        <v>MIV &gt; MOC</v>
      </c>
      <c r="Y35" s="65">
        <f xml:space="preserve"> (SUM($D$15:D34) + H35)/B35</f>
        <v>3.8450000000000002</v>
      </c>
      <c r="Z35" s="65">
        <f xml:space="preserve"> 'Growth &amp; yield data'!F37 - 'Growth &amp; yield data'!O36</f>
        <v>14.200000000000003</v>
      </c>
      <c r="AA35" s="117"/>
    </row>
    <row r="36" spans="1:27" x14ac:dyDescent="0.3">
      <c r="A36" s="31">
        <v>23</v>
      </c>
      <c r="B36" s="31">
        <v>21</v>
      </c>
      <c r="C36" s="43">
        <f xml:space="preserve"> 'Growth &amp; yield data'!G37</f>
        <v>0</v>
      </c>
      <c r="D36" s="43">
        <f xml:space="preserve"> 'Growth &amp; yield data'!J37</f>
        <v>0</v>
      </c>
      <c r="E36" s="43">
        <v>0</v>
      </c>
      <c r="F36" s="43">
        <f t="shared" si="0"/>
        <v>0</v>
      </c>
      <c r="G36" s="44">
        <f xml:space="preserve"> 'Growth &amp; yield data'!C37</f>
        <v>7.3</v>
      </c>
      <c r="H36" s="44">
        <f xml:space="preserve"> 'Growth &amp; yield data'!F37</f>
        <v>81.7</v>
      </c>
      <c r="I36" s="43">
        <f t="shared" si="13"/>
        <v>383.8903616723</v>
      </c>
      <c r="J36" s="44">
        <f t="shared" si="14"/>
        <v>31363.842548626912</v>
      </c>
      <c r="K36" s="43">
        <v>0</v>
      </c>
      <c r="L36" s="43">
        <f t="shared" si="6"/>
        <v>0</v>
      </c>
      <c r="M36" s="57">
        <f t="shared" si="2"/>
        <v>0</v>
      </c>
      <c r="N36" s="44">
        <f t="shared" si="7"/>
        <v>31363.842548626912</v>
      </c>
      <c r="O36" s="51">
        <f xml:space="preserve"> SUM($M$15:M35) + N36*((1+$C$6)^(-B36))</f>
        <v>-36189.088595937559</v>
      </c>
      <c r="P36" s="51">
        <f t="shared" si="3"/>
        <v>-134781.42330632239</v>
      </c>
      <c r="Q36" s="54">
        <f t="shared" si="9"/>
        <v>291681.86750247958</v>
      </c>
      <c r="R36" s="54">
        <f t="shared" si="8"/>
        <v>291681.86750247958</v>
      </c>
      <c r="S36" s="54">
        <f t="shared" si="4"/>
        <v>291681.86750247935</v>
      </c>
      <c r="T36" s="54">
        <f t="shared" si="5"/>
        <v>291681.86750247935</v>
      </c>
      <c r="U36" s="54"/>
      <c r="V36" s="63">
        <f t="shared" si="10"/>
        <v>5803.9595206364984</v>
      </c>
      <c r="W36" s="63">
        <f t="shared" si="11"/>
        <v>-1551.2637113654323</v>
      </c>
      <c r="X36" s="63" t="str">
        <f t="shared" si="12"/>
        <v>MIV &gt; MOC</v>
      </c>
      <c r="Y36" s="65">
        <f xml:space="preserve"> (SUM($D$15:D35) + H36)/B36</f>
        <v>4.3380952380952387</v>
      </c>
      <c r="Z36" s="65">
        <f xml:space="preserve"> 'Growth &amp; yield data'!F38 - 'Growth &amp; yield data'!O37</f>
        <v>15.5</v>
      </c>
      <c r="AA36" s="117"/>
    </row>
    <row r="37" spans="1:27" x14ac:dyDescent="0.3">
      <c r="A37" s="31">
        <v>24</v>
      </c>
      <c r="B37" s="31">
        <v>22</v>
      </c>
      <c r="C37" s="43">
        <f xml:space="preserve"> 'Growth &amp; yield data'!G38</f>
        <v>0</v>
      </c>
      <c r="D37" s="43">
        <f xml:space="preserve"> 'Growth &amp; yield data'!J38</f>
        <v>0</v>
      </c>
      <c r="E37" s="43">
        <v>0</v>
      </c>
      <c r="F37" s="43">
        <f t="shared" si="0"/>
        <v>0</v>
      </c>
      <c r="G37" s="44">
        <f xml:space="preserve"> 'Growth &amp; yield data'!C38</f>
        <v>7.8</v>
      </c>
      <c r="H37" s="44">
        <f xml:space="preserve"> 'Growth &amp; yield data'!F38</f>
        <v>97.2</v>
      </c>
      <c r="I37" s="43">
        <f t="shared" si="13"/>
        <v>383.28046771679999</v>
      </c>
      <c r="J37" s="44">
        <f t="shared" si="14"/>
        <v>37254.861462072957</v>
      </c>
      <c r="K37" s="43">
        <v>0</v>
      </c>
      <c r="L37" s="43">
        <f t="shared" si="6"/>
        <v>0</v>
      </c>
      <c r="M37" s="57">
        <f t="shared" si="2"/>
        <v>0</v>
      </c>
      <c r="N37" s="44">
        <f t="shared" si="7"/>
        <v>37254.861462072957</v>
      </c>
      <c r="O37" s="51">
        <f xml:space="preserve"> SUM($M$15:M36) + N37*((1+$C$6)^(-B37))</f>
        <v>-32282.557112991894</v>
      </c>
      <c r="P37" s="51">
        <f t="shared" si="3"/>
        <v>-115578.6892998823</v>
      </c>
      <c r="Q37" s="54">
        <f t="shared" si="9"/>
        <v>296057.09551501676</v>
      </c>
      <c r="R37" s="54">
        <f t="shared" si="8"/>
        <v>296057.09551501676</v>
      </c>
      <c r="S37" s="54">
        <f t="shared" si="4"/>
        <v>296057.09551501652</v>
      </c>
      <c r="T37" s="54">
        <f t="shared" si="5"/>
        <v>296057.09551501652</v>
      </c>
      <c r="U37" s="54"/>
      <c r="V37" s="63">
        <f t="shared" si="10"/>
        <v>6318.9843699259791</v>
      </c>
      <c r="W37" s="63">
        <f t="shared" si="11"/>
        <v>-1174.8574175671399</v>
      </c>
      <c r="X37" s="63" t="str">
        <f t="shared" si="12"/>
        <v>MIV &gt; MOC</v>
      </c>
      <c r="Y37" s="65">
        <f xml:space="preserve"> (SUM($D$15:D36) + H37)/B37</f>
        <v>4.8454545454545457</v>
      </c>
      <c r="Z37" s="65">
        <f xml:space="preserve"> 'Growth &amp; yield data'!F39 - 'Growth &amp; yield data'!O38</f>
        <v>16.899999999999991</v>
      </c>
      <c r="AA37" s="117"/>
    </row>
    <row r="38" spans="1:27" x14ac:dyDescent="0.3">
      <c r="A38" s="31">
        <v>25</v>
      </c>
      <c r="B38" s="31">
        <v>23</v>
      </c>
      <c r="C38" s="43">
        <f xml:space="preserve"> 'Growth &amp; yield data'!G39</f>
        <v>0</v>
      </c>
      <c r="D38" s="43">
        <f xml:space="preserve"> 'Growth &amp; yield data'!J39</f>
        <v>0</v>
      </c>
      <c r="E38" s="43">
        <v>0</v>
      </c>
      <c r="F38" s="43">
        <f t="shared" si="0"/>
        <v>0</v>
      </c>
      <c r="G38" s="44">
        <f xml:space="preserve"> 'Growth &amp; yield data'!C39</f>
        <v>8.3000000000000007</v>
      </c>
      <c r="H38" s="44">
        <f xml:space="preserve"> 'Growth &amp; yield data'!F39</f>
        <v>114.1</v>
      </c>
      <c r="I38" s="43">
        <f t="shared" si="13"/>
        <v>382.7224416963</v>
      </c>
      <c r="J38" s="44">
        <f t="shared" si="14"/>
        <v>43668.630597547824</v>
      </c>
      <c r="K38" s="43">
        <v>0</v>
      </c>
      <c r="L38" s="43">
        <f t="shared" si="6"/>
        <v>0</v>
      </c>
      <c r="M38" s="57">
        <f t="shared" si="2"/>
        <v>0</v>
      </c>
      <c r="N38" s="44">
        <f t="shared" si="7"/>
        <v>43668.630597547824</v>
      </c>
      <c r="O38" s="51">
        <f xml:space="preserve"> SUM($M$15:M37) + N38*((1+$C$6)^(-B38))</f>
        <v>-28125.328209938845</v>
      </c>
      <c r="P38" s="51">
        <f t="shared" si="3"/>
        <v>-96996.29195620252</v>
      </c>
      <c r="Q38" s="54">
        <f t="shared" si="9"/>
        <v>300497.95194774197</v>
      </c>
      <c r="R38" s="54">
        <f t="shared" si="8"/>
        <v>300497.95194774197</v>
      </c>
      <c r="S38" s="54">
        <f t="shared" si="4"/>
        <v>300497.95194774173</v>
      </c>
      <c r="T38" s="54">
        <f t="shared" si="5"/>
        <v>300497.95194774173</v>
      </c>
      <c r="U38" s="54"/>
      <c r="V38" s="63">
        <f t="shared" si="10"/>
        <v>6721.1934316097058</v>
      </c>
      <c r="W38" s="63">
        <f t="shared" si="11"/>
        <v>-799.91492037982039</v>
      </c>
      <c r="X38" s="63" t="str">
        <f t="shared" si="12"/>
        <v>MIV &gt; MOC</v>
      </c>
      <c r="Y38" s="65">
        <f xml:space="preserve"> (SUM($D$15:D37) + H38)/B38</f>
        <v>5.3695652173913047</v>
      </c>
      <c r="Z38" s="65">
        <f xml:space="preserve"> 'Growth &amp; yield data'!F40 - 'Growth &amp; yield data'!O39</f>
        <v>18</v>
      </c>
      <c r="AA38" s="117"/>
    </row>
    <row r="39" spans="1:27" x14ac:dyDescent="0.3">
      <c r="A39" s="31">
        <v>26</v>
      </c>
      <c r="B39" s="31">
        <v>24</v>
      </c>
      <c r="C39" s="43">
        <f xml:space="preserve"> 'Growth &amp; yield data'!G40</f>
        <v>7.9</v>
      </c>
      <c r="D39" s="43">
        <f xml:space="preserve"> 'Growth &amp; yield data'!J40</f>
        <v>25.6</v>
      </c>
      <c r="E39" s="43">
        <f xml:space="preserve">  $F$10*(C39^4) + $F$9*(C39^3) + $F$8*(C39^2) + $F$7*C39 + $F$6</f>
        <v>383.16474442430001</v>
      </c>
      <c r="F39" s="43">
        <f t="shared" si="0"/>
        <v>9809.0174572620799</v>
      </c>
      <c r="G39" s="44">
        <f xml:space="preserve"> 'Growth &amp; yield data'!C40</f>
        <v>8.8000000000000007</v>
      </c>
      <c r="H39" s="44">
        <f xml:space="preserve"> 'Growth &amp; yield data'!F40</f>
        <v>132.1</v>
      </c>
      <c r="I39" s="43">
        <f t="shared" si="13"/>
        <v>382.2153060608</v>
      </c>
      <c r="J39" s="44">
        <f t="shared" si="14"/>
        <v>50490.641930631675</v>
      </c>
      <c r="K39" s="43">
        <v>0</v>
      </c>
      <c r="L39" s="43">
        <f t="shared" si="6"/>
        <v>9809.0174572620799</v>
      </c>
      <c r="M39" s="57">
        <f t="shared" si="2"/>
        <v>6861.8385185443976</v>
      </c>
      <c r="N39" s="44">
        <f t="shared" si="7"/>
        <v>50490.641930631675</v>
      </c>
      <c r="O39" s="51">
        <f xml:space="preserve"> SUM($M$15:M38) + N39*((1+$C$6)^(-B39))</f>
        <v>-23811.253538201265</v>
      </c>
      <c r="P39" s="51">
        <f t="shared" si="3"/>
        <v>-79250.363310866305</v>
      </c>
      <c r="Q39" s="54">
        <f t="shared" si="9"/>
        <v>305005.42122695805</v>
      </c>
      <c r="R39" s="54">
        <f t="shared" si="8"/>
        <v>295196.40376969596</v>
      </c>
      <c r="S39" s="54">
        <f t="shared" si="4"/>
        <v>305005.42122695781</v>
      </c>
      <c r="T39" s="54">
        <f t="shared" si="5"/>
        <v>295196.40376969572</v>
      </c>
      <c r="U39" s="54"/>
      <c r="V39" s="63">
        <f t="shared" si="10"/>
        <v>6221.2896032476638</v>
      </c>
      <c r="W39" s="63">
        <f t="shared" si="11"/>
        <v>-431.39582070351946</v>
      </c>
      <c r="X39" s="63" t="str">
        <f t="shared" si="12"/>
        <v>MIV &gt; MOC</v>
      </c>
      <c r="Y39" s="65">
        <f xml:space="preserve"> (SUM($D$15:D38) + H39)/B39</f>
        <v>5.895833333333333</v>
      </c>
      <c r="Z39" s="65">
        <f xml:space="preserve"> 'Growth &amp; yield data'!F41 - 'Growth &amp; yield data'!O40</f>
        <v>16.299999999999997</v>
      </c>
      <c r="AA39" s="117"/>
    </row>
    <row r="40" spans="1:27" x14ac:dyDescent="0.3">
      <c r="A40" s="31">
        <v>27</v>
      </c>
      <c r="B40" s="31">
        <v>25</v>
      </c>
      <c r="C40" s="43">
        <f xml:space="preserve"> 'Growth &amp; yield data'!G41</f>
        <v>0</v>
      </c>
      <c r="D40" s="43">
        <f xml:space="preserve"> 'Growth &amp; yield data'!J41</f>
        <v>0</v>
      </c>
      <c r="E40" s="43">
        <v>0</v>
      </c>
      <c r="F40" s="43">
        <f t="shared" si="0"/>
        <v>0</v>
      </c>
      <c r="G40" s="44">
        <f xml:space="preserve"> 'Growth &amp; yield data'!C41</f>
        <v>9.6</v>
      </c>
      <c r="H40" s="44">
        <f xml:space="preserve"> 'Growth &amp; yield data'!F41</f>
        <v>122.8</v>
      </c>
      <c r="I40" s="43">
        <f t="shared" si="13"/>
        <v>381.50731399680001</v>
      </c>
      <c r="J40" s="44">
        <f t="shared" si="14"/>
        <v>46849.098158807043</v>
      </c>
      <c r="K40" s="43">
        <v>0</v>
      </c>
      <c r="L40" s="43">
        <f t="shared" si="6"/>
        <v>0</v>
      </c>
      <c r="M40" s="57">
        <f t="shared" si="2"/>
        <v>0</v>
      </c>
      <c r="N40" s="44">
        <f t="shared" si="7"/>
        <v>46849.098158807043</v>
      </c>
      <c r="O40" s="51">
        <f xml:space="preserve"> SUM($M$15:M39) + N40*((1+$C$6)^(-B40))</f>
        <v>-19981.164897989507</v>
      </c>
      <c r="P40" s="51">
        <f t="shared" si="3"/>
        <v>-64290.668734691739</v>
      </c>
      <c r="Q40" s="54">
        <f t="shared" si="9"/>
        <v>299624.34982624138</v>
      </c>
      <c r="R40" s="54">
        <f t="shared" si="8"/>
        <v>299624.34982624138</v>
      </c>
      <c r="S40" s="54">
        <f t="shared" si="4"/>
        <v>299624.34982624114</v>
      </c>
      <c r="T40" s="54">
        <f t="shared" si="5"/>
        <v>299624.34982624114</v>
      </c>
      <c r="U40" s="54"/>
      <c r="V40" s="63">
        <f t="shared" si="10"/>
        <v>6562.8237658355429</v>
      </c>
      <c r="W40" s="63">
        <f t="shared" si="11"/>
        <v>-261.62355863827042</v>
      </c>
      <c r="X40" s="63" t="str">
        <f t="shared" si="12"/>
        <v>MIV &gt; MOC</v>
      </c>
      <c r="Y40" s="65">
        <f xml:space="preserve"> (SUM($D$15:D39) + H40)/B40</f>
        <v>6.3120000000000003</v>
      </c>
      <c r="Z40" s="65">
        <f xml:space="preserve"> 'Growth &amp; yield data'!F42 - 'Growth &amp; yield data'!O41</f>
        <v>17.600000000000009</v>
      </c>
      <c r="AA40" s="117"/>
    </row>
    <row r="41" spans="1:27" x14ac:dyDescent="0.3">
      <c r="A41" s="31">
        <v>28</v>
      </c>
      <c r="B41" s="31">
        <v>26</v>
      </c>
      <c r="C41" s="43">
        <f xml:space="preserve"> 'Growth &amp; yield data'!G42</f>
        <v>0</v>
      </c>
      <c r="D41" s="43">
        <f xml:space="preserve"> 'Growth &amp; yield data'!J42</f>
        <v>0</v>
      </c>
      <c r="E41" s="43">
        <v>0</v>
      </c>
      <c r="F41" s="43">
        <f t="shared" si="0"/>
        <v>0</v>
      </c>
      <c r="G41" s="44">
        <f xml:space="preserve"> 'Growth &amp; yield data'!C42</f>
        <v>10.1</v>
      </c>
      <c r="H41" s="44">
        <f xml:space="preserve"> 'Growth &amp; yield data'!F42</f>
        <v>140.4</v>
      </c>
      <c r="I41" s="43">
        <f t="shared" si="13"/>
        <v>381.12795072029996</v>
      </c>
      <c r="J41" s="44">
        <f t="shared" si="14"/>
        <v>53510.364281130118</v>
      </c>
      <c r="K41" s="43">
        <v>0</v>
      </c>
      <c r="L41" s="43">
        <f t="shared" si="6"/>
        <v>0</v>
      </c>
      <c r="M41" s="57">
        <f t="shared" si="2"/>
        <v>0</v>
      </c>
      <c r="N41" s="44">
        <f t="shared" si="7"/>
        <v>53510.364281130118</v>
      </c>
      <c r="O41" s="51">
        <f xml:space="preserve"> SUM($M$15:M40) + N41*((1+$C$6)^(-B41))</f>
        <v>-15935.200971851584</v>
      </c>
      <c r="P41" s="51">
        <f t="shared" si="3"/>
        <v>-49645.544875572334</v>
      </c>
      <c r="Q41" s="54">
        <f t="shared" si="9"/>
        <v>304118.71507363499</v>
      </c>
      <c r="R41" s="54">
        <f t="shared" si="8"/>
        <v>304118.71507363499</v>
      </c>
      <c r="S41" s="54">
        <f t="shared" si="4"/>
        <v>304118.7150736347</v>
      </c>
      <c r="T41" s="54">
        <f t="shared" si="5"/>
        <v>304118.7150736347</v>
      </c>
      <c r="U41" s="54"/>
      <c r="V41" s="63">
        <f t="shared" si="10"/>
        <v>6866.9830351181154</v>
      </c>
      <c r="W41" s="63">
        <f t="shared" si="11"/>
        <v>57.972291083366763</v>
      </c>
      <c r="X41" s="63" t="str">
        <f t="shared" si="12"/>
        <v>MIV &gt; MOC</v>
      </c>
      <c r="Y41" s="65">
        <f xml:space="preserve"> (SUM($D$15:D40) + H41)/B41</f>
        <v>6.7461538461538462</v>
      </c>
      <c r="Z41" s="65">
        <f xml:space="preserve"> 'Growth &amp; yield data'!F43 - 'Growth &amp; yield data'!O42</f>
        <v>18.400000000000006</v>
      </c>
      <c r="AA41" s="117"/>
    </row>
    <row r="42" spans="1:27" x14ac:dyDescent="0.3">
      <c r="A42" s="31">
        <v>29</v>
      </c>
      <c r="B42" s="31">
        <v>27</v>
      </c>
      <c r="C42" s="43">
        <f xml:space="preserve"> 'Growth &amp; yield data'!G43</f>
        <v>0</v>
      </c>
      <c r="D42" s="43">
        <f xml:space="preserve"> 'Growth &amp; yield data'!J43</f>
        <v>0</v>
      </c>
      <c r="E42" s="43">
        <v>0</v>
      </c>
      <c r="F42" s="43">
        <f t="shared" si="0"/>
        <v>0</v>
      </c>
      <c r="G42" s="44">
        <f xml:space="preserve"> 'Growth &amp; yield data'!C43</f>
        <v>10.5</v>
      </c>
      <c r="H42" s="44">
        <f xml:space="preserve"> 'Growth &amp; yield data'!F43</f>
        <v>158.80000000000001</v>
      </c>
      <c r="I42" s="43">
        <f t="shared" si="13"/>
        <v>380.85864018749999</v>
      </c>
      <c r="J42" s="44">
        <f t="shared" si="14"/>
        <v>60480.352061775004</v>
      </c>
      <c r="K42" s="43">
        <v>0</v>
      </c>
      <c r="L42" s="43">
        <f t="shared" si="6"/>
        <v>0</v>
      </c>
      <c r="M42" s="57">
        <f t="shared" si="2"/>
        <v>0</v>
      </c>
      <c r="N42" s="44">
        <f t="shared" si="7"/>
        <v>60480.352061775004</v>
      </c>
      <c r="O42" s="51">
        <f xml:space="preserve"> SUM($M$15:M41) + N42*((1+$C$6)^(-B42))</f>
        <v>-11809.343610095588</v>
      </c>
      <c r="P42" s="51">
        <f t="shared" si="3"/>
        <v>-35676.238062909761</v>
      </c>
      <c r="Q42" s="54">
        <f t="shared" si="9"/>
        <v>308680.4957997395</v>
      </c>
      <c r="R42" s="54">
        <f t="shared" si="8"/>
        <v>308680.4957997395</v>
      </c>
      <c r="S42" s="54">
        <f t="shared" si="4"/>
        <v>308680.49579973915</v>
      </c>
      <c r="T42" s="54">
        <f t="shared" si="5"/>
        <v>308680.49579973915</v>
      </c>
      <c r="U42" s="54"/>
      <c r="V42" s="63">
        <f t="shared" si="10"/>
        <v>7115.2412216009761</v>
      </c>
      <c r="W42" s="63">
        <f t="shared" si="11"/>
        <v>372.06170998297864</v>
      </c>
      <c r="X42" s="63" t="str">
        <f t="shared" si="12"/>
        <v>MIV &gt; MOC</v>
      </c>
      <c r="Y42" s="65">
        <f xml:space="preserve"> (SUM($D$15:D41) + H42)/B42</f>
        <v>7.177777777777778</v>
      </c>
      <c r="Z42" s="65">
        <f xml:space="preserve"> 'Growth &amp; yield data'!F44 - 'Growth &amp; yield data'!O43</f>
        <v>19.099999999999994</v>
      </c>
      <c r="AA42" s="117"/>
    </row>
    <row r="43" spans="1:27" x14ac:dyDescent="0.3">
      <c r="A43" s="31">
        <v>30</v>
      </c>
      <c r="B43" s="31">
        <v>28</v>
      </c>
      <c r="C43" s="43">
        <f xml:space="preserve"> 'Growth &amp; yield data'!G44</f>
        <v>0</v>
      </c>
      <c r="D43" s="43">
        <f xml:space="preserve"> 'Growth &amp; yield data'!J44</f>
        <v>0</v>
      </c>
      <c r="E43" s="43">
        <v>0</v>
      </c>
      <c r="F43" s="43">
        <f t="shared" si="0"/>
        <v>0</v>
      </c>
      <c r="G43" s="44">
        <f xml:space="preserve"> 'Growth &amp; yield data'!C44</f>
        <v>11</v>
      </c>
      <c r="H43" s="44">
        <f xml:space="preserve"> 'Growth &amp; yield data'!F44</f>
        <v>177.9</v>
      </c>
      <c r="I43" s="43">
        <f t="shared" si="13"/>
        <v>380.56392299999999</v>
      </c>
      <c r="J43" s="44">
        <f t="shared" si="14"/>
        <v>67702.321901699994</v>
      </c>
      <c r="K43" s="43">
        <v>0</v>
      </c>
      <c r="L43" s="43">
        <f t="shared" si="6"/>
        <v>0</v>
      </c>
      <c r="M43" s="57">
        <f t="shared" si="2"/>
        <v>0</v>
      </c>
      <c r="N43" s="44">
        <f t="shared" si="7"/>
        <v>67702.321901699994</v>
      </c>
      <c r="O43" s="51">
        <f xml:space="preserve"> SUM($M$15:M42) + N43*((1+$C$6)^(-B43))</f>
        <v>-7647.2870294351451</v>
      </c>
      <c r="P43" s="51">
        <f t="shared" si="3"/>
        <v>-22432.590760986204</v>
      </c>
      <c r="Q43" s="54">
        <f t="shared" si="9"/>
        <v>313310.70323673554</v>
      </c>
      <c r="R43" s="54">
        <f t="shared" si="8"/>
        <v>313310.70323673554</v>
      </c>
      <c r="S43" s="54">
        <f t="shared" si="4"/>
        <v>313310.70323673519</v>
      </c>
      <c r="T43" s="54">
        <f t="shared" si="5"/>
        <v>313310.70323673519</v>
      </c>
      <c r="U43" s="54"/>
      <c r="V43" s="63">
        <f t="shared" si="10"/>
        <v>7421.7753089748339</v>
      </c>
      <c r="W43" s="63">
        <f t="shared" si="11"/>
        <v>679.04596711070678</v>
      </c>
      <c r="X43" s="63" t="str">
        <f t="shared" si="12"/>
        <v>MIV &gt; MOC</v>
      </c>
      <c r="Y43" s="65">
        <f xml:space="preserve"> (SUM($D$15:D42) + H43)/B43</f>
        <v>7.6035714285714286</v>
      </c>
      <c r="Z43" s="65">
        <f xml:space="preserve"> 'Growth &amp; yield data'!F45 - 'Growth &amp; yield data'!O44</f>
        <v>19.900000000000006</v>
      </c>
      <c r="AA43" s="117"/>
    </row>
    <row r="44" spans="1:27" x14ac:dyDescent="0.3">
      <c r="A44" s="31">
        <v>31</v>
      </c>
      <c r="B44" s="31">
        <v>29</v>
      </c>
      <c r="C44" s="43">
        <f xml:space="preserve"> 'Growth &amp; yield data'!G45</f>
        <v>10.3</v>
      </c>
      <c r="D44" s="43">
        <f xml:space="preserve"> 'Growth &amp; yield data'!J45</f>
        <v>33.200000000000003</v>
      </c>
      <c r="E44" s="43">
        <f xml:space="preserve">  $F$10*(C44^4) + $F$9*(C44^3) + $F$8*(C44^2) + $F$7*C44 + $F$6</f>
        <v>380.9895334643</v>
      </c>
      <c r="F44" s="43">
        <f t="shared" si="0"/>
        <v>12648.85251101476</v>
      </c>
      <c r="G44" s="44">
        <f xml:space="preserve"> 'Growth &amp; yield data'!C45</f>
        <v>11.4</v>
      </c>
      <c r="H44" s="44">
        <f xml:space="preserve"> 'Growth &amp; yield data'!F45</f>
        <v>197.8</v>
      </c>
      <c r="I44" s="43">
        <f t="shared" si="13"/>
        <v>380.3610912048</v>
      </c>
      <c r="J44" s="44">
        <f t="shared" si="14"/>
        <v>75235.42384030945</v>
      </c>
      <c r="K44" s="43">
        <v>0</v>
      </c>
      <c r="L44" s="43">
        <f t="shared" si="6"/>
        <v>12648.85251101476</v>
      </c>
      <c r="M44" s="57">
        <f t="shared" si="2"/>
        <v>8213.6445272452584</v>
      </c>
      <c r="N44" s="44">
        <f t="shared" si="7"/>
        <v>75235.42384030945</v>
      </c>
      <c r="O44" s="51">
        <f xml:space="preserve"> SUM($M$15:M43) + N44*((1+$C$6)^(-B44))</f>
        <v>-3415.0470394378281</v>
      </c>
      <c r="P44" s="51">
        <f t="shared" si="3"/>
        <v>-9739.4364544126456</v>
      </c>
      <c r="Q44" s="54">
        <f t="shared" si="9"/>
        <v>318010.36378528655</v>
      </c>
      <c r="R44" s="54">
        <f t="shared" si="8"/>
        <v>305361.51127427176</v>
      </c>
      <c r="S44" s="54">
        <f t="shared" si="4"/>
        <v>318010.3637852862</v>
      </c>
      <c r="T44" s="54">
        <f t="shared" si="5"/>
        <v>305361.51127427147</v>
      </c>
      <c r="U44" s="54"/>
      <c r="V44" s="63">
        <f t="shared" si="10"/>
        <v>6857.8148483611058</v>
      </c>
      <c r="W44" s="63">
        <f t="shared" si="11"/>
        <v>982.43981078845206</v>
      </c>
      <c r="X44" s="63" t="str">
        <f t="shared" si="12"/>
        <v>MIV &gt; MOC</v>
      </c>
      <c r="Y44" s="65">
        <f xml:space="preserve"> (SUM($D$15:D43) + H44)/B44</f>
        <v>8.0275862068965527</v>
      </c>
      <c r="Z44" s="65">
        <f xml:space="preserve"> 'Growth &amp; yield data'!F46 - 'Growth &amp; yield data'!O45</f>
        <v>17.900000000000006</v>
      </c>
      <c r="AA44" s="117"/>
    </row>
    <row r="45" spans="1:27" x14ac:dyDescent="0.3">
      <c r="A45" s="31">
        <v>32</v>
      </c>
      <c r="B45" s="31">
        <v>30</v>
      </c>
      <c r="C45" s="43">
        <f xml:space="preserve"> 'Growth &amp; yield data'!G46</f>
        <v>0</v>
      </c>
      <c r="D45" s="43">
        <f xml:space="preserve"> 'Growth &amp; yield data'!J46</f>
        <v>0</v>
      </c>
      <c r="E45" s="43">
        <v>0</v>
      </c>
      <c r="F45" s="43">
        <f t="shared" si="0"/>
        <v>0</v>
      </c>
      <c r="G45" s="44">
        <f xml:space="preserve"> 'Growth &amp; yield data'!C46</f>
        <v>12.2</v>
      </c>
      <c r="H45" s="44">
        <f xml:space="preserve"> 'Growth &amp; yield data'!F46</f>
        <v>182.5</v>
      </c>
      <c r="I45" s="43">
        <f t="shared" si="13"/>
        <v>380.04120883679997</v>
      </c>
      <c r="J45" s="44">
        <f t="shared" si="14"/>
        <v>69357.520612715991</v>
      </c>
      <c r="K45" s="43">
        <v>0</v>
      </c>
      <c r="L45" s="43">
        <f t="shared" si="6"/>
        <v>0</v>
      </c>
      <c r="M45" s="57">
        <f t="shared" si="2"/>
        <v>0</v>
      </c>
      <c r="N45" s="44">
        <f t="shared" si="7"/>
        <v>69357.520612715991</v>
      </c>
      <c r="O45" s="51">
        <f xml:space="preserve"> SUM($M$15:M44) + N45*((1+$C$6)^(-B45))</f>
        <v>316.14387260023796</v>
      </c>
      <c r="P45" s="51">
        <f t="shared" si="3"/>
        <v>877.59828192871419</v>
      </c>
      <c r="Q45" s="54">
        <f t="shared" si="9"/>
        <v>309941.93394338578</v>
      </c>
      <c r="R45" s="54">
        <f t="shared" si="8"/>
        <v>309941.93394338578</v>
      </c>
      <c r="S45" s="54">
        <f t="shared" si="4"/>
        <v>309941.93394338549</v>
      </c>
      <c r="T45" s="54">
        <f t="shared" si="5"/>
        <v>309941.93394338549</v>
      </c>
      <c r="U45" s="54"/>
      <c r="V45" s="63">
        <f t="shared" si="10"/>
        <v>6973.3513237189782</v>
      </c>
      <c r="W45" s="63">
        <f t="shared" si="11"/>
        <v>1053.5267834196707</v>
      </c>
      <c r="X45" s="63" t="str">
        <f t="shared" si="12"/>
        <v>MIV &gt; MOC</v>
      </c>
      <c r="Y45" s="65">
        <f xml:space="preserve"> (SUM($D$15:D44) + H45)/B45</f>
        <v>8.3566666666666656</v>
      </c>
      <c r="Z45" s="65">
        <f xml:space="preserve"> 'Growth &amp; yield data'!F47 - 'Growth &amp; yield data'!O46</f>
        <v>18.699999999999989</v>
      </c>
      <c r="AA45" s="117"/>
    </row>
    <row r="46" spans="1:27" x14ac:dyDescent="0.3">
      <c r="A46" s="31">
        <v>33</v>
      </c>
      <c r="B46" s="31">
        <v>31</v>
      </c>
      <c r="C46" s="43">
        <f xml:space="preserve"> 'Growth &amp; yield data'!G47</f>
        <v>0</v>
      </c>
      <c r="D46" s="43">
        <f xml:space="preserve"> 'Growth &amp; yield data'!J47</f>
        <v>0</v>
      </c>
      <c r="E46" s="43">
        <v>0</v>
      </c>
      <c r="F46" s="43">
        <f t="shared" si="0"/>
        <v>0</v>
      </c>
      <c r="G46" s="44">
        <f xml:space="preserve"> 'Growth &amp; yield data'!C47</f>
        <v>12.7</v>
      </c>
      <c r="H46" s="44">
        <f xml:space="preserve"> 'Growth &amp; yield data'!F47</f>
        <v>201.2</v>
      </c>
      <c r="I46" s="43">
        <f t="shared" si="13"/>
        <v>379.89797319230001</v>
      </c>
      <c r="J46" s="44">
        <f t="shared" si="14"/>
        <v>76435.472206290753</v>
      </c>
      <c r="K46" s="43">
        <v>0</v>
      </c>
      <c r="L46" s="43">
        <f t="shared" si="6"/>
        <v>0</v>
      </c>
      <c r="M46" s="57">
        <f t="shared" si="2"/>
        <v>0</v>
      </c>
      <c r="N46" s="44">
        <f t="shared" si="7"/>
        <v>76435.472206290753</v>
      </c>
      <c r="O46" s="51">
        <f xml:space="preserve"> SUM($M$15:M45) + N46*((1+$C$6)^(-B46))</f>
        <v>4121.6832533625129</v>
      </c>
      <c r="P46" s="51">
        <f t="shared" si="3"/>
        <v>11148.959580780856</v>
      </c>
      <c r="Q46" s="54">
        <f t="shared" si="9"/>
        <v>314591.06295253657</v>
      </c>
      <c r="R46" s="54">
        <f t="shared" si="8"/>
        <v>314591.06295253657</v>
      </c>
      <c r="S46" s="54">
        <f t="shared" si="4"/>
        <v>314591.06295253622</v>
      </c>
      <c r="T46" s="54">
        <f t="shared" si="5"/>
        <v>314591.06295253622</v>
      </c>
      <c r="U46" s="54"/>
      <c r="V46" s="63">
        <f t="shared" si="10"/>
        <v>7168.0167951977974</v>
      </c>
      <c r="W46" s="63">
        <f t="shared" si="11"/>
        <v>1313.766476806074</v>
      </c>
      <c r="X46" s="63" t="str">
        <f t="shared" si="12"/>
        <v>MIV &gt; MOC</v>
      </c>
      <c r="Y46" s="65">
        <f xml:space="preserve"> (SUM($D$15:D45) + H46)/B46</f>
        <v>8.6903225806451605</v>
      </c>
      <c r="Z46" s="65">
        <f xml:space="preserve"> 'Growth &amp; yield data'!F48 - 'Growth &amp; yield data'!O47</f>
        <v>19.200000000000017</v>
      </c>
      <c r="AA46" s="117"/>
    </row>
    <row r="47" spans="1:27" x14ac:dyDescent="0.3">
      <c r="A47" s="31">
        <v>34</v>
      </c>
      <c r="B47" s="31">
        <v>32</v>
      </c>
      <c r="C47" s="43">
        <f xml:space="preserve"> 'Growth &amp; yield data'!G48</f>
        <v>0</v>
      </c>
      <c r="D47" s="43">
        <f xml:space="preserve"> 'Growth &amp; yield data'!J48</f>
        <v>0</v>
      </c>
      <c r="E47" s="43">
        <v>0</v>
      </c>
      <c r="F47" s="43">
        <f t="shared" ref="F47:F78" si="15" xml:space="preserve"> D47*E47</f>
        <v>0</v>
      </c>
      <c r="G47" s="44">
        <f xml:space="preserve"> 'Growth &amp; yield data'!C48</f>
        <v>13.1</v>
      </c>
      <c r="H47" s="44">
        <f xml:space="preserve"> 'Growth &amp; yield data'!F48</f>
        <v>220.4</v>
      </c>
      <c r="I47" s="43">
        <f t="shared" si="13"/>
        <v>379.81401657629999</v>
      </c>
      <c r="J47" s="44">
        <f t="shared" si="14"/>
        <v>83711.009253416516</v>
      </c>
      <c r="K47" s="43">
        <v>0</v>
      </c>
      <c r="L47" s="43">
        <f t="shared" si="6"/>
        <v>0</v>
      </c>
      <c r="M47" s="57">
        <f t="shared" ref="M47:M78" si="16">L47*((1+$C$6)^(-B47))</f>
        <v>0</v>
      </c>
      <c r="N47" s="44">
        <f t="shared" si="7"/>
        <v>83711.009253416516</v>
      </c>
      <c r="O47" s="51">
        <f xml:space="preserve"> SUM($M$15:M46) + N47*((1+$C$6)^(-B47))</f>
        <v>7927.7519361237355</v>
      </c>
      <c r="P47" s="51">
        <f t="shared" ref="P47:P78" si="17" xml:space="preserve"> O47/(1-((1+$C$6)^(-B47)))</f>
        <v>20917.160475681809</v>
      </c>
      <c r="Q47" s="54">
        <f t="shared" si="9"/>
        <v>319309.9288968246</v>
      </c>
      <c r="R47" s="54">
        <f t="shared" si="8"/>
        <v>319309.9288968246</v>
      </c>
      <c r="S47" s="54">
        <f t="shared" si="4"/>
        <v>319309.92889682419</v>
      </c>
      <c r="T47" s="54">
        <f t="shared" si="5"/>
        <v>319309.92889682419</v>
      </c>
      <c r="U47" s="54"/>
      <c r="V47" s="63">
        <f t="shared" si="10"/>
        <v>7280.9796828719263</v>
      </c>
      <c r="W47" s="63">
        <f t="shared" si="11"/>
        <v>1569.4225459364748</v>
      </c>
      <c r="X47" s="63" t="str">
        <f t="shared" si="12"/>
        <v>MIV &gt; MOC</v>
      </c>
      <c r="Y47" s="65">
        <f xml:space="preserve"> (SUM($D$15:D46) + H47)/B47</f>
        <v>9.0187500000000007</v>
      </c>
      <c r="Z47" s="65">
        <f xml:space="preserve"> 'Growth &amp; yield data'!F49 - 'Growth &amp; yield data'!O48</f>
        <v>19.5</v>
      </c>
      <c r="AA47" s="117"/>
    </row>
    <row r="48" spans="1:27" x14ac:dyDescent="0.3">
      <c r="A48" s="31">
        <v>35</v>
      </c>
      <c r="B48" s="31">
        <v>33</v>
      </c>
      <c r="C48" s="43">
        <f xml:space="preserve"> 'Growth &amp; yield data'!G49</f>
        <v>0</v>
      </c>
      <c r="D48" s="43">
        <f xml:space="preserve"> 'Growth &amp; yield data'!J49</f>
        <v>0</v>
      </c>
      <c r="E48" s="43">
        <v>0</v>
      </c>
      <c r="F48" s="43">
        <f t="shared" si="15"/>
        <v>0</v>
      </c>
      <c r="G48" s="44">
        <f xml:space="preserve"> 'Growth &amp; yield data'!C49</f>
        <v>13.6</v>
      </c>
      <c r="H48" s="44">
        <f xml:space="preserve"> 'Growth &amp; yield data'!F49</f>
        <v>239.9</v>
      </c>
      <c r="I48" s="43">
        <f t="shared" si="13"/>
        <v>379.74657620479996</v>
      </c>
      <c r="J48" s="44">
        <f t="shared" si="14"/>
        <v>91101.20363153152</v>
      </c>
      <c r="K48" s="43">
        <v>0</v>
      </c>
      <c r="L48" s="43">
        <f t="shared" si="6"/>
        <v>0</v>
      </c>
      <c r="M48" s="57">
        <f t="shared" si="16"/>
        <v>0</v>
      </c>
      <c r="N48" s="44">
        <f t="shared" si="7"/>
        <v>91101.20363153152</v>
      </c>
      <c r="O48" s="51">
        <f xml:space="preserve"> SUM($M$15:M47) + N48*((1+$C$6)^(-B48))</f>
        <v>11680.953136708755</v>
      </c>
      <c r="P48" s="51">
        <f t="shared" si="17"/>
        <v>30091.254709471876</v>
      </c>
      <c r="Q48" s="54">
        <f t="shared" si="9"/>
        <v>324099.57783027692</v>
      </c>
      <c r="R48" s="54">
        <f t="shared" si="8"/>
        <v>324099.57783027692</v>
      </c>
      <c r="S48" s="54">
        <f t="shared" si="4"/>
        <v>324099.57783027651</v>
      </c>
      <c r="T48" s="54">
        <f t="shared" si="5"/>
        <v>324099.57783027651</v>
      </c>
      <c r="U48" s="54"/>
      <c r="V48" s="63">
        <f t="shared" si="10"/>
        <v>7438.9994471610635</v>
      </c>
      <c r="W48" s="63">
        <f t="shared" si="11"/>
        <v>1817.8868751150508</v>
      </c>
      <c r="X48" s="63" t="str">
        <f t="shared" si="12"/>
        <v>MIV &gt; MOC</v>
      </c>
      <c r="Y48" s="65">
        <f xml:space="preserve"> (SUM($D$15:D47) + H48)/B48</f>
        <v>9.3363636363636378</v>
      </c>
      <c r="Z48" s="65">
        <f xml:space="preserve"> 'Growth &amp; yield data'!F50 - 'Growth &amp; yield data'!O49</f>
        <v>19.900000000000006</v>
      </c>
      <c r="AA48" s="117"/>
    </row>
    <row r="49" spans="1:27" x14ac:dyDescent="0.3">
      <c r="A49" s="31">
        <v>36</v>
      </c>
      <c r="B49" s="31">
        <v>34</v>
      </c>
      <c r="C49" s="43">
        <f xml:space="preserve"> 'Growth &amp; yield data'!G50</f>
        <v>12.7</v>
      </c>
      <c r="D49" s="43">
        <f xml:space="preserve"> 'Growth &amp; yield data'!J50</f>
        <v>48.1</v>
      </c>
      <c r="E49" s="43">
        <f xml:space="preserve">  $F$10*(C49^4) + $F$9*(C49^3) + $F$8*(C49^2) + $F$7*C49 + $F$6</f>
        <v>379.89797319230001</v>
      </c>
      <c r="F49" s="43">
        <f t="shared" si="15"/>
        <v>18273.092510549632</v>
      </c>
      <c r="G49" s="44">
        <f xml:space="preserve"> 'Growth &amp; yield data'!C50</f>
        <v>14</v>
      </c>
      <c r="H49" s="44">
        <f xml:space="preserve"> 'Growth &amp; yield data'!F50</f>
        <v>259.8</v>
      </c>
      <c r="I49" s="43">
        <f t="shared" si="13"/>
        <v>379.72204799999997</v>
      </c>
      <c r="J49" s="44">
        <f t="shared" si="14"/>
        <v>98651.788070399998</v>
      </c>
      <c r="K49" s="43">
        <v>0</v>
      </c>
      <c r="L49" s="43">
        <f t="shared" si="6"/>
        <v>18273.092510549632</v>
      </c>
      <c r="M49" s="57">
        <f t="shared" si="16"/>
        <v>11014.546391357848</v>
      </c>
      <c r="N49" s="44">
        <f t="shared" si="7"/>
        <v>98651.788070399998</v>
      </c>
      <c r="O49" s="51">
        <f xml:space="preserve"> SUM($M$15:M48) + N49*((1+$C$6)^(-B49))</f>
        <v>15408.548016384229</v>
      </c>
      <c r="P49" s="51">
        <f t="shared" si="17"/>
        <v>38790.388423954253</v>
      </c>
      <c r="Q49" s="54">
        <f t="shared" si="9"/>
        <v>328961.07149773103</v>
      </c>
      <c r="R49" s="54">
        <f t="shared" si="8"/>
        <v>310687.97898718138</v>
      </c>
      <c r="S49" s="54">
        <f t="shared" si="4"/>
        <v>328961.07149773062</v>
      </c>
      <c r="T49" s="54">
        <f t="shared" si="5"/>
        <v>310687.97898718098</v>
      </c>
      <c r="U49" s="54"/>
      <c r="V49" s="63">
        <f t="shared" si="10"/>
        <v>6906.3280768995082</v>
      </c>
      <c r="W49" s="63">
        <f t="shared" si="11"/>
        <v>2061.6326474153138</v>
      </c>
      <c r="X49" s="63" t="str">
        <f t="shared" si="12"/>
        <v>MIV &gt; MOC</v>
      </c>
      <c r="Y49" s="65">
        <f xml:space="preserve"> (SUM($D$15:D48) + H49)/B49</f>
        <v>9.6470588235294112</v>
      </c>
      <c r="Z49" s="65">
        <f xml:space="preserve"> 'Growth &amp; yield data'!F51 - 'Growth &amp; yield data'!O50</f>
        <v>17.700000000000017</v>
      </c>
      <c r="AA49" s="117"/>
    </row>
    <row r="50" spans="1:27" x14ac:dyDescent="0.3">
      <c r="A50" s="31">
        <v>37</v>
      </c>
      <c r="B50" s="31">
        <v>35</v>
      </c>
      <c r="C50" s="43">
        <f xml:space="preserve"> 'Growth &amp; yield data'!G51</f>
        <v>0</v>
      </c>
      <c r="D50" s="43">
        <f xml:space="preserve"> 'Growth &amp; yield data'!J51</f>
        <v>0</v>
      </c>
      <c r="E50" s="43">
        <v>0</v>
      </c>
      <c r="F50" s="43">
        <f t="shared" si="15"/>
        <v>0</v>
      </c>
      <c r="G50" s="44">
        <f xml:space="preserve"> 'Growth &amp; yield data'!C51</f>
        <v>14.8</v>
      </c>
      <c r="H50" s="44">
        <f xml:space="preserve"> 'Growth &amp; yield data'!F51</f>
        <v>229.4</v>
      </c>
      <c r="I50" s="43">
        <f t="shared" si="13"/>
        <v>379.74944276479999</v>
      </c>
      <c r="J50" s="44">
        <f t="shared" si="14"/>
        <v>87114.522170245124</v>
      </c>
      <c r="K50" s="43">
        <v>0</v>
      </c>
      <c r="L50" s="43">
        <f t="shared" si="6"/>
        <v>0</v>
      </c>
      <c r="M50" s="57">
        <f t="shared" si="16"/>
        <v>0</v>
      </c>
      <c r="N50" s="44">
        <f t="shared" si="7"/>
        <v>87114.522170245124</v>
      </c>
      <c r="O50" s="51">
        <f xml:space="preserve"> SUM($M$15:M49) + N50*((1+$C$6)^(-B50))</f>
        <v>18692.714255905819</v>
      </c>
      <c r="P50" s="51">
        <f t="shared" si="17"/>
        <v>46025.98649932335</v>
      </c>
      <c r="Q50" s="54">
        <f t="shared" si="9"/>
        <v>315348.29867198906</v>
      </c>
      <c r="R50" s="54">
        <f t="shared" si="8"/>
        <v>315348.29867198906</v>
      </c>
      <c r="S50" s="54">
        <f t="shared" si="4"/>
        <v>315348.29867198865</v>
      </c>
      <c r="T50" s="54">
        <f t="shared" si="5"/>
        <v>315348.29867198865</v>
      </c>
      <c r="U50" s="54"/>
      <c r="V50" s="63">
        <f t="shared" si="10"/>
        <v>6825.7736370714847</v>
      </c>
      <c r="W50" s="63">
        <f t="shared" si="11"/>
        <v>1997.1076300435268</v>
      </c>
      <c r="X50" s="63" t="str">
        <f t="shared" si="12"/>
        <v>MIV &gt; MOC</v>
      </c>
      <c r="Y50" s="65">
        <f xml:space="preserve"> (SUM($D$15:D49) + H50)/B50</f>
        <v>9.877142857142859</v>
      </c>
      <c r="Z50" s="65">
        <f xml:space="preserve"> 'Growth &amp; yield data'!F52 - 'Growth &amp; yield data'!O51</f>
        <v>18.199999999999989</v>
      </c>
      <c r="AA50" s="117"/>
    </row>
    <row r="51" spans="1:27" x14ac:dyDescent="0.3">
      <c r="A51" s="31">
        <v>38</v>
      </c>
      <c r="B51" s="31">
        <v>36</v>
      </c>
      <c r="C51" s="43">
        <f xml:space="preserve"> 'Growth &amp; yield data'!G52</f>
        <v>0</v>
      </c>
      <c r="D51" s="43">
        <f xml:space="preserve"> 'Growth &amp; yield data'!J52</f>
        <v>0</v>
      </c>
      <c r="E51" s="43">
        <v>0</v>
      </c>
      <c r="F51" s="43">
        <f t="shared" si="15"/>
        <v>0</v>
      </c>
      <c r="G51" s="44">
        <f xml:space="preserve"> 'Growth &amp; yield data'!C52</f>
        <v>15.3</v>
      </c>
      <c r="H51" s="44">
        <f xml:space="preserve"> 'Growth &amp; yield data'!F52</f>
        <v>247.6</v>
      </c>
      <c r="I51" s="43">
        <f t="shared" si="13"/>
        <v>379.8169725843</v>
      </c>
      <c r="J51" s="44">
        <f t="shared" si="14"/>
        <v>94042.68241187268</v>
      </c>
      <c r="K51" s="43">
        <v>0</v>
      </c>
      <c r="L51" s="43">
        <f t="shared" si="6"/>
        <v>0</v>
      </c>
      <c r="M51" s="57">
        <f t="shared" si="16"/>
        <v>0</v>
      </c>
      <c r="N51" s="44">
        <f t="shared" si="7"/>
        <v>94042.68241187268</v>
      </c>
      <c r="O51" s="51">
        <f xml:space="preserve"> SUM($M$15:M50) + N51*((1+$C$6)^(-B51))</f>
        <v>21981.762507244421</v>
      </c>
      <c r="P51" s="51">
        <f t="shared" si="17"/>
        <v>52979.558182566194</v>
      </c>
      <c r="Q51" s="54">
        <f t="shared" si="9"/>
        <v>320078.52315206884</v>
      </c>
      <c r="R51" s="54">
        <f t="shared" si="8"/>
        <v>320078.52315206884</v>
      </c>
      <c r="S51" s="54">
        <f t="shared" si="4"/>
        <v>320078.52315206843</v>
      </c>
      <c r="T51" s="54">
        <f t="shared" si="5"/>
        <v>320078.52315206843</v>
      </c>
      <c r="U51" s="54"/>
      <c r="V51" s="63">
        <f t="shared" si="10"/>
        <v>6906.6307511006171</v>
      </c>
      <c r="W51" s="63">
        <f t="shared" si="11"/>
        <v>2205.3336089165828</v>
      </c>
      <c r="X51" s="63" t="str">
        <f t="shared" si="12"/>
        <v>MIV &gt; MOC</v>
      </c>
      <c r="Y51" s="65">
        <f xml:space="preserve"> (SUM($D$15:D50) + H51)/B51</f>
        <v>10.108333333333333</v>
      </c>
      <c r="Z51" s="65">
        <f xml:space="preserve"> 'Growth &amp; yield data'!F53 - 'Growth &amp; yield data'!O52</f>
        <v>18.400000000000006</v>
      </c>
      <c r="AA51" s="117"/>
    </row>
    <row r="52" spans="1:27" x14ac:dyDescent="0.3">
      <c r="A52" s="31">
        <v>39</v>
      </c>
      <c r="B52" s="31">
        <v>37</v>
      </c>
      <c r="C52" s="43">
        <f xml:space="preserve"> 'Growth &amp; yield data'!G53</f>
        <v>0</v>
      </c>
      <c r="D52" s="43">
        <f xml:space="preserve"> 'Growth &amp; yield data'!J53</f>
        <v>0</v>
      </c>
      <c r="E52" s="43">
        <v>0</v>
      </c>
      <c r="F52" s="43">
        <f t="shared" si="15"/>
        <v>0</v>
      </c>
      <c r="G52" s="44">
        <f xml:space="preserve"> 'Growth &amp; yield data'!C53</f>
        <v>15.7</v>
      </c>
      <c r="H52" s="44">
        <f xml:space="preserve"> 'Growth &amp; yield data'!F53</f>
        <v>266</v>
      </c>
      <c r="I52" s="43">
        <f t="shared" si="13"/>
        <v>379.8981677603</v>
      </c>
      <c r="J52" s="44">
        <f t="shared" si="14"/>
        <v>101052.91262423981</v>
      </c>
      <c r="K52" s="43">
        <v>0</v>
      </c>
      <c r="L52" s="43">
        <f t="shared" si="6"/>
        <v>0</v>
      </c>
      <c r="M52" s="57">
        <f t="shared" si="16"/>
        <v>0</v>
      </c>
      <c r="N52" s="44">
        <f t="shared" si="7"/>
        <v>101052.91262423981</v>
      </c>
      <c r="O52" s="51">
        <f xml:space="preserve"> SUM($M$15:M51) + N52*((1+$C$6)^(-B52))</f>
        <v>25209.607450264652</v>
      </c>
      <c r="P52" s="51">
        <f t="shared" si="17"/>
        <v>59518.819775310527</v>
      </c>
      <c r="Q52" s="54">
        <f t="shared" si="9"/>
        <v>324879.70099934982</v>
      </c>
      <c r="R52" s="54">
        <f t="shared" si="8"/>
        <v>324879.70099934982</v>
      </c>
      <c r="S52" s="54">
        <f t="shared" si="4"/>
        <v>324879.70099934941</v>
      </c>
      <c r="T52" s="54">
        <f t="shared" si="5"/>
        <v>324879.70099934941</v>
      </c>
      <c r="U52" s="54"/>
      <c r="V52" s="63">
        <f t="shared" si="10"/>
        <v>6999.4479149397794</v>
      </c>
      <c r="W52" s="63">
        <f t="shared" si="11"/>
        <v>2408.5759859932546</v>
      </c>
      <c r="X52" s="63" t="str">
        <f t="shared" si="12"/>
        <v>MIV &gt; MOC</v>
      </c>
      <c r="Y52" s="65">
        <f xml:space="preserve"> (SUM($D$15:D51) + H52)/B52</f>
        <v>10.332432432432432</v>
      </c>
      <c r="Z52" s="65">
        <f xml:space="preserve"> 'Growth &amp; yield data'!F54 - 'Growth &amp; yield data'!O53</f>
        <v>18.600000000000023</v>
      </c>
      <c r="AA52" s="117"/>
    </row>
    <row r="53" spans="1:27" x14ac:dyDescent="0.3">
      <c r="A53" s="31">
        <v>40</v>
      </c>
      <c r="B53" s="31">
        <v>38</v>
      </c>
      <c r="C53" s="43">
        <f xml:space="preserve"> 'Growth &amp; yield data'!G54</f>
        <v>0</v>
      </c>
      <c r="D53" s="43">
        <f xml:space="preserve"> 'Growth &amp; yield data'!J54</f>
        <v>0</v>
      </c>
      <c r="E53" s="43">
        <v>0</v>
      </c>
      <c r="F53" s="43">
        <f t="shared" si="15"/>
        <v>0</v>
      </c>
      <c r="G53" s="44">
        <f xml:space="preserve"> 'Growth &amp; yield data'!C54</f>
        <v>16.2</v>
      </c>
      <c r="H53" s="44">
        <f xml:space="preserve"> 'Growth &amp; yield data'!F54</f>
        <v>284.60000000000002</v>
      </c>
      <c r="I53" s="43">
        <f t="shared" si="13"/>
        <v>380.03286106079997</v>
      </c>
      <c r="J53" s="44">
        <f t="shared" si="14"/>
        <v>108157.35225790368</v>
      </c>
      <c r="K53" s="43">
        <v>0</v>
      </c>
      <c r="L53" s="43">
        <f t="shared" si="6"/>
        <v>0</v>
      </c>
      <c r="M53" s="57">
        <f t="shared" si="16"/>
        <v>0</v>
      </c>
      <c r="N53" s="44">
        <f t="shared" si="7"/>
        <v>108157.35225790368</v>
      </c>
      <c r="O53" s="51">
        <f xml:space="preserve"> SUM($M$15:M52) + N53*((1+$C$6)^(-B53))</f>
        <v>28383.534870434247</v>
      </c>
      <c r="P53" s="51">
        <f t="shared" si="17"/>
        <v>65691.104554583115</v>
      </c>
      <c r="Q53" s="54">
        <f t="shared" si="9"/>
        <v>329752.89651434001</v>
      </c>
      <c r="R53" s="54">
        <f t="shared" si="8"/>
        <v>329752.89651434001</v>
      </c>
      <c r="S53" s="54">
        <f t="shared" si="4"/>
        <v>329752.89651433961</v>
      </c>
      <c r="T53" s="54">
        <f t="shared" si="5"/>
        <v>329752.89651433961</v>
      </c>
      <c r="U53" s="54"/>
      <c r="V53" s="63">
        <f t="shared" si="10"/>
        <v>7116.4667366789245</v>
      </c>
      <c r="W53" s="63">
        <f t="shared" si="11"/>
        <v>2607.726852187302</v>
      </c>
      <c r="X53" s="63" t="str">
        <f t="shared" si="12"/>
        <v>MIV &gt; MOC</v>
      </c>
      <c r="Y53" s="65">
        <f xml:space="preserve"> (SUM($D$15:D52) + H53)/B53</f>
        <v>10.55</v>
      </c>
      <c r="Z53" s="65">
        <f xml:space="preserve"> 'Growth &amp; yield data'!F55 - 'Growth &amp; yield data'!O54</f>
        <v>18.899999999999977</v>
      </c>
      <c r="AA53" s="117"/>
    </row>
    <row r="54" spans="1:27" x14ac:dyDescent="0.3">
      <c r="A54" s="31">
        <v>41</v>
      </c>
      <c r="B54" s="31">
        <v>39</v>
      </c>
      <c r="C54" s="43">
        <f xml:space="preserve"> 'Growth &amp; yield data'!G55</f>
        <v>15.2</v>
      </c>
      <c r="D54" s="43">
        <f xml:space="preserve"> 'Growth &amp; yield data'!J55</f>
        <v>43.7</v>
      </c>
      <c r="E54" s="43">
        <f xml:space="preserve">  $F$10*(C54^4) + $F$9*(C54^3) + $F$8*(C54^2) + $F$7*C54 + $F$6</f>
        <v>379.80042324479996</v>
      </c>
      <c r="F54" s="43">
        <f t="shared" si="15"/>
        <v>16597.27849579776</v>
      </c>
      <c r="G54" s="44">
        <f xml:space="preserve"> 'Growth &amp; yield data'!C55</f>
        <v>16.600000000000001</v>
      </c>
      <c r="H54" s="44">
        <f xml:space="preserve"> 'Growth &amp; yield data'!F55</f>
        <v>303.5</v>
      </c>
      <c r="I54" s="43">
        <f t="shared" si="13"/>
        <v>380.16660954079998</v>
      </c>
      <c r="J54" s="44">
        <f t="shared" si="14"/>
        <v>115380.56599563279</v>
      </c>
      <c r="K54" s="43">
        <v>0</v>
      </c>
      <c r="L54" s="43">
        <f t="shared" si="6"/>
        <v>16597.27849579776</v>
      </c>
      <c r="M54" s="57">
        <f t="shared" si="16"/>
        <v>9286.696095656418</v>
      </c>
      <c r="N54" s="44">
        <f t="shared" si="7"/>
        <v>115380.56599563279</v>
      </c>
      <c r="O54" s="51">
        <f xml:space="preserve"> SUM($M$15:M53) + N54*((1+$C$6)^(-B54))</f>
        <v>31517.387442437546</v>
      </c>
      <c r="P54" s="51">
        <f t="shared" si="17"/>
        <v>71554.197492115185</v>
      </c>
      <c r="Q54" s="54">
        <f t="shared" si="9"/>
        <v>334699.18996205507</v>
      </c>
      <c r="R54" s="54">
        <f t="shared" si="8"/>
        <v>318101.9114662573</v>
      </c>
      <c r="S54" s="54">
        <f t="shared" si="4"/>
        <v>334699.18996205466</v>
      </c>
      <c r="T54" s="54">
        <f t="shared" si="5"/>
        <v>318101.91146625689</v>
      </c>
      <c r="U54" s="54"/>
      <c r="V54" s="63">
        <f t="shared" si="10"/>
        <v>6838.1051594858054</v>
      </c>
      <c r="W54" s="63">
        <f t="shared" si="11"/>
        <v>2804.0214523162199</v>
      </c>
      <c r="X54" s="63" t="str">
        <f t="shared" si="12"/>
        <v>MIV &gt; MOC</v>
      </c>
      <c r="Y54" s="65">
        <f xml:space="preserve"> (SUM($D$15:D53) + H54)/B54</f>
        <v>10.764102564102565</v>
      </c>
      <c r="Z54" s="65">
        <f xml:space="preserve"> 'Growth &amp; yield data'!F56 - 'Growth &amp; yield data'!O55</f>
        <v>17.399999999999977</v>
      </c>
      <c r="AA54" s="117"/>
    </row>
    <row r="55" spans="1:27" x14ac:dyDescent="0.3">
      <c r="A55" s="31">
        <v>42</v>
      </c>
      <c r="B55" s="31">
        <v>40</v>
      </c>
      <c r="C55" s="43">
        <f xml:space="preserve"> 'Growth &amp; yield data'!G56</f>
        <v>0</v>
      </c>
      <c r="D55" s="43">
        <f xml:space="preserve"> 'Growth &amp; yield data'!J56</f>
        <v>0</v>
      </c>
      <c r="E55" s="43">
        <v>0</v>
      </c>
      <c r="F55" s="43">
        <f t="shared" si="15"/>
        <v>0</v>
      </c>
      <c r="G55" s="44">
        <f xml:space="preserve"> 'Growth &amp; yield data'!C56</f>
        <v>17.399999999999999</v>
      </c>
      <c r="H55" s="44">
        <f xml:space="preserve"> 'Growth &amp; yield data'!F56</f>
        <v>277.2</v>
      </c>
      <c r="I55" s="43">
        <f t="shared" si="13"/>
        <v>380.50146125279997</v>
      </c>
      <c r="J55" s="44">
        <f t="shared" si="14"/>
        <v>105475.00505927615</v>
      </c>
      <c r="K55" s="43">
        <v>0</v>
      </c>
      <c r="L55" s="43">
        <f t="shared" si="6"/>
        <v>0</v>
      </c>
      <c r="M55" s="57">
        <f t="shared" si="16"/>
        <v>0</v>
      </c>
      <c r="N55" s="44">
        <f t="shared" si="7"/>
        <v>105475.00505927615</v>
      </c>
      <c r="O55" s="51">
        <f xml:space="preserve"> SUM($M$15:M54) + N55*((1+$C$6)^(-B55))</f>
        <v>34389.446635467713</v>
      </c>
      <c r="P55" s="51">
        <f t="shared" si="17"/>
        <v>76635.968666462461</v>
      </c>
      <c r="Q55" s="54">
        <f t="shared" si="9"/>
        <v>322873.44013825111</v>
      </c>
      <c r="R55" s="54">
        <f t="shared" si="8"/>
        <v>322873.44013825111</v>
      </c>
      <c r="S55" s="54">
        <f t="shared" si="4"/>
        <v>322873.44013825071</v>
      </c>
      <c r="T55" s="54">
        <f t="shared" si="5"/>
        <v>322873.44013825071</v>
      </c>
      <c r="U55" s="54"/>
      <c r="V55" s="63">
        <f t="shared" si="10"/>
        <v>6656.0001662940804</v>
      </c>
      <c r="W55" s="63">
        <f t="shared" si="11"/>
        <v>2731.6646058860792</v>
      </c>
      <c r="X55" s="63" t="str">
        <f t="shared" si="12"/>
        <v>MIV &gt; MOC</v>
      </c>
      <c r="Y55" s="65">
        <f xml:space="preserve"> (SUM($D$15:D54) + H55)/B55</f>
        <v>10.93</v>
      </c>
      <c r="Z55" s="65">
        <f xml:space="preserve"> 'Growth &amp; yield data'!F57 - 'Growth &amp; yield data'!O56</f>
        <v>17.600000000000023</v>
      </c>
      <c r="AA55" s="117"/>
    </row>
    <row r="56" spans="1:27" x14ac:dyDescent="0.3">
      <c r="A56" s="31">
        <v>43</v>
      </c>
      <c r="B56" s="31">
        <v>41</v>
      </c>
      <c r="C56" s="43">
        <f xml:space="preserve"> 'Growth &amp; yield data'!G57</f>
        <v>0</v>
      </c>
      <c r="D56" s="43">
        <f xml:space="preserve"> 'Growth &amp; yield data'!J57</f>
        <v>0</v>
      </c>
      <c r="E56" s="43">
        <v>0</v>
      </c>
      <c r="F56" s="43">
        <f t="shared" si="15"/>
        <v>0</v>
      </c>
      <c r="G56" s="44">
        <f xml:space="preserve"> 'Growth &amp; yield data'!C57</f>
        <v>17.8</v>
      </c>
      <c r="H56" s="44">
        <f xml:space="preserve"> 'Growth &amp; yield data'!F57</f>
        <v>294.8</v>
      </c>
      <c r="I56" s="43">
        <f t="shared" si="13"/>
        <v>380.70164595680001</v>
      </c>
      <c r="J56" s="44">
        <f t="shared" si="14"/>
        <v>112230.84522806465</v>
      </c>
      <c r="K56" s="43">
        <v>0</v>
      </c>
      <c r="L56" s="43">
        <f t="shared" si="6"/>
        <v>0</v>
      </c>
      <c r="M56" s="57">
        <f t="shared" si="16"/>
        <v>0</v>
      </c>
      <c r="N56" s="44">
        <f t="shared" si="7"/>
        <v>112230.84522806465</v>
      </c>
      <c r="O56" s="51">
        <f xml:space="preserve"> SUM($M$15:M55) + N56*((1+$C$6)^(-B56))</f>
        <v>37199.371950890563</v>
      </c>
      <c r="P56" s="51">
        <f t="shared" si="17"/>
        <v>81419.656664291571</v>
      </c>
      <c r="Q56" s="54">
        <f t="shared" si="9"/>
        <v>327716.54174032487</v>
      </c>
      <c r="R56" s="54">
        <f t="shared" si="8"/>
        <v>327716.54174032487</v>
      </c>
      <c r="S56" s="54">
        <f t="shared" si="4"/>
        <v>327716.54174032441</v>
      </c>
      <c r="T56" s="54">
        <f t="shared" si="5"/>
        <v>327716.54174032441</v>
      </c>
      <c r="U56" s="54"/>
      <c r="V56" s="63">
        <f t="shared" si="10"/>
        <v>6762.5885294017153</v>
      </c>
      <c r="W56" s="63">
        <f t="shared" si="11"/>
        <v>2904.757528385343</v>
      </c>
      <c r="X56" s="63" t="str">
        <f t="shared" si="12"/>
        <v>MIV &gt; MOC</v>
      </c>
      <c r="Y56" s="65">
        <f xml:space="preserve"> (SUM($D$15:D55) + H56)/B56</f>
        <v>11.092682926829269</v>
      </c>
      <c r="Z56" s="65">
        <f xml:space="preserve"> 'Growth &amp; yield data'!F58 - 'Growth &amp; yield data'!O57</f>
        <v>17.800000000000011</v>
      </c>
      <c r="AA56" s="117"/>
    </row>
    <row r="57" spans="1:27" x14ac:dyDescent="0.3">
      <c r="A57" s="31">
        <v>44</v>
      </c>
      <c r="B57" s="31">
        <v>42</v>
      </c>
      <c r="C57" s="43">
        <f xml:space="preserve"> 'Growth &amp; yield data'!G58</f>
        <v>0</v>
      </c>
      <c r="D57" s="43">
        <f xml:space="preserve"> 'Growth &amp; yield data'!J58</f>
        <v>0</v>
      </c>
      <c r="E57" s="43">
        <v>0</v>
      </c>
      <c r="F57" s="43">
        <f t="shared" si="15"/>
        <v>0</v>
      </c>
      <c r="G57" s="44">
        <f xml:space="preserve"> 'Growth &amp; yield data'!C58</f>
        <v>18.3</v>
      </c>
      <c r="H57" s="44">
        <f xml:space="preserve"> 'Growth &amp; yield data'!F58</f>
        <v>312.60000000000002</v>
      </c>
      <c r="I57" s="43">
        <f t="shared" si="13"/>
        <v>380.98167813629999</v>
      </c>
      <c r="J57" s="44">
        <f t="shared" si="14"/>
        <v>119094.87258540739</v>
      </c>
      <c r="K57" s="43">
        <v>0</v>
      </c>
      <c r="L57" s="43">
        <f t="shared" si="6"/>
        <v>0</v>
      </c>
      <c r="M57" s="57">
        <f t="shared" si="16"/>
        <v>0</v>
      </c>
      <c r="N57" s="44">
        <f t="shared" si="7"/>
        <v>119094.87258540739</v>
      </c>
      <c r="O57" s="51">
        <f xml:space="preserve"> SUM($M$15:M56) + N57*((1+$C$6)^(-B57))</f>
        <v>39971.436416273587</v>
      </c>
      <c r="P57" s="51">
        <f t="shared" si="17"/>
        <v>85976.580155525196</v>
      </c>
      <c r="Q57" s="54">
        <f t="shared" si="9"/>
        <v>332632.2898664297</v>
      </c>
      <c r="R57" s="54">
        <f t="shared" si="8"/>
        <v>332632.2898664297</v>
      </c>
      <c r="S57" s="54">
        <f t="shared" si="4"/>
        <v>332632.28986642923</v>
      </c>
      <c r="T57" s="54">
        <f t="shared" si="5"/>
        <v>332632.28986642923</v>
      </c>
      <c r="U57" s="54"/>
      <c r="V57" s="63">
        <f t="shared" si="10"/>
        <v>6836.8786880636526</v>
      </c>
      <c r="W57" s="63">
        <f t="shared" si="11"/>
        <v>3076.0717911139886</v>
      </c>
      <c r="X57" s="63" t="str">
        <f t="shared" si="12"/>
        <v>MIV &gt; MOC</v>
      </c>
      <c r="Y57" s="65">
        <f xml:space="preserve"> (SUM($D$15:D56) + H57)/B57</f>
        <v>11.252380952380953</v>
      </c>
      <c r="Z57" s="65">
        <f xml:space="preserve"> 'Growth &amp; yield data'!F59 - 'Growth &amp; yield data'!O58</f>
        <v>18</v>
      </c>
      <c r="AA57" s="117"/>
    </row>
    <row r="58" spans="1:27" x14ac:dyDescent="0.3">
      <c r="A58" s="31">
        <v>45</v>
      </c>
      <c r="B58" s="31">
        <v>43</v>
      </c>
      <c r="C58" s="43">
        <f xml:space="preserve"> 'Growth &amp; yield data'!G59</f>
        <v>0</v>
      </c>
      <c r="D58" s="43">
        <f xml:space="preserve"> 'Growth &amp; yield data'!J59</f>
        <v>0</v>
      </c>
      <c r="E58" s="43">
        <v>0</v>
      </c>
      <c r="F58" s="43">
        <f t="shared" si="15"/>
        <v>0</v>
      </c>
      <c r="G58" s="44">
        <f xml:space="preserve"> 'Growth &amp; yield data'!C59</f>
        <v>18.7</v>
      </c>
      <c r="H58" s="44">
        <f xml:space="preserve"> 'Growth &amp; yield data'!F59</f>
        <v>330.6</v>
      </c>
      <c r="I58" s="43">
        <f t="shared" si="13"/>
        <v>381.22899108830001</v>
      </c>
      <c r="J58" s="44">
        <f t="shared" si="14"/>
        <v>126034.30445379199</v>
      </c>
      <c r="K58" s="43">
        <v>0</v>
      </c>
      <c r="L58" s="43">
        <f t="shared" si="6"/>
        <v>0</v>
      </c>
      <c r="M58" s="57">
        <f t="shared" si="16"/>
        <v>0</v>
      </c>
      <c r="N58" s="44">
        <f t="shared" si="7"/>
        <v>126034.30445379199</v>
      </c>
      <c r="O58" s="51">
        <f xml:space="preserve"> SUM($M$15:M57) + N58*((1+$C$6)^(-B58))</f>
        <v>42688.00745065877</v>
      </c>
      <c r="P58" s="51">
        <f t="shared" si="17"/>
        <v>90284.136177389839</v>
      </c>
      <c r="Q58" s="54">
        <f t="shared" si="9"/>
        <v>337621.77421442611</v>
      </c>
      <c r="R58" s="54">
        <f t="shared" si="8"/>
        <v>337621.77421442611</v>
      </c>
      <c r="S58" s="54">
        <f t="shared" si="4"/>
        <v>337621.77421442565</v>
      </c>
      <c r="T58" s="54">
        <f t="shared" si="5"/>
        <v>337621.77421442565</v>
      </c>
      <c r="U58" s="54"/>
      <c r="V58" s="63">
        <f t="shared" si="10"/>
        <v>6890.1771836672124</v>
      </c>
      <c r="W58" s="63">
        <f t="shared" si="11"/>
        <v>3244.7766094677272</v>
      </c>
      <c r="X58" s="63" t="str">
        <f t="shared" si="12"/>
        <v>MIV &gt; MOC</v>
      </c>
      <c r="Y58" s="65">
        <f xml:space="preserve"> (SUM($D$15:D57) + H58)/B58</f>
        <v>11.409302325581395</v>
      </c>
      <c r="Z58" s="65">
        <f xml:space="preserve"> 'Growth &amp; yield data'!F60 - 'Growth &amp; yield data'!O59</f>
        <v>18.099999999999966</v>
      </c>
      <c r="AA58" s="117"/>
    </row>
    <row r="59" spans="1:27" x14ac:dyDescent="0.3">
      <c r="A59" s="31">
        <v>46</v>
      </c>
      <c r="B59" s="31">
        <v>44</v>
      </c>
      <c r="C59" s="43">
        <f xml:space="preserve"> 'Growth &amp; yield data'!G60</f>
        <v>0</v>
      </c>
      <c r="D59" s="43">
        <f xml:space="preserve"> 'Growth &amp; yield data'!J60</f>
        <v>0</v>
      </c>
      <c r="E59" s="43">
        <v>0</v>
      </c>
      <c r="F59" s="43">
        <f t="shared" si="15"/>
        <v>0</v>
      </c>
      <c r="G59" s="44">
        <f xml:space="preserve"> 'Growth &amp; yield data'!C60</f>
        <v>19.100000000000001</v>
      </c>
      <c r="H59" s="44">
        <f xml:space="preserve"> 'Growth &amp; yield data'!F60</f>
        <v>348.7</v>
      </c>
      <c r="I59" s="43">
        <f t="shared" si="13"/>
        <v>381.49651360830001</v>
      </c>
      <c r="J59" s="44">
        <f t="shared" si="14"/>
        <v>133027.83429521421</v>
      </c>
      <c r="K59" s="43">
        <v>0</v>
      </c>
      <c r="L59" s="43">
        <f t="shared" si="6"/>
        <v>0</v>
      </c>
      <c r="M59" s="57">
        <f t="shared" si="16"/>
        <v>0</v>
      </c>
      <c r="N59" s="44">
        <f t="shared" si="7"/>
        <v>133027.83429521421</v>
      </c>
      <c r="O59" s="51">
        <f xml:space="preserve"> SUM($M$15:M58) + N59*((1+$C$6)^(-B59))</f>
        <v>45338.465955202177</v>
      </c>
      <c r="P59" s="51">
        <f t="shared" si="17"/>
        <v>94335.383841180708</v>
      </c>
      <c r="Q59" s="54">
        <f t="shared" si="9"/>
        <v>342686.10082764248</v>
      </c>
      <c r="R59" s="54">
        <f t="shared" si="8"/>
        <v>342686.10082764248</v>
      </c>
      <c r="S59" s="54">
        <f t="shared" si="4"/>
        <v>342686.10082764196</v>
      </c>
      <c r="T59" s="54">
        <f t="shared" si="5"/>
        <v>342686.10082764196</v>
      </c>
      <c r="U59" s="54"/>
      <c r="V59" s="63">
        <f t="shared" si="10"/>
        <v>6933.9099911212179</v>
      </c>
      <c r="W59" s="63">
        <f t="shared" si="11"/>
        <v>3410.4482720459237</v>
      </c>
      <c r="X59" s="63" t="str">
        <f t="shared" si="12"/>
        <v>MIV &gt; MOC</v>
      </c>
      <c r="Y59" s="65">
        <f xml:space="preserve"> (SUM($D$15:D58) + H59)/B59</f>
        <v>11.561363636363636</v>
      </c>
      <c r="Z59" s="65">
        <f xml:space="preserve"> 'Growth &amp; yield data'!F61 - 'Growth &amp; yield data'!O60</f>
        <v>18.100000000000023</v>
      </c>
      <c r="AA59" s="117"/>
    </row>
    <row r="60" spans="1:27" x14ac:dyDescent="0.3">
      <c r="A60" s="31">
        <v>47</v>
      </c>
      <c r="B60" s="31">
        <v>45</v>
      </c>
      <c r="C60" s="43">
        <f xml:space="preserve"> 'Growth &amp; yield data'!G61</f>
        <v>18.100000000000001</v>
      </c>
      <c r="D60" s="43">
        <f xml:space="preserve"> 'Growth &amp; yield data'!J61</f>
        <v>71.2</v>
      </c>
      <c r="E60" s="43">
        <f xml:space="preserve">  $F$10*(C60^4) + $F$9*(C60^3) + $F$8*(C60^2) + $F$7*C60 + $F$6</f>
        <v>380.86574153629999</v>
      </c>
      <c r="F60" s="43">
        <f t="shared" si="15"/>
        <v>27117.64079738456</v>
      </c>
      <c r="G60" s="44">
        <f xml:space="preserve"> 'Growth &amp; yield data'!C61</f>
        <v>19.600000000000001</v>
      </c>
      <c r="H60" s="44">
        <f xml:space="preserve"> 'Growth &amp; yield data'!F61</f>
        <v>366.8</v>
      </c>
      <c r="I60" s="43">
        <f t="shared" si="13"/>
        <v>381.85865031679998</v>
      </c>
      <c r="J60" s="44">
        <f t="shared" si="14"/>
        <v>140065.75293620225</v>
      </c>
      <c r="K60" s="43">
        <v>0</v>
      </c>
      <c r="L60" s="43">
        <f t="shared" si="6"/>
        <v>27117.64079738456</v>
      </c>
      <c r="M60" s="57">
        <f t="shared" si="16"/>
        <v>13876.501997178675</v>
      </c>
      <c r="N60" s="44">
        <f t="shared" si="7"/>
        <v>140065.75293620225</v>
      </c>
      <c r="O60" s="51">
        <f xml:space="preserve"> SUM($M$15:M59) + N60*((1+$C$6)^(-B60))</f>
        <v>47918.789128456672</v>
      </c>
      <c r="P60" s="51">
        <f t="shared" si="17"/>
        <v>98136.914855911004</v>
      </c>
      <c r="Q60" s="54">
        <f t="shared" si="9"/>
        <v>347826.39234005706</v>
      </c>
      <c r="R60" s="54">
        <f t="shared" si="8"/>
        <v>320708.75154267251</v>
      </c>
      <c r="S60" s="54">
        <f t="shared" si="4"/>
        <v>347826.39234005654</v>
      </c>
      <c r="T60" s="54">
        <f t="shared" si="5"/>
        <v>320708.75154267199</v>
      </c>
      <c r="U60" s="54"/>
      <c r="V60" s="63">
        <f t="shared" si="10"/>
        <v>6762.1562976963833</v>
      </c>
      <c r="W60" s="63">
        <f t="shared" si="11"/>
        <v>3573.0400168816986</v>
      </c>
      <c r="X60" s="63" t="str">
        <f t="shared" si="12"/>
        <v>MIV &gt; MOC</v>
      </c>
      <c r="Y60" s="65">
        <f xml:space="preserve"> (SUM($D$15:D59) + H60)/B60</f>
        <v>11.706666666666665</v>
      </c>
      <c r="Z60" s="65">
        <f xml:space="preserve"> 'Growth &amp; yield data'!F62 - 'Growth &amp; yield data'!O61</f>
        <v>16.400000000000034</v>
      </c>
      <c r="AA60" s="117"/>
    </row>
    <row r="61" spans="1:27" x14ac:dyDescent="0.3">
      <c r="A61" s="31">
        <v>48</v>
      </c>
      <c r="B61" s="31">
        <v>46</v>
      </c>
      <c r="C61" s="43">
        <f xml:space="preserve"> 'Growth &amp; yield data'!G62</f>
        <v>0</v>
      </c>
      <c r="D61" s="43">
        <f xml:space="preserve"> 'Growth &amp; yield data'!J62</f>
        <v>0</v>
      </c>
      <c r="E61" s="43">
        <v>0</v>
      </c>
      <c r="F61" s="43">
        <f t="shared" si="15"/>
        <v>0</v>
      </c>
      <c r="G61" s="44">
        <f xml:space="preserve"> 'Growth &amp; yield data'!C62</f>
        <v>20.5</v>
      </c>
      <c r="H61" s="44">
        <f xml:space="preserve"> 'Growth &amp; yield data'!F62</f>
        <v>312.10000000000002</v>
      </c>
      <c r="I61" s="43">
        <f t="shared" ref="I61:I92" si="18" xml:space="preserve">  $F$10*(G61^4) + $F$9*(G61^3) + $F$8*(G61^2) + $F$7*G61 + $F$6</f>
        <v>382.58550518749996</v>
      </c>
      <c r="J61" s="44">
        <f t="shared" si="14"/>
        <v>119404.93616901875</v>
      </c>
      <c r="K61" s="43">
        <v>0</v>
      </c>
      <c r="L61" s="43">
        <f t="shared" si="6"/>
        <v>0</v>
      </c>
      <c r="M61" s="57">
        <f t="shared" si="16"/>
        <v>0</v>
      </c>
      <c r="N61" s="44">
        <f t="shared" si="7"/>
        <v>119404.93616901875</v>
      </c>
      <c r="O61" s="51">
        <f xml:space="preserve"> SUM($M$15:M60) + N61*((1+$C$6)^(-B61))</f>
        <v>50319.867735335501</v>
      </c>
      <c r="P61" s="51">
        <f t="shared" si="17"/>
        <v>101482.57925516288</v>
      </c>
      <c r="Q61" s="54">
        <f t="shared" si="9"/>
        <v>325519.3828158126</v>
      </c>
      <c r="R61" s="54">
        <f t="shared" si="8"/>
        <v>325519.3828158126</v>
      </c>
      <c r="S61" s="54">
        <f t="shared" si="4"/>
        <v>325519.38281581202</v>
      </c>
      <c r="T61" s="54">
        <f t="shared" si="5"/>
        <v>325519.38281581202</v>
      </c>
      <c r="U61" s="54"/>
      <c r="V61" s="63">
        <f t="shared" si="10"/>
        <v>6333.6250325720512</v>
      </c>
      <c r="W61" s="63">
        <f t="shared" si="11"/>
        <v>3313.3127313627247</v>
      </c>
      <c r="X61" s="63" t="str">
        <f t="shared" si="12"/>
        <v>MIV &gt; MOC</v>
      </c>
      <c r="Y61" s="65">
        <f xml:space="preserve"> (SUM($D$15:D60) + H61)/B61</f>
        <v>11.81086956521739</v>
      </c>
      <c r="Z61" s="65">
        <f xml:space="preserve"> 'Growth &amp; yield data'!F63 - 'Growth &amp; yield data'!O62</f>
        <v>16.5</v>
      </c>
      <c r="AA61" s="117"/>
    </row>
    <row r="62" spans="1:27" x14ac:dyDescent="0.3">
      <c r="A62" s="31">
        <v>49</v>
      </c>
      <c r="B62" s="31">
        <v>47</v>
      </c>
      <c r="C62" s="43">
        <f xml:space="preserve"> 'Growth &amp; yield data'!G63</f>
        <v>0</v>
      </c>
      <c r="D62" s="43">
        <f xml:space="preserve"> 'Growth &amp; yield data'!J63</f>
        <v>0</v>
      </c>
      <c r="E62" s="43">
        <v>0</v>
      </c>
      <c r="F62" s="43">
        <f t="shared" si="15"/>
        <v>0</v>
      </c>
      <c r="G62" s="44">
        <f xml:space="preserve"> 'Growth &amp; yield data'!C63</f>
        <v>20.9</v>
      </c>
      <c r="H62" s="44">
        <f xml:space="preserve"> 'Growth &amp; yield data'!F63</f>
        <v>328.6</v>
      </c>
      <c r="I62" s="43">
        <f t="shared" si="18"/>
        <v>382.93842232829996</v>
      </c>
      <c r="J62" s="44">
        <f t="shared" si="14"/>
        <v>125833.56557707938</v>
      </c>
      <c r="K62" s="43">
        <v>0</v>
      </c>
      <c r="L62" s="43">
        <f t="shared" si="6"/>
        <v>0</v>
      </c>
      <c r="M62" s="57">
        <f t="shared" si="16"/>
        <v>0</v>
      </c>
      <c r="N62" s="44">
        <f t="shared" si="7"/>
        <v>125833.56557707938</v>
      </c>
      <c r="O62" s="51">
        <f xml:space="preserve"> SUM($M$15:M61) + N62*((1+$C$6)^(-B62))</f>
        <v>52623.351320468559</v>
      </c>
      <c r="P62" s="51">
        <f t="shared" si="17"/>
        <v>104557.06946045502</v>
      </c>
      <c r="Q62" s="54">
        <f t="shared" si="9"/>
        <v>330402.17355804978</v>
      </c>
      <c r="R62" s="54">
        <f t="shared" si="8"/>
        <v>330402.17355804978</v>
      </c>
      <c r="S62" s="54">
        <f t="shared" si="4"/>
        <v>330402.17355804914</v>
      </c>
      <c r="T62" s="54">
        <f t="shared" si="5"/>
        <v>330402.17355804914</v>
      </c>
      <c r="U62" s="54"/>
      <c r="V62" s="63">
        <f t="shared" si="10"/>
        <v>6421.3423320921947</v>
      </c>
      <c r="W62" s="63">
        <f t="shared" si="11"/>
        <v>3455.8595255630157</v>
      </c>
      <c r="X62" s="63" t="str">
        <f t="shared" si="12"/>
        <v>MIV &gt; MOC</v>
      </c>
      <c r="Y62" s="65">
        <f xml:space="preserve"> (SUM($D$15:D61) + H62)/B62</f>
        <v>11.910638297872339</v>
      </c>
      <c r="Z62" s="65">
        <f xml:space="preserve"> 'Growth &amp; yield data'!F64 - 'Growth &amp; yield data'!O63</f>
        <v>16.599999999999966</v>
      </c>
      <c r="AA62" s="117"/>
    </row>
    <row r="63" spans="1:27" x14ac:dyDescent="0.3">
      <c r="A63" s="31">
        <v>50</v>
      </c>
      <c r="B63" s="31">
        <v>48</v>
      </c>
      <c r="C63" s="43">
        <f xml:space="preserve"> 'Growth &amp; yield data'!G64</f>
        <v>0</v>
      </c>
      <c r="D63" s="43">
        <f xml:space="preserve"> 'Growth &amp; yield data'!J64</f>
        <v>0</v>
      </c>
      <c r="E63" s="43">
        <v>0</v>
      </c>
      <c r="F63" s="43">
        <f t="shared" si="15"/>
        <v>0</v>
      </c>
      <c r="G63" s="44">
        <f xml:space="preserve"> 'Growth &amp; yield data'!C64</f>
        <v>21.4</v>
      </c>
      <c r="H63" s="44">
        <f xml:space="preserve"> 'Growth &amp; yield data'!F64</f>
        <v>345.2</v>
      </c>
      <c r="I63" s="43">
        <f t="shared" si="18"/>
        <v>383.40448448479998</v>
      </c>
      <c r="J63" s="44">
        <f t="shared" si="14"/>
        <v>132351.22804415296</v>
      </c>
      <c r="K63" s="43">
        <v>0</v>
      </c>
      <c r="L63" s="43">
        <f t="shared" si="6"/>
        <v>0</v>
      </c>
      <c r="M63" s="57">
        <f t="shared" si="16"/>
        <v>0</v>
      </c>
      <c r="N63" s="44">
        <f t="shared" si="7"/>
        <v>132351.22804415296</v>
      </c>
      <c r="O63" s="51">
        <f xml:space="preserve"> SUM($M$15:M62) + N63*((1+$C$6)^(-B63))</f>
        <v>54889.173770177134</v>
      </c>
      <c r="P63" s="51">
        <f t="shared" si="17"/>
        <v>107491.29719942075</v>
      </c>
      <c r="Q63" s="54">
        <f t="shared" si="9"/>
        <v>335358.2061614205</v>
      </c>
      <c r="R63" s="54">
        <f t="shared" si="8"/>
        <v>335358.2061614205</v>
      </c>
      <c r="S63" s="54">
        <f t="shared" si="4"/>
        <v>335358.2061614198</v>
      </c>
      <c r="T63" s="54">
        <f t="shared" si="5"/>
        <v>335358.2061614198</v>
      </c>
      <c r="U63" s="54"/>
      <c r="V63" s="63">
        <f t="shared" si="10"/>
        <v>6485.899853005546</v>
      </c>
      <c r="W63" s="63">
        <f t="shared" si="11"/>
        <v>3597.6378786536056</v>
      </c>
      <c r="X63" s="63" t="str">
        <f t="shared" si="12"/>
        <v>MIV &gt; MOC</v>
      </c>
      <c r="Y63" s="65">
        <f xml:space="preserve"> (SUM($D$15:D62) + H63)/B63</f>
        <v>12.008333333333333</v>
      </c>
      <c r="Z63" s="65">
        <f xml:space="preserve"> 'Growth &amp; yield data'!F65 - 'Growth &amp; yield data'!O64</f>
        <v>16.800000000000011</v>
      </c>
      <c r="AA63" s="117"/>
    </row>
    <row r="64" spans="1:27" x14ac:dyDescent="0.3">
      <c r="A64" s="31">
        <v>51</v>
      </c>
      <c r="B64" s="31">
        <v>49</v>
      </c>
      <c r="C64" s="43">
        <f xml:space="preserve"> 'Growth &amp; yield data'!G65</f>
        <v>0</v>
      </c>
      <c r="D64" s="43">
        <f xml:space="preserve"> 'Growth &amp; yield data'!J65</f>
        <v>0</v>
      </c>
      <c r="E64" s="43">
        <v>0</v>
      </c>
      <c r="F64" s="43">
        <f t="shared" si="15"/>
        <v>0</v>
      </c>
      <c r="G64" s="44">
        <f xml:space="preserve"> 'Growth &amp; yield data'!C65</f>
        <v>21.8</v>
      </c>
      <c r="H64" s="44">
        <f xml:space="preserve"> 'Growth &amp; yield data'!F65</f>
        <v>362</v>
      </c>
      <c r="I64" s="43">
        <f t="shared" si="18"/>
        <v>383.79673037279997</v>
      </c>
      <c r="J64" s="44">
        <f t="shared" si="14"/>
        <v>138934.41639495359</v>
      </c>
      <c r="K64" s="43">
        <v>0</v>
      </c>
      <c r="L64" s="43">
        <f t="shared" si="6"/>
        <v>0</v>
      </c>
      <c r="M64" s="57">
        <f t="shared" si="16"/>
        <v>0</v>
      </c>
      <c r="N64" s="44">
        <f t="shared" si="7"/>
        <v>138934.41639495359</v>
      </c>
      <c r="O64" s="51">
        <f xml:space="preserve"> SUM($M$15:M63) + N64*((1+$C$6)^(-B64))</f>
        <v>57105.967752384575</v>
      </c>
      <c r="P64" s="51">
        <f t="shared" si="17"/>
        <v>110270.80171323415</v>
      </c>
      <c r="Q64" s="54">
        <f t="shared" si="9"/>
        <v>340388.57925384177</v>
      </c>
      <c r="R64" s="54">
        <f t="shared" si="8"/>
        <v>340388.57925384177</v>
      </c>
      <c r="S64" s="54">
        <f t="shared" si="4"/>
        <v>340388.57925384108</v>
      </c>
      <c r="T64" s="54">
        <f t="shared" si="5"/>
        <v>340388.57925384108</v>
      </c>
      <c r="U64" s="54"/>
      <c r="V64" s="63">
        <f t="shared" si="10"/>
        <v>6544.2614150163899</v>
      </c>
      <c r="W64" s="63">
        <f t="shared" si="11"/>
        <v>3738.0782716228155</v>
      </c>
      <c r="X64" s="63" t="str">
        <f t="shared" si="12"/>
        <v>MIV &gt; MOC</v>
      </c>
      <c r="Y64" s="65">
        <f xml:space="preserve"> (SUM($D$15:D63) + H64)/B64</f>
        <v>12.106122448979592</v>
      </c>
      <c r="Z64" s="65">
        <f xml:space="preserve"> 'Growth &amp; yield data'!F66 - 'Growth &amp; yield data'!O65</f>
        <v>16.800000000000011</v>
      </c>
      <c r="AA64" s="117"/>
    </row>
    <row r="65" spans="1:27" x14ac:dyDescent="0.3">
      <c r="A65" s="31">
        <v>52</v>
      </c>
      <c r="B65" s="31">
        <v>50</v>
      </c>
      <c r="C65" s="43">
        <f xml:space="preserve"> 'Growth &amp; yield data'!G66</f>
        <v>0</v>
      </c>
      <c r="D65" s="43">
        <f xml:space="preserve"> 'Growth &amp; yield data'!J66</f>
        <v>0</v>
      </c>
      <c r="E65" s="43">
        <v>0</v>
      </c>
      <c r="F65" s="43">
        <f t="shared" si="15"/>
        <v>0</v>
      </c>
      <c r="G65" s="44">
        <f xml:space="preserve"> 'Growth &amp; yield data'!C66</f>
        <v>22.3</v>
      </c>
      <c r="H65" s="44">
        <f xml:space="preserve"> 'Growth &amp; yield data'!F66</f>
        <v>378.8</v>
      </c>
      <c r="I65" s="43">
        <f t="shared" si="18"/>
        <v>384.31056423229995</v>
      </c>
      <c r="J65" s="44">
        <f t="shared" si="14"/>
        <v>145576.84173119522</v>
      </c>
      <c r="K65" s="43">
        <v>0</v>
      </c>
      <c r="L65" s="43">
        <f t="shared" si="6"/>
        <v>0</v>
      </c>
      <c r="M65" s="57">
        <f t="shared" si="16"/>
        <v>0</v>
      </c>
      <c r="N65" s="44">
        <f t="shared" si="7"/>
        <v>145576.84173119522</v>
      </c>
      <c r="O65" s="51">
        <f xml:space="preserve"> SUM($M$15:M64) + N65*((1+$C$6)^(-B65))</f>
        <v>59271.233398609766</v>
      </c>
      <c r="P65" s="51">
        <f t="shared" si="17"/>
        <v>112898.59359894777</v>
      </c>
      <c r="Q65" s="54">
        <f t="shared" si="9"/>
        <v>345494.40794264938</v>
      </c>
      <c r="R65" s="54">
        <f t="shared" si="8"/>
        <v>345494.40794264938</v>
      </c>
      <c r="S65" s="54">
        <f t="shared" si="4"/>
        <v>345494.40794264863</v>
      </c>
      <c r="T65" s="54">
        <f t="shared" si="5"/>
        <v>345494.40794264863</v>
      </c>
      <c r="U65" s="54"/>
      <c r="V65" s="63">
        <f t="shared" si="10"/>
        <v>6604.1567102316349</v>
      </c>
      <c r="W65" s="63">
        <f t="shared" si="11"/>
        <v>3877.1315299521448</v>
      </c>
      <c r="X65" s="63" t="str">
        <f t="shared" si="12"/>
        <v>MIV &gt; MOC</v>
      </c>
      <c r="Y65" s="65">
        <f xml:space="preserve"> (SUM($D$15:D64) + H65)/B65</f>
        <v>12.2</v>
      </c>
      <c r="Z65" s="65">
        <f xml:space="preserve"> 'Growth &amp; yield data'!F67 - 'Growth &amp; yield data'!O66</f>
        <v>17</v>
      </c>
      <c r="AA65" s="117"/>
    </row>
    <row r="66" spans="1:27" x14ac:dyDescent="0.3">
      <c r="A66" s="31">
        <v>53</v>
      </c>
      <c r="B66" s="31">
        <v>51</v>
      </c>
      <c r="C66" s="43">
        <f xml:space="preserve"> 'Growth &amp; yield data'!G67</f>
        <v>21.2</v>
      </c>
      <c r="D66" s="43">
        <f xml:space="preserve"> 'Growth &amp; yield data'!J67</f>
        <v>67.3</v>
      </c>
      <c r="E66" s="43">
        <f xml:space="preserve">  $F$10*(C66^4) + $F$9*(C66^3) + $F$8*(C66^2) + $F$7*C66 + $F$6</f>
        <v>383.21478574079998</v>
      </c>
      <c r="F66" s="43">
        <f t="shared" si="15"/>
        <v>25790.355080355839</v>
      </c>
      <c r="G66" s="44">
        <f xml:space="preserve"> 'Growth &amp; yield data'!C67</f>
        <v>22.7</v>
      </c>
      <c r="H66" s="44">
        <f xml:space="preserve"> 'Growth &amp; yield data'!F67</f>
        <v>395.8</v>
      </c>
      <c r="I66" s="43">
        <f t="shared" si="18"/>
        <v>384.73992115229998</v>
      </c>
      <c r="J66" s="44">
        <f t="shared" si="14"/>
        <v>152280.06079208033</v>
      </c>
      <c r="K66" s="43">
        <v>0</v>
      </c>
      <c r="L66" s="43">
        <f t="shared" si="6"/>
        <v>25790.355080355839</v>
      </c>
      <c r="M66" s="57">
        <f t="shared" si="16"/>
        <v>12069.496880366418</v>
      </c>
      <c r="N66" s="44">
        <f t="shared" si="7"/>
        <v>152280.06079208033</v>
      </c>
      <c r="O66" s="51">
        <f xml:space="preserve"> SUM($M$15:M65) + N66*((1+$C$6)^(-B66))</f>
        <v>61386.322268727381</v>
      </c>
      <c r="P66" s="51">
        <f t="shared" si="17"/>
        <v>115384.54995394198</v>
      </c>
      <c r="Q66" s="54">
        <f t="shared" si="9"/>
        <v>350676.82406178908</v>
      </c>
      <c r="R66" s="54">
        <f t="shared" si="8"/>
        <v>324886.46898143325</v>
      </c>
      <c r="S66" s="54">
        <f t="shared" si="4"/>
        <v>350676.82406178833</v>
      </c>
      <c r="T66" s="54">
        <f t="shared" si="5"/>
        <v>324886.4689814325</v>
      </c>
      <c r="U66" s="54"/>
      <c r="V66" s="63">
        <f t="shared" si="10"/>
        <v>6616.122085014249</v>
      </c>
      <c r="W66" s="63">
        <f t="shared" si="11"/>
        <v>4014.9691611903345</v>
      </c>
      <c r="X66" s="63" t="str">
        <f t="shared" si="12"/>
        <v>MIV &gt; MOC</v>
      </c>
      <c r="Y66" s="65">
        <f xml:space="preserve"> (SUM($D$15:D65) + H66)/B66</f>
        <v>12.294117647058824</v>
      </c>
      <c r="Z66" s="65">
        <f xml:space="preserve"> 'Growth &amp; yield data'!F68 - 'Growth &amp; yield data'!O67</f>
        <v>15.800000000000011</v>
      </c>
      <c r="AA66" s="117"/>
    </row>
    <row r="67" spans="1:27" x14ac:dyDescent="0.3">
      <c r="A67" s="31">
        <v>54</v>
      </c>
      <c r="B67" s="31">
        <v>52</v>
      </c>
      <c r="C67" s="43">
        <f xml:space="preserve"> 'Growth &amp; yield data'!G68</f>
        <v>0</v>
      </c>
      <c r="D67" s="43">
        <f xml:space="preserve"> 'Growth &amp; yield data'!J68</f>
        <v>0</v>
      </c>
      <c r="E67" s="43">
        <v>0</v>
      </c>
      <c r="F67" s="43">
        <f t="shared" si="15"/>
        <v>0</v>
      </c>
      <c r="G67" s="44">
        <f xml:space="preserve"> 'Growth &amp; yield data'!C68</f>
        <v>23.6</v>
      </c>
      <c r="H67" s="44">
        <f xml:space="preserve"> 'Growth &amp; yield data'!F68</f>
        <v>344.3</v>
      </c>
      <c r="I67" s="43">
        <f t="shared" si="18"/>
        <v>385.76303892479996</v>
      </c>
      <c r="J67" s="44">
        <f t="shared" si="14"/>
        <v>132818.21430180862</v>
      </c>
      <c r="K67" s="43">
        <v>0</v>
      </c>
      <c r="L67" s="43">
        <f t="shared" si="6"/>
        <v>0</v>
      </c>
      <c r="M67" s="57">
        <f t="shared" si="16"/>
        <v>0</v>
      </c>
      <c r="N67" s="44">
        <f t="shared" si="7"/>
        <v>132818.21430180862</v>
      </c>
      <c r="O67" s="51">
        <f xml:space="preserve"> SUM($M$15:M66) + N67*((1+$C$6)^(-B67))</f>
        <v>63429.393597851755</v>
      </c>
      <c r="P67" s="51">
        <f t="shared" si="17"/>
        <v>117694.80427062565</v>
      </c>
      <c r="Q67" s="54">
        <f t="shared" si="9"/>
        <v>329759.76601615472</v>
      </c>
      <c r="R67" s="54">
        <f t="shared" si="8"/>
        <v>329759.76601615472</v>
      </c>
      <c r="S67" s="54">
        <f t="shared" si="4"/>
        <v>329759.76601615397</v>
      </c>
      <c r="T67" s="54">
        <f t="shared" si="5"/>
        <v>329759.76601615397</v>
      </c>
      <c r="U67" s="54"/>
      <c r="V67" s="63">
        <f t="shared" si="10"/>
        <v>6136.8983036368227</v>
      </c>
      <c r="W67" s="63">
        <f t="shared" si="11"/>
        <v>3757.6952785865137</v>
      </c>
      <c r="X67" s="63" t="str">
        <f t="shared" si="12"/>
        <v>MIV &gt; MOC</v>
      </c>
      <c r="Y67" s="65">
        <f xml:space="preserve"> (SUM($D$15:D66) + H67)/B67</f>
        <v>12.36153846153846</v>
      </c>
      <c r="Z67" s="65">
        <f xml:space="preserve"> 'Growth &amp; yield data'!F69 - 'Growth &amp; yield data'!O68</f>
        <v>15.699999999999989</v>
      </c>
      <c r="AA67" s="117"/>
    </row>
    <row r="68" spans="1:27" x14ac:dyDescent="0.3">
      <c r="A68" s="31">
        <v>55</v>
      </c>
      <c r="B68" s="31">
        <v>53</v>
      </c>
      <c r="C68" s="43">
        <f xml:space="preserve"> 'Growth &amp; yield data'!G69</f>
        <v>0</v>
      </c>
      <c r="D68" s="43">
        <f xml:space="preserve"> 'Growth &amp; yield data'!J69</f>
        <v>0</v>
      </c>
      <c r="E68" s="43">
        <v>0</v>
      </c>
      <c r="F68" s="43">
        <f t="shared" si="15"/>
        <v>0</v>
      </c>
      <c r="G68" s="44">
        <f xml:space="preserve"> 'Growth &amp; yield data'!C69</f>
        <v>24</v>
      </c>
      <c r="H68" s="44">
        <f xml:space="preserve"> 'Growth &amp; yield data'!F69</f>
        <v>360</v>
      </c>
      <c r="I68" s="43">
        <f t="shared" si="18"/>
        <v>386.24212799999998</v>
      </c>
      <c r="J68" s="44">
        <f t="shared" si="14"/>
        <v>139047.16608</v>
      </c>
      <c r="K68" s="43">
        <v>0</v>
      </c>
      <c r="L68" s="43">
        <f t="shared" si="6"/>
        <v>0</v>
      </c>
      <c r="M68" s="57">
        <f t="shared" si="16"/>
        <v>0</v>
      </c>
      <c r="N68" s="44">
        <f t="shared" si="7"/>
        <v>139047.16608</v>
      </c>
      <c r="O68" s="51">
        <f xml:space="preserve"> SUM($M$15:M67) + N68*((1+$C$6)^(-B68))</f>
        <v>65353.92621594396</v>
      </c>
      <c r="P68" s="51">
        <f t="shared" si="17"/>
        <v>119751.77379293031</v>
      </c>
      <c r="Q68" s="54">
        <f t="shared" si="9"/>
        <v>334706.162506397</v>
      </c>
      <c r="R68" s="54">
        <f t="shared" si="8"/>
        <v>334706.162506397</v>
      </c>
      <c r="S68" s="54">
        <f t="shared" si="4"/>
        <v>334706.16250639624</v>
      </c>
      <c r="T68" s="54">
        <f t="shared" si="5"/>
        <v>334706.16250639624</v>
      </c>
      <c r="U68" s="54"/>
      <c r="V68" s="63">
        <f t="shared" si="10"/>
        <v>6241.6389708990164</v>
      </c>
      <c r="W68" s="63">
        <f t="shared" si="11"/>
        <v>3881.9840980939543</v>
      </c>
      <c r="X68" s="63" t="str">
        <f t="shared" si="12"/>
        <v>MIV &gt; MOC</v>
      </c>
      <c r="Y68" s="65">
        <f xml:space="preserve"> (SUM($D$15:D67) + H68)/B68</f>
        <v>12.424528301886792</v>
      </c>
      <c r="Z68" s="65">
        <f xml:space="preserve"> 'Growth &amp; yield data'!F70 - 'Growth &amp; yield data'!O69</f>
        <v>15.800000000000011</v>
      </c>
      <c r="AA68" s="117"/>
    </row>
    <row r="69" spans="1:27" x14ac:dyDescent="0.3">
      <c r="A69" s="31">
        <v>56</v>
      </c>
      <c r="B69" s="31">
        <v>54</v>
      </c>
      <c r="C69" s="43">
        <f xml:space="preserve"> 'Growth &amp; yield data'!G70</f>
        <v>0</v>
      </c>
      <c r="D69" s="43">
        <f xml:space="preserve"> 'Growth &amp; yield data'!J70</f>
        <v>0</v>
      </c>
      <c r="E69" s="43">
        <v>0</v>
      </c>
      <c r="F69" s="43">
        <f t="shared" si="15"/>
        <v>0</v>
      </c>
      <c r="G69" s="44">
        <f xml:space="preserve"> 'Growth &amp; yield data'!C70</f>
        <v>24.5</v>
      </c>
      <c r="H69" s="44">
        <f xml:space="preserve"> 'Growth &amp; yield data'!F70</f>
        <v>375.8</v>
      </c>
      <c r="I69" s="43">
        <f t="shared" si="18"/>
        <v>386.86117518749995</v>
      </c>
      <c r="J69" s="44">
        <f t="shared" si="14"/>
        <v>145382.4296354625</v>
      </c>
      <c r="K69" s="43">
        <v>0</v>
      </c>
      <c r="L69" s="43">
        <f t="shared" si="6"/>
        <v>0</v>
      </c>
      <c r="M69" s="57">
        <f t="shared" si="16"/>
        <v>0</v>
      </c>
      <c r="N69" s="44">
        <f t="shared" si="7"/>
        <v>145382.4296354625</v>
      </c>
      <c r="O69" s="51">
        <f xml:space="preserve"> SUM($M$15:M68) + N69*((1+$C$6)^(-B69))</f>
        <v>67255.780686609709</v>
      </c>
      <c r="P69" s="51">
        <f t="shared" si="17"/>
        <v>121739.15605501787</v>
      </c>
      <c r="Q69" s="54">
        <f t="shared" si="9"/>
        <v>339726.75494399294</v>
      </c>
      <c r="R69" s="54">
        <f t="shared" si="8"/>
        <v>339726.75494399294</v>
      </c>
      <c r="S69" s="54">
        <f t="shared" si="4"/>
        <v>339726.75494399213</v>
      </c>
      <c r="T69" s="54">
        <f t="shared" si="5"/>
        <v>339726.75494399213</v>
      </c>
      <c r="U69" s="54"/>
      <c r="V69" s="63">
        <f t="shared" si="10"/>
        <v>6307.4431547167342</v>
      </c>
      <c r="W69" s="63">
        <f t="shared" si="11"/>
        <v>4006.8237853572055</v>
      </c>
      <c r="X69" s="63" t="str">
        <f t="shared" si="12"/>
        <v>MIV &gt; MOC</v>
      </c>
      <c r="Y69" s="65">
        <f xml:space="preserve"> (SUM($D$15:D68) + H69)/B69</f>
        <v>12.487037037037036</v>
      </c>
      <c r="Z69" s="65">
        <f xml:space="preserve"> 'Growth &amp; yield data'!F71 - 'Growth &amp; yield data'!O70</f>
        <v>15.899999999999977</v>
      </c>
      <c r="AA69" s="117"/>
    </row>
    <row r="70" spans="1:27" x14ac:dyDescent="0.3">
      <c r="A70" s="31">
        <v>57</v>
      </c>
      <c r="B70" s="31">
        <v>55</v>
      </c>
      <c r="C70" s="43">
        <f xml:space="preserve"> 'Growth &amp; yield data'!G71</f>
        <v>0</v>
      </c>
      <c r="D70" s="43">
        <f xml:space="preserve"> 'Growth &amp; yield data'!J71</f>
        <v>0</v>
      </c>
      <c r="E70" s="43">
        <v>0</v>
      </c>
      <c r="F70" s="43">
        <f t="shared" si="15"/>
        <v>0</v>
      </c>
      <c r="G70" s="44">
        <f xml:space="preserve"> 'Growth &amp; yield data'!C71</f>
        <v>25</v>
      </c>
      <c r="H70" s="44">
        <f xml:space="preserve"> 'Growth &amp; yield data'!F71</f>
        <v>391.7</v>
      </c>
      <c r="I70" s="43">
        <f t="shared" si="18"/>
        <v>387.50187499999998</v>
      </c>
      <c r="J70" s="44">
        <f t="shared" si="14"/>
        <v>151784.48443749998</v>
      </c>
      <c r="K70" s="43">
        <v>0</v>
      </c>
      <c r="L70" s="43">
        <f t="shared" si="6"/>
        <v>0</v>
      </c>
      <c r="M70" s="57">
        <f t="shared" si="16"/>
        <v>0</v>
      </c>
      <c r="N70" s="44">
        <f t="shared" si="7"/>
        <v>151784.48443749998</v>
      </c>
      <c r="O70" s="51">
        <f xml:space="preserve"> SUM($M$15:M69) + N70*((1+$C$6)^(-B70))</f>
        <v>69117.078138068173</v>
      </c>
      <c r="P70" s="51">
        <f t="shared" si="17"/>
        <v>123628.22295928891</v>
      </c>
      <c r="Q70" s="54">
        <f t="shared" si="9"/>
        <v>344822.65626815282</v>
      </c>
      <c r="R70" s="54">
        <f t="shared" si="8"/>
        <v>344822.65626815282</v>
      </c>
      <c r="S70" s="54">
        <f t="shared" si="4"/>
        <v>344822.65626815194</v>
      </c>
      <c r="T70" s="54">
        <f t="shared" si="5"/>
        <v>344822.65626815194</v>
      </c>
      <c r="U70" s="54"/>
      <c r="V70" s="63">
        <f t="shared" si="10"/>
        <v>6320.325066040763</v>
      </c>
      <c r="W70" s="63">
        <f t="shared" si="11"/>
        <v>4131.1906109518332</v>
      </c>
      <c r="X70" s="63" t="str">
        <f t="shared" si="12"/>
        <v>MIV &gt; MOC</v>
      </c>
      <c r="Y70" s="65">
        <f xml:space="preserve"> (SUM($D$15:D69) + H70)/B70</f>
        <v>12.549090909090911</v>
      </c>
      <c r="Z70" s="65">
        <f xml:space="preserve"> 'Growth &amp; yield data'!F72 - 'Growth &amp; yield data'!O71</f>
        <v>16</v>
      </c>
      <c r="AA70" s="117"/>
    </row>
    <row r="71" spans="1:27" x14ac:dyDescent="0.3">
      <c r="A71" s="31">
        <v>58</v>
      </c>
      <c r="B71" s="31">
        <v>56</v>
      </c>
      <c r="C71" s="43">
        <f xml:space="preserve"> 'Growth &amp; yield data'!G72</f>
        <v>0</v>
      </c>
      <c r="D71" s="43">
        <f xml:space="preserve"> 'Growth &amp; yield data'!J72</f>
        <v>0</v>
      </c>
      <c r="E71" s="43">
        <v>0</v>
      </c>
      <c r="F71" s="43">
        <f t="shared" si="15"/>
        <v>0</v>
      </c>
      <c r="G71" s="44">
        <f xml:space="preserve"> 'Growth &amp; yield data'!C72</f>
        <v>25.4</v>
      </c>
      <c r="H71" s="44">
        <f xml:space="preserve"> 'Growth &amp; yield data'!F72</f>
        <v>407.7</v>
      </c>
      <c r="I71" s="43">
        <f t="shared" si="18"/>
        <v>388.02946867679998</v>
      </c>
      <c r="J71" s="44">
        <f t="shared" si="14"/>
        <v>158199.61437953135</v>
      </c>
      <c r="K71" s="43">
        <v>0</v>
      </c>
      <c r="L71" s="43">
        <f t="shared" si="6"/>
        <v>0</v>
      </c>
      <c r="M71" s="57">
        <f t="shared" si="16"/>
        <v>0</v>
      </c>
      <c r="N71" s="44">
        <f t="shared" si="7"/>
        <v>158199.61437953135</v>
      </c>
      <c r="O71" s="51">
        <f xml:space="preserve"> SUM($M$15:M70) + N71*((1+$C$6)^(-B71))</f>
        <v>70914.831801784181</v>
      </c>
      <c r="P71" s="51">
        <f t="shared" si="17"/>
        <v>125382.45029052453</v>
      </c>
      <c r="Q71" s="54">
        <f t="shared" si="9"/>
        <v>349994.99611217505</v>
      </c>
      <c r="R71" s="54">
        <f t="shared" si="8"/>
        <v>349994.99611217505</v>
      </c>
      <c r="S71" s="54">
        <f t="shared" si="4"/>
        <v>349994.99611217418</v>
      </c>
      <c r="T71" s="54">
        <f t="shared" si="5"/>
        <v>349994.99611217418</v>
      </c>
      <c r="U71" s="54"/>
      <c r="V71" s="63">
        <f t="shared" si="10"/>
        <v>6437.8702592258087</v>
      </c>
      <c r="W71" s="63">
        <f t="shared" si="11"/>
        <v>4253.7309700508376</v>
      </c>
      <c r="X71" s="63" t="str">
        <f t="shared" si="12"/>
        <v>MIV &gt; MOC</v>
      </c>
      <c r="Y71" s="65">
        <f xml:space="preserve"> (SUM($D$15:D70) + H71)/B71</f>
        <v>12.610714285714286</v>
      </c>
      <c r="Z71" s="65">
        <f xml:space="preserve"> 'Growth &amp; yield data'!F73 - 'Growth &amp; yield data'!O72</f>
        <v>16.100000000000023</v>
      </c>
      <c r="AA71" s="117"/>
    </row>
    <row r="72" spans="1:27" x14ac:dyDescent="0.3">
      <c r="A72" s="31">
        <v>59</v>
      </c>
      <c r="B72" s="31">
        <v>57</v>
      </c>
      <c r="C72" s="43">
        <f xml:space="preserve"> 'Growth &amp; yield data'!G73</f>
        <v>0</v>
      </c>
      <c r="D72" s="43">
        <f xml:space="preserve"> 'Growth &amp; yield data'!J73</f>
        <v>0</v>
      </c>
      <c r="E72" s="43">
        <v>0</v>
      </c>
      <c r="F72" s="43">
        <f t="shared" si="15"/>
        <v>0</v>
      </c>
      <c r="G72" s="44">
        <f xml:space="preserve"> 'Growth &amp; yield data'!C73</f>
        <v>25.9</v>
      </c>
      <c r="H72" s="44">
        <f xml:space="preserve"> 'Growth &amp; yield data'!F73</f>
        <v>423.8</v>
      </c>
      <c r="I72" s="43">
        <f t="shared" si="18"/>
        <v>388.70706156829999</v>
      </c>
      <c r="J72" s="44">
        <f t="shared" si="14"/>
        <v>164734.05269264555</v>
      </c>
      <c r="K72" s="43">
        <v>0</v>
      </c>
      <c r="L72" s="43">
        <f t="shared" si="6"/>
        <v>0</v>
      </c>
      <c r="M72" s="57">
        <f t="shared" si="16"/>
        <v>0</v>
      </c>
      <c r="N72" s="44">
        <f t="shared" si="7"/>
        <v>164734.05269264555</v>
      </c>
      <c r="O72" s="51">
        <f xml:space="preserve"> SUM($M$15:M71) + N72*((1+$C$6)^(-B72))</f>
        <v>72695.89633995753</v>
      </c>
      <c r="P72" s="51">
        <f t="shared" si="17"/>
        <v>127088.93737360353</v>
      </c>
      <c r="Q72" s="54">
        <f t="shared" si="9"/>
        <v>355244.92105385766</v>
      </c>
      <c r="R72" s="54">
        <f t="shared" si="8"/>
        <v>355244.92105385766</v>
      </c>
      <c r="S72" s="54">
        <f t="shared" si="4"/>
        <v>355244.92105385673</v>
      </c>
      <c r="T72" s="54">
        <f t="shared" si="5"/>
        <v>355244.92105385673</v>
      </c>
      <c r="U72" s="54"/>
      <c r="V72" s="63">
        <f t="shared" si="10"/>
        <v>6445.038097937394</v>
      </c>
      <c r="W72" s="63">
        <f t="shared" si="11"/>
        <v>4377.3448509937361</v>
      </c>
      <c r="X72" s="63" t="str">
        <f t="shared" si="12"/>
        <v>MIV &gt; MOC</v>
      </c>
      <c r="Y72" s="65">
        <f xml:space="preserve"> (SUM($D$15:D71) + H72)/B72</f>
        <v>12.671929824561403</v>
      </c>
      <c r="Z72" s="65">
        <f xml:space="preserve"> 'Growth &amp; yield data'!F74 - 'Growth &amp; yield data'!O73</f>
        <v>16.199999999999989</v>
      </c>
      <c r="AA72" s="117"/>
    </row>
    <row r="73" spans="1:27" x14ac:dyDescent="0.3">
      <c r="A73" s="31">
        <v>60</v>
      </c>
      <c r="B73" s="31">
        <v>58</v>
      </c>
      <c r="C73" s="43">
        <f xml:space="preserve"> 'Growth &amp; yield data'!G74</f>
        <v>24.9</v>
      </c>
      <c r="D73" s="43">
        <f xml:space="preserve"> 'Growth &amp; yield data'!J74</f>
        <v>76.8</v>
      </c>
      <c r="E73" s="43">
        <f xml:space="preserve">  $F$10*(C73^4) + $F$9*(C73^3) + $F$8*(C73^2) + $F$7*C73 + $F$6</f>
        <v>387.37204260030001</v>
      </c>
      <c r="F73" s="43">
        <f t="shared" si="15"/>
        <v>29750.172871703038</v>
      </c>
      <c r="G73" s="44">
        <f xml:space="preserve"> 'Growth &amp; yield data'!C74</f>
        <v>26.3</v>
      </c>
      <c r="H73" s="44">
        <f xml:space="preserve"> 'Growth &amp; yield data'!F74</f>
        <v>440</v>
      </c>
      <c r="I73" s="43">
        <f t="shared" si="18"/>
        <v>389.26310536829999</v>
      </c>
      <c r="J73" s="44">
        <f t="shared" si="14"/>
        <v>171275.766362052</v>
      </c>
      <c r="K73" s="43">
        <v>0</v>
      </c>
      <c r="L73" s="43">
        <f t="shared" si="6"/>
        <v>29750.172871703038</v>
      </c>
      <c r="M73" s="57">
        <f t="shared" si="16"/>
        <v>12544.664279372049</v>
      </c>
      <c r="N73" s="44">
        <f t="shared" si="7"/>
        <v>171275.766362052</v>
      </c>
      <c r="O73" s="51">
        <f xml:space="preserve"> SUM($M$15:M72) + N73*((1+$C$6)^(-B73))</f>
        <v>74412.37715566768</v>
      </c>
      <c r="P73" s="51">
        <f t="shared" si="17"/>
        <v>128666.99477644202</v>
      </c>
      <c r="Q73" s="54">
        <f t="shared" si="9"/>
        <v>360573.59486966551</v>
      </c>
      <c r="R73" s="54">
        <f t="shared" si="8"/>
        <v>330823.42199796246</v>
      </c>
      <c r="S73" s="54">
        <f t="shared" si="4"/>
        <v>360573.59486966452</v>
      </c>
      <c r="T73" s="54">
        <f t="shared" si="5"/>
        <v>330823.42199796147</v>
      </c>
      <c r="U73" s="54"/>
      <c r="V73" s="63">
        <f t="shared" si="10"/>
        <v>6608.4220831011698</v>
      </c>
      <c r="W73" s="63">
        <f t="shared" si="11"/>
        <v>4499.1414170774096</v>
      </c>
      <c r="X73" s="63" t="str">
        <f t="shared" si="12"/>
        <v>MIV &gt; MOC</v>
      </c>
      <c r="Y73" s="65">
        <f xml:space="preserve"> (SUM($D$15:D72) + H73)/B73</f>
        <v>12.732758620689655</v>
      </c>
      <c r="Z73" s="65">
        <f xml:space="preserve"> 'Growth &amp; yield data'!F75 - 'Growth &amp; yield data'!O74</f>
        <v>15.199999999999989</v>
      </c>
      <c r="AA73" s="117"/>
    </row>
    <row r="74" spans="1:27" x14ac:dyDescent="0.3">
      <c r="A74" s="31">
        <v>61</v>
      </c>
      <c r="B74" s="31">
        <v>59</v>
      </c>
      <c r="C74" s="43">
        <f xml:space="preserve"> 'Growth &amp; yield data'!G75</f>
        <v>0</v>
      </c>
      <c r="D74" s="43">
        <f xml:space="preserve"> 'Growth &amp; yield data'!J75</f>
        <v>0</v>
      </c>
      <c r="E74" s="43">
        <v>0</v>
      </c>
      <c r="F74" s="43">
        <f t="shared" si="15"/>
        <v>0</v>
      </c>
      <c r="G74" s="44">
        <f xml:space="preserve"> 'Growth &amp; yield data'!C75</f>
        <v>27.2</v>
      </c>
      <c r="H74" s="44">
        <f xml:space="preserve"> 'Growth &amp; yield data'!F75</f>
        <v>378.4</v>
      </c>
      <c r="I74" s="43">
        <f t="shared" si="18"/>
        <v>390.55731847679999</v>
      </c>
      <c r="J74" s="44">
        <f t="shared" si="14"/>
        <v>147786.88931162111</v>
      </c>
      <c r="K74" s="43">
        <v>0</v>
      </c>
      <c r="L74" s="43">
        <f t="shared" si="6"/>
        <v>0</v>
      </c>
      <c r="M74" s="57">
        <f t="shared" si="16"/>
        <v>0</v>
      </c>
      <c r="N74" s="44">
        <f t="shared" si="7"/>
        <v>147786.88931162111</v>
      </c>
      <c r="O74" s="51">
        <f xml:space="preserve"> SUM($M$15:M73) + N74*((1+$C$6)^(-B74))</f>
        <v>76131.619992311345</v>
      </c>
      <c r="P74" s="51">
        <f t="shared" si="17"/>
        <v>130236.45428147295</v>
      </c>
      <c r="Q74" s="54">
        <f t="shared" si="9"/>
        <v>335785.77332793188</v>
      </c>
      <c r="R74" s="54">
        <f t="shared" si="8"/>
        <v>335785.77332793188</v>
      </c>
      <c r="S74" s="54">
        <f t="shared" si="4"/>
        <v>335785.77332793083</v>
      </c>
      <c r="T74" s="54">
        <f t="shared" si="5"/>
        <v>335785.77332793083</v>
      </c>
      <c r="U74" s="54"/>
      <c r="V74" s="63">
        <f t="shared" si="10"/>
        <v>6059.9313443602905</v>
      </c>
      <c r="W74" s="63">
        <f t="shared" si="11"/>
        <v>4170.3501538964101</v>
      </c>
      <c r="X74" s="63" t="str">
        <f t="shared" si="12"/>
        <v>MIV &gt; MOC</v>
      </c>
      <c r="Y74" s="65">
        <f xml:space="preserve"> (SUM($D$15:D73) + H74)/B74</f>
        <v>12.774576271186442</v>
      </c>
      <c r="Z74" s="65">
        <f xml:space="preserve"> 'Growth &amp; yield data'!F76 - 'Growth &amp; yield data'!O75</f>
        <v>15</v>
      </c>
      <c r="AA74" s="117"/>
    </row>
    <row r="75" spans="1:27" x14ac:dyDescent="0.3">
      <c r="A75" s="31">
        <v>62</v>
      </c>
      <c r="B75" s="31">
        <v>60</v>
      </c>
      <c r="C75" s="43">
        <f xml:space="preserve"> 'Growth &amp; yield data'!G76</f>
        <v>0</v>
      </c>
      <c r="D75" s="43">
        <f xml:space="preserve"> 'Growth &amp; yield data'!J76</f>
        <v>0</v>
      </c>
      <c r="E75" s="43">
        <v>0</v>
      </c>
      <c r="F75" s="43">
        <f t="shared" si="15"/>
        <v>0</v>
      </c>
      <c r="G75" s="44">
        <f xml:space="preserve"> 'Growth &amp; yield data'!C76</f>
        <v>27.7</v>
      </c>
      <c r="H75" s="44">
        <f xml:space="preserve"> 'Growth &amp; yield data'!F76</f>
        <v>393.4</v>
      </c>
      <c r="I75" s="43">
        <f t="shared" si="18"/>
        <v>391.30076163230001</v>
      </c>
      <c r="J75" s="44">
        <f t="shared" si="14"/>
        <v>153937.71962614681</v>
      </c>
      <c r="K75" s="43">
        <v>0</v>
      </c>
      <c r="L75" s="43">
        <f t="shared" si="6"/>
        <v>0</v>
      </c>
      <c r="M75" s="57">
        <f t="shared" si="16"/>
        <v>0</v>
      </c>
      <c r="N75" s="44">
        <f t="shared" si="7"/>
        <v>153937.71962614681</v>
      </c>
      <c r="O75" s="51">
        <f xml:space="preserve"> SUM($M$15:M74) + N75*((1+$C$6)^(-B75))</f>
        <v>77741.801366085157</v>
      </c>
      <c r="P75" s="51">
        <f t="shared" si="17"/>
        <v>131608.71940282834</v>
      </c>
      <c r="Q75" s="54">
        <f t="shared" si="9"/>
        <v>340822.55992785085</v>
      </c>
      <c r="R75" s="54">
        <f t="shared" si="8"/>
        <v>340822.55992785085</v>
      </c>
      <c r="S75" s="54">
        <f t="shared" si="4"/>
        <v>340822.55992784974</v>
      </c>
      <c r="T75" s="54">
        <f t="shared" si="5"/>
        <v>340822.55992784974</v>
      </c>
      <c r="U75" s="54"/>
      <c r="V75" s="63">
        <f t="shared" si="10"/>
        <v>6127.1449552137838</v>
      </c>
      <c r="W75" s="63">
        <f t="shared" si="11"/>
        <v>4283.1965854346272</v>
      </c>
      <c r="X75" s="63" t="str">
        <f t="shared" si="12"/>
        <v>MIV &gt; MOC</v>
      </c>
      <c r="Y75" s="65">
        <f xml:space="preserve"> (SUM($D$15:D74) + H75)/B75</f>
        <v>12.811666666666667</v>
      </c>
      <c r="Z75" s="65">
        <f xml:space="preserve"> 'Growth &amp; yield data'!F77 - 'Growth &amp; yield data'!O76</f>
        <v>15.100000000000023</v>
      </c>
      <c r="AA75" s="117"/>
    </row>
    <row r="76" spans="1:27" x14ac:dyDescent="0.3">
      <c r="A76" s="31">
        <v>63</v>
      </c>
      <c r="B76" s="31">
        <v>61</v>
      </c>
      <c r="C76" s="43">
        <f xml:space="preserve"> 'Growth &amp; yield data'!G77</f>
        <v>0</v>
      </c>
      <c r="D76" s="43">
        <f xml:space="preserve"> 'Growth &amp; yield data'!J77</f>
        <v>0</v>
      </c>
      <c r="E76" s="43">
        <v>0</v>
      </c>
      <c r="F76" s="43">
        <f t="shared" si="15"/>
        <v>0</v>
      </c>
      <c r="G76" s="44">
        <f xml:space="preserve"> 'Growth &amp; yield data'!C77</f>
        <v>28.2</v>
      </c>
      <c r="H76" s="44">
        <f xml:space="preserve"> 'Growth &amp; yield data'!F77</f>
        <v>408.5</v>
      </c>
      <c r="I76" s="43">
        <f t="shared" si="18"/>
        <v>392.06064077279996</v>
      </c>
      <c r="J76" s="44">
        <f t="shared" si="14"/>
        <v>160156.77175568879</v>
      </c>
      <c r="K76" s="43">
        <v>0</v>
      </c>
      <c r="L76" s="43">
        <f t="shared" si="6"/>
        <v>0</v>
      </c>
      <c r="M76" s="57">
        <f t="shared" si="16"/>
        <v>0</v>
      </c>
      <c r="N76" s="44">
        <f t="shared" si="7"/>
        <v>160156.77175568879</v>
      </c>
      <c r="O76" s="51">
        <f xml:space="preserve"> SUM($M$15:M75) + N76*((1+$C$6)^(-B76))</f>
        <v>79318.492633973394</v>
      </c>
      <c r="P76" s="51">
        <f t="shared" si="17"/>
        <v>132916.84651247389</v>
      </c>
      <c r="Q76" s="54">
        <f t="shared" si="9"/>
        <v>345934.8983267686</v>
      </c>
      <c r="R76" s="54">
        <f t="shared" si="8"/>
        <v>345934.8983267686</v>
      </c>
      <c r="S76" s="54">
        <f t="shared" si="4"/>
        <v>345934.89832676743</v>
      </c>
      <c r="T76" s="54">
        <f t="shared" si="5"/>
        <v>345934.89832676743</v>
      </c>
      <c r="U76" s="54"/>
      <c r="V76" s="63">
        <f t="shared" si="10"/>
        <v>6129.7310312127465</v>
      </c>
      <c r="W76" s="63">
        <f t="shared" si="11"/>
        <v>4396.1042740224402</v>
      </c>
      <c r="X76" s="63" t="str">
        <f t="shared" si="12"/>
        <v>MIV &gt; MOC</v>
      </c>
      <c r="Y76" s="65">
        <f xml:space="preserve"> (SUM($D$15:D75) + H76)/B76</f>
        <v>12.849180327868853</v>
      </c>
      <c r="Z76" s="65">
        <f xml:space="preserve"> 'Growth &amp; yield data'!F78 - 'Growth &amp; yield data'!O77</f>
        <v>15.199999999999989</v>
      </c>
      <c r="AA76" s="117"/>
    </row>
    <row r="77" spans="1:27" x14ac:dyDescent="0.3">
      <c r="A77" s="31">
        <v>64</v>
      </c>
      <c r="B77" s="31">
        <v>62</v>
      </c>
      <c r="C77" s="43">
        <f xml:space="preserve"> 'Growth &amp; yield data'!G78</f>
        <v>0</v>
      </c>
      <c r="D77" s="43">
        <f xml:space="preserve"> 'Growth &amp; yield data'!J78</f>
        <v>0</v>
      </c>
      <c r="E77" s="43">
        <v>0</v>
      </c>
      <c r="F77" s="43">
        <f t="shared" si="15"/>
        <v>0</v>
      </c>
      <c r="G77" s="44">
        <f xml:space="preserve"> 'Growth &amp; yield data'!C78</f>
        <v>28.6</v>
      </c>
      <c r="H77" s="44">
        <f xml:space="preserve"> 'Growth &amp; yield data'!F78</f>
        <v>423.7</v>
      </c>
      <c r="I77" s="43">
        <f t="shared" si="18"/>
        <v>392.67984128479998</v>
      </c>
      <c r="J77" s="44">
        <f t="shared" si="14"/>
        <v>166378.44875236973</v>
      </c>
      <c r="K77" s="43">
        <v>0</v>
      </c>
      <c r="L77" s="43">
        <f t="shared" si="6"/>
        <v>0</v>
      </c>
      <c r="M77" s="57">
        <f t="shared" si="16"/>
        <v>0</v>
      </c>
      <c r="N77" s="44">
        <f t="shared" si="7"/>
        <v>166378.44875236973</v>
      </c>
      <c r="O77" s="51">
        <f xml:space="preserve"> SUM($M$15:M76) + N77*((1+$C$6)^(-B77))</f>
        <v>80835.86455771637</v>
      </c>
      <c r="P77" s="51">
        <f t="shared" si="17"/>
        <v>134120.20392095385</v>
      </c>
      <c r="Q77" s="54">
        <f t="shared" si="9"/>
        <v>351123.92180167011</v>
      </c>
      <c r="R77" s="54">
        <f t="shared" si="8"/>
        <v>351123.92180167011</v>
      </c>
      <c r="S77" s="54">
        <f t="shared" si="4"/>
        <v>351123.92180166888</v>
      </c>
      <c r="T77" s="54">
        <f t="shared" si="5"/>
        <v>351123.92180166888</v>
      </c>
      <c r="U77" s="54"/>
      <c r="V77" s="63">
        <f t="shared" si="10"/>
        <v>6259.7972886245752</v>
      </c>
      <c r="W77" s="63">
        <f t="shared" si="11"/>
        <v>4507.4797900998537</v>
      </c>
      <c r="X77" s="63" t="str">
        <f t="shared" si="12"/>
        <v>MIV &gt; MOC</v>
      </c>
      <c r="Y77" s="65">
        <f xml:space="preserve"> (SUM($D$15:D76) + H77)/B77</f>
        <v>12.887096774193548</v>
      </c>
      <c r="Z77" s="65">
        <f xml:space="preserve"> 'Growth &amp; yield data'!F79 - 'Growth &amp; yield data'!O78</f>
        <v>15.300000000000011</v>
      </c>
      <c r="AA77" s="117"/>
    </row>
    <row r="78" spans="1:27" x14ac:dyDescent="0.3">
      <c r="A78" s="31">
        <v>65</v>
      </c>
      <c r="B78" s="31">
        <v>63</v>
      </c>
      <c r="C78" s="43">
        <f xml:space="preserve"> 'Growth &amp; yield data'!G79</f>
        <v>0</v>
      </c>
      <c r="D78" s="43">
        <f xml:space="preserve"> 'Growth &amp; yield data'!J79</f>
        <v>0</v>
      </c>
      <c r="E78" s="43">
        <v>0</v>
      </c>
      <c r="F78" s="43">
        <f t="shared" si="15"/>
        <v>0</v>
      </c>
      <c r="G78" s="44">
        <f xml:space="preserve"> 'Growth &amp; yield data'!C79</f>
        <v>29.1</v>
      </c>
      <c r="H78" s="44">
        <f xml:space="preserve"> 'Growth &amp; yield data'!F79</f>
        <v>439</v>
      </c>
      <c r="I78" s="43">
        <f t="shared" si="18"/>
        <v>393.46729612829995</v>
      </c>
      <c r="J78" s="44">
        <f t="shared" si="14"/>
        <v>172732.14300032367</v>
      </c>
      <c r="K78" s="43">
        <v>0</v>
      </c>
      <c r="L78" s="43">
        <f t="shared" si="6"/>
        <v>0</v>
      </c>
      <c r="M78" s="57">
        <f t="shared" si="16"/>
        <v>0</v>
      </c>
      <c r="N78" s="44">
        <f t="shared" si="7"/>
        <v>172732.14300032367</v>
      </c>
      <c r="O78" s="51">
        <f xml:space="preserve"> SUM($M$15:M77) + N78*((1+$C$6)^(-B78))</f>
        <v>82345.956998049121</v>
      </c>
      <c r="P78" s="51">
        <f t="shared" si="17"/>
        <v>135307.61595728237</v>
      </c>
      <c r="Q78" s="54">
        <f t="shared" si="9"/>
        <v>356390.78062869509</v>
      </c>
      <c r="R78" s="54">
        <f t="shared" si="8"/>
        <v>356390.78062869509</v>
      </c>
      <c r="S78" s="54">
        <f t="shared" si="4"/>
        <v>356390.78062869387</v>
      </c>
      <c r="T78" s="54">
        <f t="shared" si="5"/>
        <v>356390.78062869387</v>
      </c>
      <c r="U78" s="54"/>
      <c r="V78" s="63">
        <f t="shared" si="10"/>
        <v>6328.7424845696987</v>
      </c>
      <c r="W78" s="63">
        <f t="shared" si="11"/>
        <v>4620.5963843640902</v>
      </c>
      <c r="X78" s="63" t="str">
        <f t="shared" si="12"/>
        <v>MIV &gt; MOC</v>
      </c>
      <c r="Y78" s="65">
        <f xml:space="preserve"> (SUM($D$15:D77) + H78)/B78</f>
        <v>12.925396825396824</v>
      </c>
      <c r="Z78" s="65">
        <f xml:space="preserve"> 'Growth &amp; yield data'!F80 - 'Growth &amp; yield data'!O79</f>
        <v>15.399999999999977</v>
      </c>
      <c r="AA78" s="117"/>
    </row>
    <row r="79" spans="1:27" x14ac:dyDescent="0.3">
      <c r="A79" s="31">
        <v>66</v>
      </c>
      <c r="B79" s="31">
        <v>64</v>
      </c>
      <c r="C79" s="43">
        <f xml:space="preserve"> 'Growth &amp; yield data'!G80</f>
        <v>0</v>
      </c>
      <c r="D79" s="43">
        <f xml:space="preserve"> 'Growth &amp; yield data'!J80</f>
        <v>0</v>
      </c>
      <c r="E79" s="43">
        <v>0</v>
      </c>
      <c r="F79" s="43">
        <f t="shared" ref="F79:F110" si="19" xml:space="preserve"> D79*E79</f>
        <v>0</v>
      </c>
      <c r="G79" s="44">
        <f xml:space="preserve"> 'Growth &amp; yield data'!C80</f>
        <v>29.6</v>
      </c>
      <c r="H79" s="44">
        <f xml:space="preserve"> 'Growth &amp; yield data'!F80</f>
        <v>454.4</v>
      </c>
      <c r="I79" s="43">
        <f t="shared" si="18"/>
        <v>394.26896263679998</v>
      </c>
      <c r="J79" s="44">
        <f t="shared" si="14"/>
        <v>179155.81662216192</v>
      </c>
      <c r="K79" s="43">
        <v>0</v>
      </c>
      <c r="L79" s="43">
        <f t="shared" si="6"/>
        <v>0</v>
      </c>
      <c r="M79" s="57">
        <f t="shared" ref="M79:M110" si="20">L79*((1+$C$6)^(-B79))</f>
        <v>0</v>
      </c>
      <c r="N79" s="44">
        <f t="shared" si="7"/>
        <v>179155.81662216192</v>
      </c>
      <c r="O79" s="51">
        <f xml:space="preserve"> SUM($M$15:M78) + N79*((1+$C$6)^(-B79))</f>
        <v>83823.966264737945</v>
      </c>
      <c r="P79" s="51">
        <f t="shared" ref="P79:P110" si="21" xml:space="preserve"> O79/(1-((1+$C$6)^(-B79)))</f>
        <v>136439.38858208124</v>
      </c>
      <c r="Q79" s="54">
        <f t="shared" si="9"/>
        <v>361736.6423381255</v>
      </c>
      <c r="R79" s="54">
        <f t="shared" si="8"/>
        <v>361736.6423381255</v>
      </c>
      <c r="S79" s="54">
        <f t="shared" ref="S79:S123" si="22" xml:space="preserve"> T79+L79</f>
        <v>361736.64233812422</v>
      </c>
      <c r="T79" s="54">
        <f t="shared" ref="T79:T123" si="23" xml:space="preserve"> S80*(1+$C$6)^(-1)</f>
        <v>361736.64233812422</v>
      </c>
      <c r="U79" s="54"/>
      <c r="V79" s="63">
        <f t="shared" si="10"/>
        <v>6398.2076883576692</v>
      </c>
      <c r="W79" s="63">
        <f t="shared" si="11"/>
        <v>4733.9280780636473</v>
      </c>
      <c r="X79" s="63" t="str">
        <f t="shared" si="12"/>
        <v>MIV &gt; MOC</v>
      </c>
      <c r="Y79" s="65">
        <f xml:space="preserve"> (SUM($D$15:D78) + H79)/B79</f>
        <v>12.964062500000001</v>
      </c>
      <c r="Z79" s="65">
        <f xml:space="preserve"> 'Growth &amp; yield data'!F81 - 'Growth &amp; yield data'!O80</f>
        <v>15.5</v>
      </c>
      <c r="AA79" s="117"/>
    </row>
    <row r="80" spans="1:27" x14ac:dyDescent="0.3">
      <c r="A80" s="31">
        <v>67</v>
      </c>
      <c r="B80" s="31">
        <v>65</v>
      </c>
      <c r="C80" s="43">
        <f xml:space="preserve"> 'Growth &amp; yield data'!G81</f>
        <v>28.6</v>
      </c>
      <c r="D80" s="43">
        <f xml:space="preserve"> 'Growth &amp; yield data'!J81</f>
        <v>73.8</v>
      </c>
      <c r="E80" s="43">
        <f xml:space="preserve">  $F$10*(C80^4) + $F$9*(C80^3) + $F$8*(C80^2) + $F$7*C80 + $F$6</f>
        <v>392.67984128479998</v>
      </c>
      <c r="F80" s="43">
        <f t="shared" si="19"/>
        <v>28979.772286818235</v>
      </c>
      <c r="G80" s="44">
        <f xml:space="preserve"> 'Growth &amp; yield data'!C81</f>
        <v>30.1</v>
      </c>
      <c r="H80" s="44">
        <f xml:space="preserve"> 'Growth &amp; yield data'!F81</f>
        <v>469.9</v>
      </c>
      <c r="I80" s="43">
        <f t="shared" si="18"/>
        <v>395.08405496029997</v>
      </c>
      <c r="J80" s="44">
        <f t="shared" si="14"/>
        <v>185649.99742584495</v>
      </c>
      <c r="K80" s="43">
        <v>0</v>
      </c>
      <c r="L80" s="43">
        <f t="shared" ref="L80:L143" si="24" xml:space="preserve"> F80 - K80</f>
        <v>28979.772286818235</v>
      </c>
      <c r="M80" s="57">
        <f t="shared" si="20"/>
        <v>11010.37783043858</v>
      </c>
      <c r="N80" s="44">
        <f t="shared" ref="N80:N143" si="25" xml:space="preserve"> J80 - K80</f>
        <v>185649.99742584495</v>
      </c>
      <c r="O80" s="51">
        <f xml:space="preserve"> SUM($M$15:M79) + N80*((1+$C$6)^(-B80))</f>
        <v>85270.312545858847</v>
      </c>
      <c r="P80" s="51">
        <f t="shared" si="21"/>
        <v>137517.94733002217</v>
      </c>
      <c r="Q80" s="54">
        <f t="shared" si="9"/>
        <v>367162.69197319733</v>
      </c>
      <c r="R80" s="54">
        <f t="shared" ref="R80:R124" si="26" xml:space="preserve"> Q80-L80</f>
        <v>338182.91968637909</v>
      </c>
      <c r="S80" s="54">
        <f t="shared" si="22"/>
        <v>367162.69197319605</v>
      </c>
      <c r="T80" s="54">
        <f t="shared" si="23"/>
        <v>338182.91968637781</v>
      </c>
      <c r="U80" s="54"/>
      <c r="V80" s="63">
        <f t="shared" si="10"/>
        <v>6513.7108478080663</v>
      </c>
      <c r="W80" s="63">
        <f t="shared" si="11"/>
        <v>4847.5191713380063</v>
      </c>
      <c r="X80" s="63" t="str">
        <f t="shared" si="12"/>
        <v>MIV &gt; MOC</v>
      </c>
      <c r="Y80" s="65">
        <f xml:space="preserve"> (SUM($D$15:D79) + H80)/B80</f>
        <v>13.003076923076923</v>
      </c>
      <c r="Z80" s="65">
        <f xml:space="preserve"> 'Growth &amp; yield data'!F82 - 'Growth &amp; yield data'!O81</f>
        <v>14.699999999999989</v>
      </c>
      <c r="AA80" s="117"/>
    </row>
    <row r="81" spans="1:27" x14ac:dyDescent="0.3">
      <c r="A81" s="31">
        <v>68</v>
      </c>
      <c r="B81" s="31">
        <v>66</v>
      </c>
      <c r="C81" s="43">
        <f xml:space="preserve"> 'Growth &amp; yield data'!G82</f>
        <v>0</v>
      </c>
      <c r="D81" s="43">
        <f xml:space="preserve"> 'Growth &amp; yield data'!J82</f>
        <v>0</v>
      </c>
      <c r="E81" s="43">
        <v>0</v>
      </c>
      <c r="F81" s="43">
        <f t="shared" si="19"/>
        <v>0</v>
      </c>
      <c r="G81" s="44">
        <f xml:space="preserve"> 'Growth &amp; yield data'!C82</f>
        <v>30.9</v>
      </c>
      <c r="H81" s="44">
        <f xml:space="preserve"> 'Growth &amp; yield data'!F82</f>
        <v>410.8</v>
      </c>
      <c r="I81" s="43">
        <f t="shared" si="18"/>
        <v>396.41417980829999</v>
      </c>
      <c r="J81" s="44">
        <f t="shared" si="14"/>
        <v>162846.94506524963</v>
      </c>
      <c r="K81" s="43">
        <v>0</v>
      </c>
      <c r="L81" s="43">
        <f t="shared" si="24"/>
        <v>0</v>
      </c>
      <c r="M81" s="57">
        <f t="shared" si="20"/>
        <v>0</v>
      </c>
      <c r="N81" s="44">
        <f t="shared" si="25"/>
        <v>162846.94506524963</v>
      </c>
      <c r="O81" s="51">
        <f xml:space="preserve"> SUM($M$15:M80) + N81*((1+$C$6)^(-B81))</f>
        <v>86702.704363698926</v>
      </c>
      <c r="P81" s="51">
        <f t="shared" si="21"/>
        <v>138573.21140775498</v>
      </c>
      <c r="Q81" s="54">
        <f t="shared" ref="Q81:Q125" si="27" xml:space="preserve"> R80*(1+$C$6)^1</f>
        <v>343255.66348167474</v>
      </c>
      <c r="R81" s="54">
        <f t="shared" si="26"/>
        <v>343255.66348167474</v>
      </c>
      <c r="S81" s="54">
        <f t="shared" si="22"/>
        <v>343255.6634816734</v>
      </c>
      <c r="T81" s="54">
        <f t="shared" si="23"/>
        <v>343255.6634816734</v>
      </c>
      <c r="U81" s="54"/>
      <c r="V81" s="63">
        <f t="shared" ref="V81:V144" si="28" xml:space="preserve"> (J82-J81)*(1+$C$6)^(A81-A82) + L81</f>
        <v>6056.8334958583737</v>
      </c>
      <c r="W81" s="63">
        <f t="shared" ref="W81:W144" si="29" xml:space="preserve"> (J81+P81)*$C$6</f>
        <v>4521.3023470950693</v>
      </c>
      <c r="X81" s="63" t="str">
        <f t="shared" ref="X81:X144" si="30" xml:space="preserve"> IF(V81&gt;W81, "MIV &gt; MOC", "MOC &gt; MIV")</f>
        <v>MIV &gt; MOC</v>
      </c>
      <c r="Y81" s="65">
        <f xml:space="preserve"> (SUM($D$15:D80) + H81)/B81</f>
        <v>13.028787878787881</v>
      </c>
      <c r="Z81" s="65">
        <f xml:space="preserve"> 'Growth &amp; yield data'!F83 - 'Growth &amp; yield data'!O82</f>
        <v>14.599999999999966</v>
      </c>
      <c r="AA81" s="117"/>
    </row>
    <row r="82" spans="1:27" x14ac:dyDescent="0.3">
      <c r="A82" s="31">
        <v>69</v>
      </c>
      <c r="B82" s="31">
        <v>67</v>
      </c>
      <c r="C82" s="43">
        <f xml:space="preserve"> 'Growth &amp; yield data'!G83</f>
        <v>0</v>
      </c>
      <c r="D82" s="43">
        <f xml:space="preserve"> 'Growth &amp; yield data'!J83</f>
        <v>0</v>
      </c>
      <c r="E82" s="43">
        <v>0</v>
      </c>
      <c r="F82" s="43">
        <f t="shared" si="19"/>
        <v>0</v>
      </c>
      <c r="G82" s="44">
        <f xml:space="preserve"> 'Growth &amp; yield data'!C83</f>
        <v>31.4</v>
      </c>
      <c r="H82" s="44">
        <f xml:space="preserve"> 'Growth &amp; yield data'!F83</f>
        <v>425.4</v>
      </c>
      <c r="I82" s="43">
        <f t="shared" si="18"/>
        <v>397.26053376479996</v>
      </c>
      <c r="J82" s="44">
        <f t="shared" si="14"/>
        <v>168994.63106354588</v>
      </c>
      <c r="K82" s="43">
        <v>0</v>
      </c>
      <c r="L82" s="43">
        <f t="shared" si="24"/>
        <v>0</v>
      </c>
      <c r="M82" s="57">
        <f t="shared" si="20"/>
        <v>0</v>
      </c>
      <c r="N82" s="44">
        <f t="shared" si="25"/>
        <v>168994.63106354588</v>
      </c>
      <c r="O82" s="51">
        <f xml:space="preserve"> SUM($M$15:M81) + N82*((1+$C$6)^(-B82))</f>
        <v>88069.052129063828</v>
      </c>
      <c r="P82" s="51">
        <f t="shared" si="21"/>
        <v>139523.42662455572</v>
      </c>
      <c r="Q82" s="54">
        <f t="shared" si="27"/>
        <v>348404.49843389983</v>
      </c>
      <c r="R82" s="54">
        <f t="shared" si="26"/>
        <v>348404.49843389983</v>
      </c>
      <c r="S82" s="54">
        <f t="shared" si="22"/>
        <v>348404.49843389844</v>
      </c>
      <c r="T82" s="54">
        <f t="shared" si="23"/>
        <v>348404.49843389844</v>
      </c>
      <c r="U82" s="54"/>
      <c r="V82" s="63">
        <f t="shared" si="28"/>
        <v>6011.1383547646565</v>
      </c>
      <c r="W82" s="63">
        <f t="shared" si="29"/>
        <v>4627.7708653215241</v>
      </c>
      <c r="X82" s="63" t="str">
        <f t="shared" si="30"/>
        <v>MIV &gt; MOC</v>
      </c>
      <c r="Y82" s="65">
        <f xml:space="preserve"> (SUM($D$15:D81) + H82)/B82</f>
        <v>13.052238805970148</v>
      </c>
      <c r="Z82" s="65">
        <f xml:space="preserve"> 'Growth &amp; yield data'!F84 - 'Growth &amp; yield data'!O83</f>
        <v>14.600000000000023</v>
      </c>
      <c r="AA82" s="117"/>
    </row>
    <row r="83" spans="1:27" x14ac:dyDescent="0.3">
      <c r="A83" s="31">
        <v>70</v>
      </c>
      <c r="B83" s="31">
        <v>68</v>
      </c>
      <c r="C83" s="43">
        <f xml:space="preserve"> 'Growth &amp; yield data'!G84</f>
        <v>0</v>
      </c>
      <c r="D83" s="43">
        <f xml:space="preserve"> 'Growth &amp; yield data'!J84</f>
        <v>0</v>
      </c>
      <c r="E83" s="43">
        <v>0</v>
      </c>
      <c r="F83" s="43">
        <f t="shared" si="19"/>
        <v>0</v>
      </c>
      <c r="G83" s="44">
        <f xml:space="preserve"> 'Growth &amp; yield data'!C84</f>
        <v>31.8</v>
      </c>
      <c r="H83" s="44">
        <f xml:space="preserve"> 'Growth &amp; yield data'!F84</f>
        <v>440</v>
      </c>
      <c r="I83" s="43">
        <f t="shared" si="18"/>
        <v>397.9453102128</v>
      </c>
      <c r="J83" s="44">
        <f t="shared" si="14"/>
        <v>175095.93649363201</v>
      </c>
      <c r="K83" s="43">
        <v>0</v>
      </c>
      <c r="L83" s="43">
        <f t="shared" si="24"/>
        <v>0</v>
      </c>
      <c r="M83" s="57">
        <f t="shared" si="20"/>
        <v>0</v>
      </c>
      <c r="N83" s="44">
        <f t="shared" si="25"/>
        <v>175095.93649363201</v>
      </c>
      <c r="O83" s="51">
        <f xml:space="preserve"> SUM($M$15:M82) + N83*((1+$C$6)^(-B83))</f>
        <v>89364.850617447781</v>
      </c>
      <c r="P83" s="51">
        <f t="shared" si="21"/>
        <v>140364.35606770508</v>
      </c>
      <c r="Q83" s="54">
        <f t="shared" si="27"/>
        <v>353630.56591040827</v>
      </c>
      <c r="R83" s="54">
        <f t="shared" si="26"/>
        <v>353630.56591040827</v>
      </c>
      <c r="S83" s="54">
        <f t="shared" si="22"/>
        <v>353630.56591040688</v>
      </c>
      <c r="T83" s="54">
        <f t="shared" si="23"/>
        <v>353630.56591040688</v>
      </c>
      <c r="U83" s="54"/>
      <c r="V83" s="63">
        <f t="shared" si="28"/>
        <v>6150.8237674707334</v>
      </c>
      <c r="W83" s="63">
        <f t="shared" si="29"/>
        <v>4731.9043884200564</v>
      </c>
      <c r="X83" s="63" t="str">
        <f t="shared" si="30"/>
        <v>MIV &gt; MOC</v>
      </c>
      <c r="Y83" s="65">
        <f xml:space="preserve"> (SUM($D$15:D82) + H83)/B83</f>
        <v>13.075000000000001</v>
      </c>
      <c r="Z83" s="65">
        <f xml:space="preserve"> 'Growth &amp; yield data'!F85 - 'Growth &amp; yield data'!O84</f>
        <v>14.699999999999989</v>
      </c>
      <c r="AA83" s="117"/>
    </row>
    <row r="84" spans="1:27" x14ac:dyDescent="0.3">
      <c r="A84" s="31">
        <v>71</v>
      </c>
      <c r="B84" s="31">
        <v>69</v>
      </c>
      <c r="C84" s="43">
        <f xml:space="preserve"> 'Growth &amp; yield data'!G85</f>
        <v>0</v>
      </c>
      <c r="D84" s="43">
        <f xml:space="preserve"> 'Growth &amp; yield data'!J85</f>
        <v>0</v>
      </c>
      <c r="E84" s="43">
        <v>0</v>
      </c>
      <c r="F84" s="43">
        <f t="shared" si="19"/>
        <v>0</v>
      </c>
      <c r="G84" s="44">
        <f xml:space="preserve"> 'Growth &amp; yield data'!C85</f>
        <v>32.299999999999997</v>
      </c>
      <c r="H84" s="44">
        <f xml:space="preserve"> 'Growth &amp; yield data'!F85</f>
        <v>454.7</v>
      </c>
      <c r="I84" s="43">
        <f t="shared" si="18"/>
        <v>398.81025427229997</v>
      </c>
      <c r="J84" s="44">
        <f t="shared" si="14"/>
        <v>181339.0226176148</v>
      </c>
      <c r="K84" s="43">
        <v>0</v>
      </c>
      <c r="L84" s="43">
        <f t="shared" si="24"/>
        <v>0</v>
      </c>
      <c r="M84" s="57">
        <f t="shared" si="20"/>
        <v>0</v>
      </c>
      <c r="N84" s="44">
        <f t="shared" si="25"/>
        <v>181339.0226176148</v>
      </c>
      <c r="O84" s="51">
        <f xml:space="preserve"> SUM($M$15:M83) + N84*((1+$C$6)^(-B84))</f>
        <v>90659.491197956886</v>
      </c>
      <c r="P84" s="51">
        <f t="shared" si="21"/>
        <v>141206.91925721194</v>
      </c>
      <c r="Q84" s="54">
        <f t="shared" si="27"/>
        <v>358935.02439906436</v>
      </c>
      <c r="R84" s="54">
        <f t="shared" si="26"/>
        <v>358935.02439906436</v>
      </c>
      <c r="S84" s="54">
        <f t="shared" si="22"/>
        <v>358935.02439906291</v>
      </c>
      <c r="T84" s="54">
        <f t="shared" si="23"/>
        <v>358935.02439906291</v>
      </c>
      <c r="U84" s="54"/>
      <c r="V84" s="63">
        <f t="shared" si="28"/>
        <v>6258.9152787728908</v>
      </c>
      <c r="W84" s="63">
        <f t="shared" si="29"/>
        <v>4838.1891281224007</v>
      </c>
      <c r="X84" s="63" t="str">
        <f t="shared" si="30"/>
        <v>MIV &gt; MOC</v>
      </c>
      <c r="Y84" s="65">
        <f xml:space="preserve"> (SUM($D$15:D83) + H84)/B84</f>
        <v>13.098550724637681</v>
      </c>
      <c r="Z84" s="65">
        <f xml:space="preserve"> 'Growth &amp; yield data'!F86 - 'Growth &amp; yield data'!O85</f>
        <v>14.900000000000034</v>
      </c>
      <c r="AA84" s="117"/>
    </row>
    <row r="85" spans="1:27" x14ac:dyDescent="0.3">
      <c r="A85" s="31">
        <v>72</v>
      </c>
      <c r="B85" s="31">
        <v>70</v>
      </c>
      <c r="C85" s="43">
        <f xml:space="preserve"> 'Growth &amp; yield data'!G86</f>
        <v>0</v>
      </c>
      <c r="D85" s="43">
        <f xml:space="preserve"> 'Growth &amp; yield data'!J86</f>
        <v>0</v>
      </c>
      <c r="E85" s="43">
        <v>0</v>
      </c>
      <c r="F85" s="43">
        <f t="shared" si="19"/>
        <v>0</v>
      </c>
      <c r="G85" s="44">
        <f xml:space="preserve"> 'Growth &amp; yield data'!C86</f>
        <v>32.799999999999997</v>
      </c>
      <c r="H85" s="44">
        <f xml:space="preserve"> 'Growth &amp; yield data'!F86</f>
        <v>469.6</v>
      </c>
      <c r="I85" s="43">
        <f t="shared" si="18"/>
        <v>399.68445831679998</v>
      </c>
      <c r="J85" s="44">
        <f t="shared" si="14"/>
        <v>187691.82162556928</v>
      </c>
      <c r="K85" s="43">
        <v>0</v>
      </c>
      <c r="L85" s="43">
        <f t="shared" si="24"/>
        <v>0</v>
      </c>
      <c r="M85" s="57">
        <f t="shared" si="20"/>
        <v>0</v>
      </c>
      <c r="N85" s="44">
        <f t="shared" si="25"/>
        <v>187691.82162556928</v>
      </c>
      <c r="O85" s="51">
        <f xml:space="preserve"> SUM($M$15:M84) + N85*((1+$C$6)^(-B85))</f>
        <v>91940.665475312286</v>
      </c>
      <c r="P85" s="51">
        <f t="shared" si="21"/>
        <v>142032.11454223233</v>
      </c>
      <c r="Q85" s="54">
        <f t="shared" si="27"/>
        <v>364319.04976505029</v>
      </c>
      <c r="R85" s="54">
        <f t="shared" si="26"/>
        <v>364319.04976505029</v>
      </c>
      <c r="S85" s="54">
        <f t="shared" si="22"/>
        <v>364319.04976504878</v>
      </c>
      <c r="T85" s="54">
        <f t="shared" si="23"/>
        <v>364319.04976504878</v>
      </c>
      <c r="U85" s="54"/>
      <c r="V85" s="63">
        <f t="shared" si="28"/>
        <v>6288.64035516065</v>
      </c>
      <c r="W85" s="63">
        <f t="shared" si="29"/>
        <v>4945.8590425170241</v>
      </c>
      <c r="X85" s="63" t="str">
        <f t="shared" si="30"/>
        <v>MIV &gt; MOC</v>
      </c>
      <c r="Y85" s="65">
        <f xml:space="preserve"> (SUM($D$15:D84) + H85)/B85</f>
        <v>13.124285714285715</v>
      </c>
      <c r="Z85" s="65">
        <f xml:space="preserve"> 'Growth &amp; yield data'!F87 - 'Growth &amp; yield data'!O86</f>
        <v>14.899999999999977</v>
      </c>
      <c r="AA85" s="117"/>
    </row>
    <row r="86" spans="1:27" x14ac:dyDescent="0.3">
      <c r="A86" s="31">
        <v>73</v>
      </c>
      <c r="B86" s="31">
        <v>71</v>
      </c>
      <c r="C86" s="43">
        <f xml:space="preserve"> 'Growth &amp; yield data'!G87</f>
        <v>0</v>
      </c>
      <c r="D86" s="43">
        <f xml:space="preserve"> 'Growth &amp; yield data'!J87</f>
        <v>0</v>
      </c>
      <c r="E86" s="43">
        <v>0</v>
      </c>
      <c r="F86" s="43">
        <f t="shared" si="19"/>
        <v>0</v>
      </c>
      <c r="G86" s="44">
        <f xml:space="preserve"> 'Growth &amp; yield data'!C87</f>
        <v>33.299999999999997</v>
      </c>
      <c r="H86" s="44">
        <f xml:space="preserve"> 'Growth &amp; yield data'!F87</f>
        <v>484.5</v>
      </c>
      <c r="I86" s="43">
        <f t="shared" si="18"/>
        <v>400.5671652963</v>
      </c>
      <c r="J86" s="44">
        <f t="shared" si="14"/>
        <v>194074.79158605734</v>
      </c>
      <c r="K86" s="43">
        <v>0</v>
      </c>
      <c r="L86" s="43">
        <f t="shared" si="24"/>
        <v>0</v>
      </c>
      <c r="M86" s="57">
        <f t="shared" si="20"/>
        <v>0</v>
      </c>
      <c r="N86" s="44">
        <f t="shared" si="25"/>
        <v>194074.79158605734</v>
      </c>
      <c r="O86" s="51">
        <f xml:space="preserve"> SUM($M$15:M85) + N86*((1+$C$6)^(-B86))</f>
        <v>93180.278866432112</v>
      </c>
      <c r="P86" s="51">
        <f t="shared" si="21"/>
        <v>142797.35415606454</v>
      </c>
      <c r="Q86" s="54">
        <f t="shared" si="27"/>
        <v>369783.83551152603</v>
      </c>
      <c r="R86" s="54">
        <f t="shared" si="26"/>
        <v>369783.83551152603</v>
      </c>
      <c r="S86" s="54">
        <f t="shared" si="22"/>
        <v>369783.83551152446</v>
      </c>
      <c r="T86" s="54">
        <f t="shared" si="23"/>
        <v>369783.83551152446</v>
      </c>
      <c r="U86" s="54"/>
      <c r="V86" s="63">
        <f t="shared" si="28"/>
        <v>6318.3696263509046</v>
      </c>
      <c r="W86" s="63">
        <f t="shared" si="29"/>
        <v>5053.0821861318273</v>
      </c>
      <c r="X86" s="63" t="str">
        <f t="shared" si="30"/>
        <v>MIV &gt; MOC</v>
      </c>
      <c r="Y86" s="65">
        <f xml:space="preserve"> (SUM($D$15:D85) + H86)/B86</f>
        <v>13.149295774647888</v>
      </c>
      <c r="Z86" s="65">
        <f xml:space="preserve"> 'Growth &amp; yield data'!F88 - 'Growth &amp; yield data'!O87</f>
        <v>14.899999999999977</v>
      </c>
      <c r="AA86" s="117"/>
    </row>
    <row r="87" spans="1:27" x14ac:dyDescent="0.3">
      <c r="A87" s="31">
        <v>74</v>
      </c>
      <c r="B87" s="31">
        <v>72</v>
      </c>
      <c r="C87" s="43">
        <f xml:space="preserve"> 'Growth &amp; yield data'!G88</f>
        <v>32.5</v>
      </c>
      <c r="D87" s="43">
        <f xml:space="preserve"> 'Growth &amp; yield data'!J88</f>
        <v>71.7</v>
      </c>
      <c r="E87" s="43">
        <f xml:space="preserve">  $F$10*(C87^4) + $F$9*(C87^3) + $F$8*(C87^2) + $F$7*C87 + $F$6</f>
        <v>399.15886718749994</v>
      </c>
      <c r="F87" s="43">
        <f t="shared" si="19"/>
        <v>28619.690777343745</v>
      </c>
      <c r="G87" s="44">
        <f xml:space="preserve"> 'Growth &amp; yield data'!C88</f>
        <v>33.799999999999997</v>
      </c>
      <c r="H87" s="44">
        <f xml:space="preserve"> 'Growth &amp; yield data'!F88</f>
        <v>499.4</v>
      </c>
      <c r="I87" s="43">
        <f t="shared" si="18"/>
        <v>401.45762266079998</v>
      </c>
      <c r="J87" s="44">
        <f t="shared" si="14"/>
        <v>200487.93675680351</v>
      </c>
      <c r="K87" s="43">
        <v>0</v>
      </c>
      <c r="L87" s="43">
        <f t="shared" si="24"/>
        <v>28619.690777343745</v>
      </c>
      <c r="M87" s="57">
        <f t="shared" si="20"/>
        <v>9797.378697930897</v>
      </c>
      <c r="N87" s="44">
        <f t="shared" si="25"/>
        <v>200487.93675680351</v>
      </c>
      <c r="O87" s="51">
        <f xml:space="preserve"> SUM($M$15:M86) + N87*((1+$C$6)^(-B87))</f>
        <v>94379.126496065117</v>
      </c>
      <c r="P87" s="51">
        <f t="shared" si="21"/>
        <v>143505.29333256348</v>
      </c>
      <c r="Q87" s="54">
        <f t="shared" si="27"/>
        <v>375330.59304419887</v>
      </c>
      <c r="R87" s="54">
        <f t="shared" si="26"/>
        <v>346710.90226685512</v>
      </c>
      <c r="S87" s="54">
        <f t="shared" si="22"/>
        <v>375330.5930441973</v>
      </c>
      <c r="T87" s="54">
        <f t="shared" si="23"/>
        <v>346710.90226685355</v>
      </c>
      <c r="U87" s="54"/>
      <c r="V87" s="63">
        <f t="shared" si="28"/>
        <v>6543.8450808993948</v>
      </c>
      <c r="W87" s="63">
        <f t="shared" si="29"/>
        <v>5159.8984513405048</v>
      </c>
      <c r="X87" s="63" t="str">
        <f t="shared" si="30"/>
        <v>MIV &gt; MOC</v>
      </c>
      <c r="Y87" s="65">
        <f xml:space="preserve"> (SUM($D$15:D86) + H87)/B87</f>
        <v>13.173611111111111</v>
      </c>
      <c r="Z87" s="65">
        <f xml:space="preserve"> 'Growth &amp; yield data'!F89 - 'Growth &amp; yield data'!O88</f>
        <v>14.5</v>
      </c>
      <c r="AA87" s="117"/>
    </row>
    <row r="88" spans="1:27" x14ac:dyDescent="0.3">
      <c r="A88" s="31">
        <v>75</v>
      </c>
      <c r="B88" s="31">
        <v>73</v>
      </c>
      <c r="C88" s="43">
        <f xml:space="preserve"> 'Growth &amp; yield data'!G89</f>
        <v>0</v>
      </c>
      <c r="D88" s="43">
        <f xml:space="preserve"> 'Growth &amp; yield data'!J89</f>
        <v>0</v>
      </c>
      <c r="E88" s="43">
        <v>0</v>
      </c>
      <c r="F88" s="43">
        <f t="shared" si="19"/>
        <v>0</v>
      </c>
      <c r="G88" s="44">
        <f xml:space="preserve"> 'Growth &amp; yield data'!C89</f>
        <v>34.5</v>
      </c>
      <c r="H88" s="44">
        <f xml:space="preserve"> 'Growth &amp; yield data'!F89</f>
        <v>442.2</v>
      </c>
      <c r="I88" s="43">
        <f t="shared" si="18"/>
        <v>402.71586018749997</v>
      </c>
      <c r="J88" s="44">
        <f t="shared" si="14"/>
        <v>178080.9533749125</v>
      </c>
      <c r="K88" s="43">
        <v>0</v>
      </c>
      <c r="L88" s="43">
        <f t="shared" si="24"/>
        <v>0</v>
      </c>
      <c r="M88" s="57">
        <f t="shared" si="20"/>
        <v>0</v>
      </c>
      <c r="N88" s="44">
        <f t="shared" si="25"/>
        <v>178080.9533749125</v>
      </c>
      <c r="O88" s="51">
        <f xml:space="preserve"> SUM($M$15:M87) + N88*((1+$C$6)^(-B88))</f>
        <v>95604.999665687501</v>
      </c>
      <c r="P88" s="51">
        <f t="shared" si="21"/>
        <v>144259.55435715232</v>
      </c>
      <c r="Q88" s="114">
        <f t="shared" si="27"/>
        <v>351911.5658008579</v>
      </c>
      <c r="R88" s="54">
        <f t="shared" si="26"/>
        <v>351911.5658008579</v>
      </c>
      <c r="S88" s="114">
        <f t="shared" si="22"/>
        <v>351911.56580085628</v>
      </c>
      <c r="T88" s="54">
        <f t="shared" si="23"/>
        <v>351911.56580085628</v>
      </c>
      <c r="U88" s="54"/>
      <c r="V88" s="63">
        <f t="shared" si="28"/>
        <v>6041.4486454064008</v>
      </c>
      <c r="W88" s="63">
        <f t="shared" si="29"/>
        <v>4835.1076159809718</v>
      </c>
      <c r="X88" s="63" t="str">
        <f t="shared" si="30"/>
        <v>MIV &gt; MOC</v>
      </c>
      <c r="Y88" s="65">
        <f xml:space="preserve"> (SUM($D$15:D87) + H88)/B88</f>
        <v>13.191780821917808</v>
      </c>
      <c r="Z88" s="65">
        <f xml:space="preserve"> 'Growth &amp; yield data'!F90 - 'Growth &amp; yield data'!O89</f>
        <v>14.199999999999989</v>
      </c>
      <c r="AA88" s="117"/>
    </row>
    <row r="89" spans="1:27" x14ac:dyDescent="0.3">
      <c r="A89" s="31">
        <v>76</v>
      </c>
      <c r="B89" s="31">
        <v>74</v>
      </c>
      <c r="C89" s="43">
        <f xml:space="preserve"> 'Growth &amp; yield data'!G90</f>
        <v>0</v>
      </c>
      <c r="D89" s="43">
        <f xml:space="preserve"> 'Growth &amp; yield data'!J90</f>
        <v>0</v>
      </c>
      <c r="E89" s="43">
        <v>0</v>
      </c>
      <c r="F89" s="43">
        <f t="shared" si="19"/>
        <v>0</v>
      </c>
      <c r="G89" s="44">
        <f xml:space="preserve"> 'Growth &amp; yield data'!C90</f>
        <v>35</v>
      </c>
      <c r="H89" s="44">
        <f xml:space="preserve"> 'Growth &amp; yield data'!F90</f>
        <v>456.4</v>
      </c>
      <c r="I89" s="43">
        <f t="shared" si="18"/>
        <v>403.62187499999999</v>
      </c>
      <c r="J89" s="44">
        <f t="shared" si="14"/>
        <v>184213.02374999999</v>
      </c>
      <c r="K89" s="43">
        <v>0</v>
      </c>
      <c r="L89" s="43">
        <f t="shared" si="24"/>
        <v>0</v>
      </c>
      <c r="M89" s="57">
        <f t="shared" si="20"/>
        <v>0</v>
      </c>
      <c r="N89" s="44">
        <f t="shared" si="25"/>
        <v>184213.02374999999</v>
      </c>
      <c r="O89" s="51">
        <f xml:space="preserve"> SUM($M$15:M88) + N89*((1+$C$6)^(-B89))</f>
        <v>96754.995884400385</v>
      </c>
      <c r="P89" s="51">
        <f t="shared" si="21"/>
        <v>144904.98608468531</v>
      </c>
      <c r="Q89" s="54">
        <f t="shared" si="27"/>
        <v>357190.23928787076</v>
      </c>
      <c r="R89" s="54">
        <f t="shared" si="26"/>
        <v>357190.23928787076</v>
      </c>
      <c r="S89" s="54">
        <f t="shared" si="22"/>
        <v>357190.23928786907</v>
      </c>
      <c r="T89" s="54">
        <f t="shared" si="23"/>
        <v>357190.23928786907</v>
      </c>
      <c r="U89" s="54"/>
      <c r="V89" s="63">
        <f t="shared" si="28"/>
        <v>6193.8546612139644</v>
      </c>
      <c r="W89" s="63">
        <f t="shared" si="29"/>
        <v>4936.7701475202794</v>
      </c>
      <c r="X89" s="63" t="str">
        <f t="shared" si="30"/>
        <v>MIV &gt; MOC</v>
      </c>
      <c r="Y89" s="65">
        <f xml:space="preserve"> (SUM($D$15:D88) + H89)/B89</f>
        <v>13.205405405405406</v>
      </c>
      <c r="Z89" s="65">
        <f xml:space="preserve"> 'Growth &amp; yield data'!F91 - 'Growth &amp; yield data'!O90</f>
        <v>14.300000000000011</v>
      </c>
      <c r="AA89" s="117"/>
    </row>
    <row r="90" spans="1:27" x14ac:dyDescent="0.3">
      <c r="A90" s="31">
        <v>77</v>
      </c>
      <c r="B90" s="31">
        <v>75</v>
      </c>
      <c r="C90" s="43">
        <f xml:space="preserve"> 'Growth &amp; yield data'!G91</f>
        <v>0</v>
      </c>
      <c r="D90" s="43">
        <f xml:space="preserve"> 'Growth &amp; yield data'!J91</f>
        <v>0</v>
      </c>
      <c r="E90" s="43">
        <v>0</v>
      </c>
      <c r="F90" s="43">
        <f t="shared" si="19"/>
        <v>0</v>
      </c>
      <c r="G90" s="44">
        <f xml:space="preserve"> 'Growth &amp; yield data'!C91</f>
        <v>35.6</v>
      </c>
      <c r="H90" s="44">
        <f xml:space="preserve"> 'Growth &amp; yield data'!F91</f>
        <v>470.7</v>
      </c>
      <c r="I90" s="43">
        <f t="shared" si="18"/>
        <v>404.7159257088</v>
      </c>
      <c r="J90" s="44">
        <f t="shared" si="14"/>
        <v>190499.78623113217</v>
      </c>
      <c r="K90" s="43">
        <v>0</v>
      </c>
      <c r="L90" s="43">
        <f t="shared" si="24"/>
        <v>0</v>
      </c>
      <c r="M90" s="57">
        <f t="shared" si="20"/>
        <v>0</v>
      </c>
      <c r="N90" s="44">
        <f t="shared" si="25"/>
        <v>190499.78623113217</v>
      </c>
      <c r="O90" s="51">
        <f xml:space="preserve"> SUM($M$15:M89) + N90*((1+$C$6)^(-B90))</f>
        <v>97908.52717762682</v>
      </c>
      <c r="P90" s="51">
        <f t="shared" si="21"/>
        <v>145562.04720656259</v>
      </c>
      <c r="Q90" s="54">
        <f t="shared" si="27"/>
        <v>362548.09287718881</v>
      </c>
      <c r="R90" s="54">
        <f t="shared" si="26"/>
        <v>362548.09287718881</v>
      </c>
      <c r="S90" s="54">
        <f t="shared" si="22"/>
        <v>362548.09287718707</v>
      </c>
      <c r="T90" s="54">
        <f t="shared" si="23"/>
        <v>362548.09287718707</v>
      </c>
      <c r="U90" s="54"/>
      <c r="V90" s="63">
        <f t="shared" si="28"/>
        <v>6179.827319492164</v>
      </c>
      <c r="W90" s="63">
        <f t="shared" si="29"/>
        <v>5040.9275015654212</v>
      </c>
      <c r="X90" s="63" t="str">
        <f t="shared" si="30"/>
        <v>MIV &gt; MOC</v>
      </c>
      <c r="Y90" s="65">
        <f xml:space="preserve"> (SUM($D$15:D89) + H90)/B90</f>
        <v>13.22</v>
      </c>
      <c r="Z90" s="65">
        <f xml:space="preserve"> 'Growth &amp; yield data'!F92 - 'Growth &amp; yield data'!O91</f>
        <v>14.400000000000034</v>
      </c>
      <c r="AA90" s="117"/>
    </row>
    <row r="91" spans="1:27" x14ac:dyDescent="0.3">
      <c r="A91" s="31">
        <v>78</v>
      </c>
      <c r="B91" s="31">
        <v>76</v>
      </c>
      <c r="C91" s="43">
        <f xml:space="preserve"> 'Growth &amp; yield data'!G92</f>
        <v>0</v>
      </c>
      <c r="D91" s="43">
        <f xml:space="preserve"> 'Growth &amp; yield data'!J92</f>
        <v>0</v>
      </c>
      <c r="E91" s="43">
        <v>0</v>
      </c>
      <c r="F91" s="43">
        <f t="shared" si="19"/>
        <v>0</v>
      </c>
      <c r="G91" s="44">
        <f xml:space="preserve"> 'Growth &amp; yield data'!C92</f>
        <v>36.1</v>
      </c>
      <c r="H91" s="44">
        <f xml:space="preserve"> 'Growth &amp; yield data'!F92</f>
        <v>485.1</v>
      </c>
      <c r="I91" s="43">
        <f t="shared" si="18"/>
        <v>405.63246951229996</v>
      </c>
      <c r="J91" s="44">
        <f t="shared" si="14"/>
        <v>196772.31096041671</v>
      </c>
      <c r="K91" s="43">
        <v>0</v>
      </c>
      <c r="L91" s="43">
        <f t="shared" si="24"/>
        <v>0</v>
      </c>
      <c r="M91" s="57">
        <f t="shared" si="20"/>
        <v>0</v>
      </c>
      <c r="N91" s="44">
        <f t="shared" si="25"/>
        <v>196772.31096041671</v>
      </c>
      <c r="O91" s="51">
        <f xml:space="preserve"> SUM($M$15:M90) + N91*((1+$C$6)^(-B91))</f>
        <v>99010.003205426867</v>
      </c>
      <c r="P91" s="51">
        <f t="shared" si="21"/>
        <v>146148.407433682</v>
      </c>
      <c r="Q91" s="54">
        <f t="shared" si="27"/>
        <v>367986.3142703466</v>
      </c>
      <c r="R91" s="54">
        <f t="shared" si="26"/>
        <v>367986.3142703466</v>
      </c>
      <c r="S91" s="54">
        <f t="shared" si="22"/>
        <v>367986.31427034485</v>
      </c>
      <c r="T91" s="54">
        <f t="shared" si="23"/>
        <v>367986.31427034485</v>
      </c>
      <c r="U91" s="54"/>
      <c r="V91" s="63">
        <f t="shared" si="28"/>
        <v>6247.6692383753352</v>
      </c>
      <c r="W91" s="63">
        <f t="shared" si="29"/>
        <v>5143.8107759114801</v>
      </c>
      <c r="X91" s="63" t="str">
        <f t="shared" si="30"/>
        <v>MIV &gt; MOC</v>
      </c>
      <c r="Y91" s="65">
        <f xml:space="preserve"> (SUM($D$15:D90) + H91)/B91</f>
        <v>13.235526315789475</v>
      </c>
      <c r="Z91" s="65">
        <f xml:space="preserve"> 'Growth &amp; yield data'!F93 - 'Growth &amp; yield data'!O92</f>
        <v>14.5</v>
      </c>
      <c r="AA91" s="117"/>
    </row>
    <row r="92" spans="1:27" x14ac:dyDescent="0.3">
      <c r="A92" s="31">
        <v>79</v>
      </c>
      <c r="B92" s="31">
        <v>77</v>
      </c>
      <c r="C92" s="43">
        <f xml:space="preserve"> 'Growth &amp; yield data'!G93</f>
        <v>0</v>
      </c>
      <c r="D92" s="43">
        <f xml:space="preserve"> 'Growth &amp; yield data'!J93</f>
        <v>0</v>
      </c>
      <c r="E92" s="43">
        <v>0</v>
      </c>
      <c r="F92" s="43">
        <f t="shared" si="19"/>
        <v>0</v>
      </c>
      <c r="G92" s="44">
        <f xml:space="preserve"> 'Growth &amp; yield data'!C93</f>
        <v>36.6</v>
      </c>
      <c r="H92" s="44">
        <f xml:space="preserve"> 'Growth &amp; yield data'!F93</f>
        <v>499.6</v>
      </c>
      <c r="I92" s="43">
        <f t="shared" si="18"/>
        <v>406.55263258079998</v>
      </c>
      <c r="J92" s="44">
        <f t="shared" si="14"/>
        <v>203113.69523736768</v>
      </c>
      <c r="K92" s="43">
        <v>0</v>
      </c>
      <c r="L92" s="43">
        <f t="shared" si="24"/>
        <v>0</v>
      </c>
      <c r="M92" s="57">
        <f t="shared" si="20"/>
        <v>0</v>
      </c>
      <c r="N92" s="44">
        <f t="shared" si="25"/>
        <v>203113.69523736768</v>
      </c>
      <c r="O92" s="51">
        <f xml:space="preserve"> SUM($M$15:M91) + N92*((1+$C$6)^(-B92))</f>
        <v>100087.18442388406</v>
      </c>
      <c r="P92" s="51">
        <f t="shared" si="21"/>
        <v>146706.21830569612</v>
      </c>
      <c r="Q92" s="54">
        <f t="shared" si="27"/>
        <v>373506.10898440174</v>
      </c>
      <c r="R92" s="54">
        <f t="shared" si="26"/>
        <v>373506.10898440174</v>
      </c>
      <c r="S92" s="54">
        <f t="shared" si="22"/>
        <v>373506.10898439999</v>
      </c>
      <c r="T92" s="54">
        <f t="shared" si="23"/>
        <v>373506.10898439999</v>
      </c>
      <c r="U92" s="54"/>
      <c r="V92" s="63">
        <f t="shared" si="28"/>
        <v>6275.426653092567</v>
      </c>
      <c r="W92" s="63">
        <f t="shared" si="29"/>
        <v>5247.298703145957</v>
      </c>
      <c r="X92" s="63" t="str">
        <f t="shared" si="30"/>
        <v>MIV &gt; MOC</v>
      </c>
      <c r="Y92" s="65">
        <f xml:space="preserve"> (SUM($D$15:D91) + H92)/B92</f>
        <v>13.251948051948053</v>
      </c>
      <c r="Z92" s="65">
        <f xml:space="preserve"> 'Growth &amp; yield data'!F94 - 'Growth &amp; yield data'!O93</f>
        <v>14.5</v>
      </c>
      <c r="AA92" s="117"/>
    </row>
    <row r="93" spans="1:27" x14ac:dyDescent="0.3">
      <c r="A93" s="31">
        <v>80</v>
      </c>
      <c r="B93" s="31">
        <v>78</v>
      </c>
      <c r="C93" s="43">
        <f xml:space="preserve"> 'Growth &amp; yield data'!G94</f>
        <v>0</v>
      </c>
      <c r="D93" s="43">
        <f xml:space="preserve"> 'Growth &amp; yield data'!J94</f>
        <v>0</v>
      </c>
      <c r="E93" s="43">
        <v>0</v>
      </c>
      <c r="F93" s="43">
        <f t="shared" si="19"/>
        <v>0</v>
      </c>
      <c r="G93" s="44">
        <f xml:space="preserve"> 'Growth &amp; yield data'!C94</f>
        <v>37.1</v>
      </c>
      <c r="H93" s="44">
        <f xml:space="preserve"> 'Growth &amp; yield data'!F94</f>
        <v>514.1</v>
      </c>
      <c r="I93" s="43">
        <f t="shared" ref="I93:I124" si="31" xml:space="preserve">  $F$10*(G93^4) + $F$9*(G93^3) + $F$8*(G93^2) + $F$7*G93 + $F$6</f>
        <v>407.47569206430001</v>
      </c>
      <c r="J93" s="44">
        <f t="shared" si="14"/>
        <v>209483.25329025663</v>
      </c>
      <c r="K93" s="43">
        <v>0</v>
      </c>
      <c r="L93" s="43">
        <f t="shared" si="24"/>
        <v>0</v>
      </c>
      <c r="M93" s="57">
        <f t="shared" si="20"/>
        <v>0</v>
      </c>
      <c r="N93" s="44">
        <f t="shared" si="25"/>
        <v>209483.25329025663</v>
      </c>
      <c r="O93" s="51">
        <f xml:space="preserve"> SUM($M$15:M92) + N93*((1+$C$6)^(-B93))</f>
        <v>101127.48726452555</v>
      </c>
      <c r="P93" s="51">
        <f t="shared" si="21"/>
        <v>147217.70313630879</v>
      </c>
      <c r="Q93" s="54">
        <f t="shared" si="27"/>
        <v>379108.70061916771</v>
      </c>
      <c r="R93" s="54">
        <f t="shared" si="26"/>
        <v>379108.70061916771</v>
      </c>
      <c r="S93" s="54">
        <f t="shared" si="22"/>
        <v>379108.70061916596</v>
      </c>
      <c r="T93" s="54">
        <f t="shared" si="23"/>
        <v>379108.70061916596</v>
      </c>
      <c r="U93" s="54"/>
      <c r="V93" s="63">
        <f t="shared" si="28"/>
        <v>6286.9272694515821</v>
      </c>
      <c r="W93" s="63">
        <f t="shared" si="29"/>
        <v>5350.5143463984814</v>
      </c>
      <c r="X93" s="63" t="str">
        <f t="shared" si="30"/>
        <v>MIV &gt; MOC</v>
      </c>
      <c r="Y93" s="65">
        <f xml:space="preserve"> (SUM($D$15:D92) + H93)/B93</f>
        <v>13.26794871794872</v>
      </c>
      <c r="Z93" s="65">
        <f xml:space="preserve"> 'Growth &amp; yield data'!F95 - 'Growth &amp; yield data'!O94</f>
        <v>14.699999999999932</v>
      </c>
      <c r="AA93" s="117"/>
    </row>
    <row r="94" spans="1:27" x14ac:dyDescent="0.3">
      <c r="A94" s="31">
        <v>81</v>
      </c>
      <c r="B94" s="31">
        <v>79</v>
      </c>
      <c r="C94" s="43">
        <f xml:space="preserve"> 'Growth &amp; yield data'!G95</f>
        <v>36.4</v>
      </c>
      <c r="D94" s="43">
        <f xml:space="preserve"> 'Growth &amp; yield data'!J95</f>
        <v>61.3</v>
      </c>
      <c r="E94" s="43">
        <f xml:space="preserve">  $F$10*(C94^4) + $F$9*(C94^3) + $F$8*(C94^2) + $F$7*C94 + $F$6</f>
        <v>406.18417940479998</v>
      </c>
      <c r="F94" s="43">
        <f t="shared" si="19"/>
        <v>24899.090197514237</v>
      </c>
      <c r="G94" s="44">
        <f xml:space="preserve"> 'Growth &amp; yield data'!C95</f>
        <v>37.5</v>
      </c>
      <c r="H94" s="44">
        <f xml:space="preserve"> 'Growth &amp; yield data'!F95</f>
        <v>528.79999999999995</v>
      </c>
      <c r="I94" s="43">
        <f t="shared" si="31"/>
        <v>408.21574218749998</v>
      </c>
      <c r="J94" s="44">
        <f t="shared" ref="J94:J157" si="32" xml:space="preserve"> I94*H94</f>
        <v>215864.48446874999</v>
      </c>
      <c r="K94" s="43">
        <v>0</v>
      </c>
      <c r="L94" s="43">
        <f t="shared" si="24"/>
        <v>24899.090197514237</v>
      </c>
      <c r="M94" s="57">
        <f t="shared" si="20"/>
        <v>7680.0870178483265</v>
      </c>
      <c r="N94" s="44">
        <f t="shared" si="25"/>
        <v>215864.48446874999</v>
      </c>
      <c r="O94" s="51">
        <f xml:space="preserve"> SUM($M$15:M93) + N94*((1+$C$6)^(-B94))</f>
        <v>102126.54652025501</v>
      </c>
      <c r="P94" s="51">
        <f t="shared" si="21"/>
        <v>147677.42748147866</v>
      </c>
      <c r="Q94" s="54">
        <f t="shared" si="27"/>
        <v>384795.33112845517</v>
      </c>
      <c r="R94" s="54">
        <f t="shared" si="26"/>
        <v>359896.24093094096</v>
      </c>
      <c r="S94" s="54">
        <f t="shared" si="22"/>
        <v>384795.33112845337</v>
      </c>
      <c r="T94" s="54">
        <f t="shared" si="23"/>
        <v>359896.24093093915</v>
      </c>
      <c r="U94" s="54"/>
      <c r="V94" s="63">
        <f t="shared" si="28"/>
        <v>6571.9656097110528</v>
      </c>
      <c r="W94" s="63">
        <f t="shared" si="29"/>
        <v>5453.1286792534293</v>
      </c>
      <c r="X94" s="63" t="str">
        <f t="shared" si="30"/>
        <v>MIV &gt; MOC</v>
      </c>
      <c r="Y94" s="65">
        <f xml:space="preserve"> (SUM($D$15:D93) + H94)/B94</f>
        <v>13.286075949367087</v>
      </c>
      <c r="Z94" s="65">
        <f xml:space="preserve"> 'Growth &amp; yield data'!F96 - 'Growth &amp; yield data'!O95</f>
        <v>14.300000000000011</v>
      </c>
      <c r="AA94" s="117"/>
    </row>
    <row r="95" spans="1:27" x14ac:dyDescent="0.3">
      <c r="A95" s="31">
        <v>82</v>
      </c>
      <c r="B95" s="31">
        <v>80</v>
      </c>
      <c r="C95" s="43">
        <f xml:space="preserve"> 'Growth &amp; yield data'!G96</f>
        <v>0</v>
      </c>
      <c r="D95" s="43">
        <f xml:space="preserve"> 'Growth &amp; yield data'!J96</f>
        <v>0</v>
      </c>
      <c r="E95" s="43">
        <v>0</v>
      </c>
      <c r="F95" s="43">
        <f t="shared" si="19"/>
        <v>0</v>
      </c>
      <c r="G95" s="44">
        <f xml:space="preserve"> 'Growth &amp; yield data'!C96</f>
        <v>38.200000000000003</v>
      </c>
      <c r="H95" s="44">
        <f xml:space="preserve"> 'Growth &amp; yield data'!F96</f>
        <v>481.7</v>
      </c>
      <c r="I95" s="43">
        <f t="shared" si="31"/>
        <v>409.51308493279998</v>
      </c>
      <c r="J95" s="44">
        <f t="shared" si="32"/>
        <v>197262.45301212976</v>
      </c>
      <c r="K95" s="43">
        <v>0</v>
      </c>
      <c r="L95" s="43">
        <f t="shared" si="24"/>
        <v>0</v>
      </c>
      <c r="M95" s="57">
        <f t="shared" si="20"/>
        <v>0</v>
      </c>
      <c r="N95" s="44">
        <f t="shared" si="25"/>
        <v>197262.45301212976</v>
      </c>
      <c r="O95" s="51">
        <f xml:space="preserve"> SUM($M$15:M94) + N95*((1+$C$6)^(-B95))</f>
        <v>103169.67310265562</v>
      </c>
      <c r="P95" s="51">
        <f t="shared" si="21"/>
        <v>148208.89654864906</v>
      </c>
      <c r="Q95" s="54">
        <f t="shared" si="27"/>
        <v>365294.68454490503</v>
      </c>
      <c r="R95" s="54">
        <f t="shared" si="26"/>
        <v>365294.68454490503</v>
      </c>
      <c r="S95" s="54">
        <f t="shared" si="22"/>
        <v>365294.68454490317</v>
      </c>
      <c r="T95" s="54">
        <f t="shared" si="23"/>
        <v>365294.68454490317</v>
      </c>
      <c r="U95" s="54"/>
      <c r="V95" s="63">
        <f t="shared" si="28"/>
        <v>6141.8722553944835</v>
      </c>
      <c r="W95" s="63">
        <f t="shared" si="29"/>
        <v>5182.070243411682</v>
      </c>
      <c r="X95" s="63" t="str">
        <f t="shared" si="30"/>
        <v>MIV &gt; MOC</v>
      </c>
      <c r="Y95" s="65">
        <f xml:space="preserve"> (SUM($D$15:D94) + H95)/B95</f>
        <v>13.297499999999999</v>
      </c>
      <c r="Z95" s="65">
        <f xml:space="preserve"> 'Growth &amp; yield data'!F97 - 'Growth &amp; yield data'!O96</f>
        <v>14.100000000000023</v>
      </c>
      <c r="AA95" s="117"/>
    </row>
    <row r="96" spans="1:27" x14ac:dyDescent="0.3">
      <c r="A96" s="31">
        <v>83</v>
      </c>
      <c r="B96" s="31">
        <v>81</v>
      </c>
      <c r="C96" s="43">
        <f xml:space="preserve"> 'Growth &amp; yield data'!G97</f>
        <v>0</v>
      </c>
      <c r="D96" s="43">
        <f xml:space="preserve"> 'Growth &amp; yield data'!J97</f>
        <v>0</v>
      </c>
      <c r="E96" s="43">
        <v>0</v>
      </c>
      <c r="F96" s="43">
        <f t="shared" si="19"/>
        <v>0</v>
      </c>
      <c r="G96" s="44">
        <f xml:space="preserve"> 'Growth &amp; yield data'!C97</f>
        <v>38.700000000000003</v>
      </c>
      <c r="H96" s="44">
        <f xml:space="preserve"> 'Growth &amp; yield data'!F97</f>
        <v>495.8</v>
      </c>
      <c r="I96" s="43">
        <f t="shared" si="31"/>
        <v>410.4406078083</v>
      </c>
      <c r="J96" s="44">
        <f t="shared" si="32"/>
        <v>203496.45335135516</v>
      </c>
      <c r="K96" s="43">
        <v>0</v>
      </c>
      <c r="L96" s="43">
        <f t="shared" si="24"/>
        <v>0</v>
      </c>
      <c r="M96" s="57">
        <f t="shared" si="20"/>
        <v>0</v>
      </c>
      <c r="N96" s="44">
        <f t="shared" si="25"/>
        <v>203496.45335135516</v>
      </c>
      <c r="O96" s="51">
        <f xml:space="preserve"> SUM($M$15:M95) + N96*((1+$C$6)^(-B96))</f>
        <v>104150.22437729481</v>
      </c>
      <c r="P96" s="51">
        <f t="shared" si="21"/>
        <v>148658.4349581993</v>
      </c>
      <c r="Q96" s="54">
        <f t="shared" si="27"/>
        <v>370774.10481307859</v>
      </c>
      <c r="R96" s="54">
        <f t="shared" si="26"/>
        <v>370774.10481307859</v>
      </c>
      <c r="S96" s="54">
        <f t="shared" si="22"/>
        <v>370774.10481307667</v>
      </c>
      <c r="T96" s="54">
        <f t="shared" si="23"/>
        <v>370774.10481307667</v>
      </c>
      <c r="U96" s="54"/>
      <c r="V96" s="63">
        <f t="shared" si="28"/>
        <v>6260.7418582953633</v>
      </c>
      <c r="W96" s="63">
        <f t="shared" si="29"/>
        <v>5282.3233246433165</v>
      </c>
      <c r="X96" s="63" t="str">
        <f t="shared" si="30"/>
        <v>MIV &gt; MOC</v>
      </c>
      <c r="Y96" s="65">
        <f xml:space="preserve"> (SUM($D$15:D95) + H96)/B96</f>
        <v>13.307407407407409</v>
      </c>
      <c r="Z96" s="65">
        <f xml:space="preserve"> 'Growth &amp; yield data'!F98 - 'Growth &amp; yield data'!O97</f>
        <v>14.099999999999966</v>
      </c>
      <c r="AA96" s="117"/>
    </row>
    <row r="97" spans="1:27" x14ac:dyDescent="0.3">
      <c r="A97" s="31">
        <v>84</v>
      </c>
      <c r="B97" s="31">
        <v>82</v>
      </c>
      <c r="C97" s="43">
        <f xml:space="preserve"> 'Growth &amp; yield data'!G98</f>
        <v>0</v>
      </c>
      <c r="D97" s="43">
        <f xml:space="preserve"> 'Growth &amp; yield data'!J98</f>
        <v>0</v>
      </c>
      <c r="E97" s="43">
        <v>0</v>
      </c>
      <c r="F97" s="43">
        <f t="shared" si="19"/>
        <v>0</v>
      </c>
      <c r="G97" s="44">
        <f xml:space="preserve"> 'Growth &amp; yield data'!C98</f>
        <v>39.299999999999997</v>
      </c>
      <c r="H97" s="44">
        <f xml:space="preserve"> 'Growth &amp; yield data'!F98</f>
        <v>509.9</v>
      </c>
      <c r="I97" s="43">
        <f t="shared" si="31"/>
        <v>411.5534542803</v>
      </c>
      <c r="J97" s="44">
        <f t="shared" si="32"/>
        <v>209851.10633752495</v>
      </c>
      <c r="K97" s="43">
        <v>0</v>
      </c>
      <c r="L97" s="43">
        <f t="shared" si="24"/>
        <v>0</v>
      </c>
      <c r="M97" s="57">
        <f t="shared" si="20"/>
        <v>0</v>
      </c>
      <c r="N97" s="44">
        <f t="shared" si="25"/>
        <v>209851.10633752495</v>
      </c>
      <c r="O97" s="51">
        <f xml:space="preserve"> SUM($M$15:M96) + N97*((1+$C$6)^(-B97))</f>
        <v>105124.29113474909</v>
      </c>
      <c r="P97" s="51">
        <f t="shared" si="21"/>
        <v>149107.08535411771</v>
      </c>
      <c r="Q97" s="54">
        <f t="shared" si="27"/>
        <v>376335.71638527472</v>
      </c>
      <c r="R97" s="54">
        <f t="shared" si="26"/>
        <v>376335.71638527472</v>
      </c>
      <c r="S97" s="54">
        <f t="shared" si="22"/>
        <v>376335.7163852728</v>
      </c>
      <c r="T97" s="54">
        <f t="shared" si="23"/>
        <v>376335.7163852728</v>
      </c>
      <c r="U97" s="54"/>
      <c r="V97" s="63">
        <f t="shared" si="28"/>
        <v>6276.6835908406065</v>
      </c>
      <c r="W97" s="63">
        <f t="shared" si="29"/>
        <v>5384.3728753746391</v>
      </c>
      <c r="X97" s="63" t="str">
        <f t="shared" si="30"/>
        <v>MIV &gt; MOC</v>
      </c>
      <c r="Y97" s="65">
        <f xml:space="preserve"> (SUM($D$15:D96) + H97)/B97</f>
        <v>13.317073170731707</v>
      </c>
      <c r="Z97" s="65">
        <f xml:space="preserve"> 'Growth &amp; yield data'!F99 - 'Growth &amp; yield data'!O98</f>
        <v>14.300000000000068</v>
      </c>
      <c r="AA97" s="117"/>
    </row>
    <row r="98" spans="1:27" x14ac:dyDescent="0.3">
      <c r="A98" s="31">
        <v>85</v>
      </c>
      <c r="B98" s="31">
        <v>83</v>
      </c>
      <c r="C98" s="43">
        <f xml:space="preserve"> 'Growth &amp; yield data'!G99</f>
        <v>0</v>
      </c>
      <c r="D98" s="43">
        <f xml:space="preserve"> 'Growth &amp; yield data'!J99</f>
        <v>0</v>
      </c>
      <c r="E98" s="43">
        <v>0</v>
      </c>
      <c r="F98" s="43">
        <f t="shared" si="19"/>
        <v>0</v>
      </c>
      <c r="G98" s="44">
        <f xml:space="preserve"> 'Growth &amp; yield data'!C99</f>
        <v>39.799999999999997</v>
      </c>
      <c r="H98" s="44">
        <f xml:space="preserve"> 'Growth &amp; yield data'!F99</f>
        <v>524.20000000000005</v>
      </c>
      <c r="I98" s="43">
        <f t="shared" si="31"/>
        <v>412.47985536479996</v>
      </c>
      <c r="J98" s="44">
        <f t="shared" si="32"/>
        <v>216221.94018222817</v>
      </c>
      <c r="K98" s="43">
        <v>0</v>
      </c>
      <c r="L98" s="43">
        <f t="shared" si="24"/>
        <v>0</v>
      </c>
      <c r="M98" s="57">
        <f t="shared" si="20"/>
        <v>0</v>
      </c>
      <c r="N98" s="44">
        <f t="shared" si="25"/>
        <v>216221.94018222817</v>
      </c>
      <c r="O98" s="51">
        <f xml:space="preserve"> SUM($M$15:M97) + N98*((1+$C$6)^(-B98))</f>
        <v>106060.96383028859</v>
      </c>
      <c r="P98" s="51">
        <f t="shared" si="21"/>
        <v>149511.21116588029</v>
      </c>
      <c r="Q98" s="54">
        <f t="shared" si="27"/>
        <v>381980.75213105383</v>
      </c>
      <c r="R98" s="54">
        <f t="shared" si="26"/>
        <v>381980.75213105383</v>
      </c>
      <c r="S98" s="54">
        <f t="shared" si="22"/>
        <v>381980.75213105185</v>
      </c>
      <c r="T98" s="54">
        <f t="shared" si="23"/>
        <v>381980.75213105185</v>
      </c>
      <c r="U98" s="54"/>
      <c r="V98" s="63">
        <f t="shared" si="28"/>
        <v>6301.9258990318967</v>
      </c>
      <c r="W98" s="63">
        <f t="shared" si="29"/>
        <v>5485.9972702216264</v>
      </c>
      <c r="X98" s="63" t="str">
        <f t="shared" si="30"/>
        <v>MIV &gt; MOC</v>
      </c>
      <c r="Y98" s="65">
        <f xml:space="preserve"> (SUM($D$15:D97) + H98)/B98</f>
        <v>13.328915662650605</v>
      </c>
      <c r="Z98" s="65">
        <f xml:space="preserve"> 'Growth &amp; yield data'!F100 - 'Growth &amp; yield data'!O99</f>
        <v>14.299999999999955</v>
      </c>
      <c r="AA98" s="117"/>
    </row>
    <row r="99" spans="1:27" x14ac:dyDescent="0.3">
      <c r="A99" s="31">
        <v>86</v>
      </c>
      <c r="B99" s="31">
        <v>84</v>
      </c>
      <c r="C99" s="43">
        <f xml:space="preserve"> 'Growth &amp; yield data'!G100</f>
        <v>0</v>
      </c>
      <c r="D99" s="43">
        <f xml:space="preserve"> 'Growth &amp; yield data'!J100</f>
        <v>0</v>
      </c>
      <c r="E99" s="43">
        <v>0</v>
      </c>
      <c r="F99" s="43">
        <f t="shared" si="19"/>
        <v>0</v>
      </c>
      <c r="G99" s="44">
        <f xml:space="preserve"> 'Growth &amp; yield data'!C100</f>
        <v>40.299999999999997</v>
      </c>
      <c r="H99" s="44">
        <f xml:space="preserve"> 'Growth &amp; yield data'!F100</f>
        <v>538.5</v>
      </c>
      <c r="I99" s="43">
        <f t="shared" si="31"/>
        <v>413.4046331843</v>
      </c>
      <c r="J99" s="44">
        <f t="shared" si="32"/>
        <v>222618.39496974554</v>
      </c>
      <c r="K99" s="43">
        <v>0</v>
      </c>
      <c r="L99" s="43">
        <f t="shared" si="24"/>
        <v>0</v>
      </c>
      <c r="M99" s="57">
        <f t="shared" si="20"/>
        <v>0</v>
      </c>
      <c r="N99" s="44">
        <f t="shared" si="25"/>
        <v>222618.39496974554</v>
      </c>
      <c r="O99" s="51">
        <f xml:space="preserve"> SUM($M$15:M98) + N99*((1+$C$6)^(-B99))</f>
        <v>106963.76836804347</v>
      </c>
      <c r="P99" s="51">
        <f t="shared" si="21"/>
        <v>149876.47688767864</v>
      </c>
      <c r="Q99" s="54">
        <f t="shared" si="27"/>
        <v>387710.46341301961</v>
      </c>
      <c r="R99" s="54">
        <f t="shared" si="26"/>
        <v>387710.46341301961</v>
      </c>
      <c r="S99" s="54">
        <f t="shared" si="22"/>
        <v>387710.46341301757</v>
      </c>
      <c r="T99" s="54">
        <f t="shared" si="23"/>
        <v>387710.46341301757</v>
      </c>
      <c r="U99" s="54"/>
      <c r="V99" s="63">
        <f t="shared" si="28"/>
        <v>6367.5444520610508</v>
      </c>
      <c r="W99" s="63">
        <f t="shared" si="29"/>
        <v>5587.4230778613619</v>
      </c>
      <c r="X99" s="63" t="str">
        <f t="shared" si="30"/>
        <v>MIV &gt; MOC</v>
      </c>
      <c r="Y99" s="65">
        <f xml:space="preserve"> (SUM($D$15:D98) + H99)/B99</f>
        <v>13.34047619047619</v>
      </c>
      <c r="Z99" s="65">
        <f xml:space="preserve"> 'Growth &amp; yield data'!F101 - 'Growth &amp; yield data'!O100</f>
        <v>14.399999999999977</v>
      </c>
      <c r="AA99" s="117"/>
    </row>
    <row r="100" spans="1:27" x14ac:dyDescent="0.3">
      <c r="A100" s="31">
        <v>87</v>
      </c>
      <c r="B100" s="31">
        <v>85</v>
      </c>
      <c r="C100" s="43">
        <f xml:space="preserve"> 'Growth &amp; yield data'!G101</f>
        <v>0</v>
      </c>
      <c r="D100" s="43">
        <f xml:space="preserve"> 'Growth &amp; yield data'!J101</f>
        <v>0</v>
      </c>
      <c r="E100" s="43">
        <v>0</v>
      </c>
      <c r="F100" s="43">
        <f t="shared" si="19"/>
        <v>0</v>
      </c>
      <c r="G100" s="44">
        <f xml:space="preserve"> 'Growth &amp; yield data'!C101</f>
        <v>40.799999999999997</v>
      </c>
      <c r="H100" s="44">
        <f xml:space="preserve"> 'Growth &amp; yield data'!F101</f>
        <v>552.9</v>
      </c>
      <c r="I100" s="43">
        <f t="shared" si="31"/>
        <v>414.32709818879999</v>
      </c>
      <c r="J100" s="44">
        <f t="shared" si="32"/>
        <v>229081.4525885875</v>
      </c>
      <c r="K100" s="43">
        <v>0</v>
      </c>
      <c r="L100" s="43">
        <f t="shared" si="24"/>
        <v>0</v>
      </c>
      <c r="M100" s="57">
        <f t="shared" si="20"/>
        <v>0</v>
      </c>
      <c r="N100" s="44">
        <f t="shared" si="25"/>
        <v>229081.4525885875</v>
      </c>
      <c r="O100" s="51">
        <f xml:space="preserve"> SUM($M$15:M99) + N100*((1+$C$6)^(-B100))</f>
        <v>107844.95334497505</v>
      </c>
      <c r="P100" s="51">
        <f t="shared" si="21"/>
        <v>150220.54053354959</v>
      </c>
      <c r="Q100" s="54">
        <f t="shared" si="27"/>
        <v>393526.12036421488</v>
      </c>
      <c r="R100" s="54">
        <f t="shared" si="26"/>
        <v>393526.12036421488</v>
      </c>
      <c r="S100" s="54">
        <f t="shared" si="22"/>
        <v>393526.12036421278</v>
      </c>
      <c r="T100" s="54">
        <f t="shared" si="23"/>
        <v>393526.12036421278</v>
      </c>
      <c r="U100" s="54"/>
      <c r="V100" s="63">
        <f t="shared" si="28"/>
        <v>6432.9542647191311</v>
      </c>
      <c r="W100" s="63">
        <f t="shared" si="29"/>
        <v>5689.5298968320558</v>
      </c>
      <c r="X100" s="63" t="str">
        <f t="shared" si="30"/>
        <v>MIV &gt; MOC</v>
      </c>
      <c r="Y100" s="65">
        <f xml:space="preserve"> (SUM($D$15:D99) + H100)/B100</f>
        <v>13.352941176470589</v>
      </c>
      <c r="Z100" s="65">
        <f xml:space="preserve"> 'Growth &amp; yield data'!F102 - 'Growth &amp; yield data'!O101</f>
        <v>14.5</v>
      </c>
      <c r="AA100" s="117"/>
    </row>
    <row r="101" spans="1:27" x14ac:dyDescent="0.3">
      <c r="A101" s="31">
        <v>88</v>
      </c>
      <c r="B101" s="31">
        <v>86</v>
      </c>
      <c r="C101" s="43">
        <f xml:space="preserve"> 'Growth &amp; yield data'!G102</f>
        <v>0</v>
      </c>
      <c r="D101" s="43">
        <f xml:space="preserve"> 'Growth &amp; yield data'!J102</f>
        <v>0</v>
      </c>
      <c r="E101" s="43">
        <v>0</v>
      </c>
      <c r="F101" s="43">
        <f t="shared" si="19"/>
        <v>0</v>
      </c>
      <c r="G101" s="44">
        <f xml:space="preserve"> 'Growth &amp; yield data'!C102</f>
        <v>41.3</v>
      </c>
      <c r="H101" s="44">
        <f xml:space="preserve"> 'Growth &amp; yield data'!F102</f>
        <v>567.4</v>
      </c>
      <c r="I101" s="43">
        <f t="shared" si="31"/>
        <v>415.24656532829999</v>
      </c>
      <c r="J101" s="44">
        <f t="shared" si="32"/>
        <v>235610.90116727742</v>
      </c>
      <c r="K101" s="43">
        <v>0</v>
      </c>
      <c r="L101" s="43">
        <f t="shared" si="24"/>
        <v>0</v>
      </c>
      <c r="M101" s="57">
        <f t="shared" si="20"/>
        <v>0</v>
      </c>
      <c r="N101" s="44">
        <f t="shared" si="25"/>
        <v>235610.90116727742</v>
      </c>
      <c r="O101" s="51">
        <f xml:space="preserve"> SUM($M$15:M100) + N101*((1+$C$6)^(-B101))</f>
        <v>108704.62405372682</v>
      </c>
      <c r="P101" s="51">
        <f t="shared" si="21"/>
        <v>150543.81582295621</v>
      </c>
      <c r="Q101" s="54">
        <f t="shared" si="27"/>
        <v>399429.01216967806</v>
      </c>
      <c r="R101" s="54">
        <f t="shared" si="26"/>
        <v>399429.01216967806</v>
      </c>
      <c r="S101" s="54">
        <f t="shared" si="22"/>
        <v>399429.0121696759</v>
      </c>
      <c r="T101" s="54">
        <f t="shared" si="23"/>
        <v>399429.0121696759</v>
      </c>
      <c r="U101" s="54">
        <f xml:space="preserve"> L101*(1+$C$6)^-(B101-$B$101)</f>
        <v>0</v>
      </c>
      <c r="V101" s="63">
        <f t="shared" si="28"/>
        <v>6457.1159172875714</v>
      </c>
      <c r="W101" s="63">
        <f t="shared" si="29"/>
        <v>5792.3207548535047</v>
      </c>
      <c r="X101" s="63" t="str">
        <f t="shared" si="30"/>
        <v>MIV &gt; MOC</v>
      </c>
      <c r="Y101" s="65">
        <f xml:space="preserve"> (SUM($D$15:D100) + H101)/B101</f>
        <v>13.366279069767442</v>
      </c>
      <c r="Z101" s="65">
        <f xml:space="preserve"> 'Growth &amp; yield data'!F103 - 'Growth &amp; yield data'!O102</f>
        <v>14.5</v>
      </c>
      <c r="AA101" s="117"/>
    </row>
    <row r="102" spans="1:27" x14ac:dyDescent="0.3">
      <c r="A102" s="31">
        <v>89</v>
      </c>
      <c r="B102" s="31">
        <v>87</v>
      </c>
      <c r="C102" s="43">
        <f xml:space="preserve"> 'Growth &amp; yield data'!G103</f>
        <v>40.5</v>
      </c>
      <c r="D102" s="43">
        <f xml:space="preserve"> 'Growth &amp; yield data'!J103</f>
        <v>80.3</v>
      </c>
      <c r="E102" s="43">
        <f xml:space="preserve">  $F$10*(C102^4) + $F$9*(C102^3) + $F$8*(C102^2) + $F$7*C102 + $F$6</f>
        <v>413.7739351875</v>
      </c>
      <c r="F102" s="43">
        <f t="shared" si="19"/>
        <v>33226.046995556251</v>
      </c>
      <c r="G102" s="44">
        <f xml:space="preserve"> 'Growth &amp; yield data'!C103</f>
        <v>41.8</v>
      </c>
      <c r="H102" s="44">
        <f xml:space="preserve"> 'Growth &amp; yield data'!F103</f>
        <v>581.9</v>
      </c>
      <c r="I102" s="43">
        <f t="shared" si="31"/>
        <v>416.16235405279997</v>
      </c>
      <c r="J102" s="44">
        <f t="shared" si="32"/>
        <v>242164.87382332431</v>
      </c>
      <c r="K102" s="43">
        <v>0</v>
      </c>
      <c r="L102" s="43">
        <f t="shared" si="24"/>
        <v>33226.046995556251</v>
      </c>
      <c r="M102" s="57">
        <f t="shared" si="20"/>
        <v>9097.7290681443556</v>
      </c>
      <c r="N102" s="44">
        <f t="shared" si="25"/>
        <v>242164.87382332431</v>
      </c>
      <c r="O102" s="51">
        <f xml:space="preserve"> SUM($M$15:M101) + N102*((1+$C$6)^(-B102))</f>
        <v>109531.4875498146</v>
      </c>
      <c r="P102" s="51">
        <f t="shared" si="21"/>
        <v>150831.00130609437</v>
      </c>
      <c r="Q102" s="54">
        <f t="shared" si="27"/>
        <v>405420.44735222321</v>
      </c>
      <c r="R102" s="54">
        <f t="shared" si="26"/>
        <v>372194.40035666694</v>
      </c>
      <c r="S102" s="54">
        <f t="shared" si="22"/>
        <v>405420.447352221</v>
      </c>
      <c r="T102" s="54">
        <f t="shared" si="23"/>
        <v>372194.40035666473</v>
      </c>
      <c r="U102" s="54">
        <f t="shared" ref="U102:U124" si="33" xml:space="preserve"> L102*(1+$C$6)^-(B102-$B$101)</f>
        <v>32735.021670498772</v>
      </c>
      <c r="V102" s="63">
        <f t="shared" si="28"/>
        <v>6730.8578800581745</v>
      </c>
      <c r="W102" s="63">
        <f t="shared" si="29"/>
        <v>5894.9381269412797</v>
      </c>
      <c r="X102" s="63" t="str">
        <f t="shared" si="30"/>
        <v>MIV &gt; MOC</v>
      </c>
      <c r="Y102" s="65">
        <f xml:space="preserve"> (SUM($D$15:D101) + H102)/B102</f>
        <v>13.379310344827585</v>
      </c>
      <c r="Z102" s="65">
        <f xml:space="preserve"> 'Growth &amp; yield data'!F104 - 'Growth &amp; yield data'!O103</f>
        <v>14.100000000000023</v>
      </c>
      <c r="AA102" s="117"/>
    </row>
    <row r="103" spans="1:27" x14ac:dyDescent="0.3">
      <c r="A103" s="31">
        <v>90</v>
      </c>
      <c r="B103" s="31">
        <v>88</v>
      </c>
      <c r="C103" s="43">
        <f xml:space="preserve"> 'Growth &amp; yield data'!G104</f>
        <v>0</v>
      </c>
      <c r="D103" s="43">
        <f xml:space="preserve"> 'Growth &amp; yield data'!J104</f>
        <v>0</v>
      </c>
      <c r="E103" s="43">
        <v>0</v>
      </c>
      <c r="F103" s="43">
        <f t="shared" si="19"/>
        <v>0</v>
      </c>
      <c r="G103" s="44">
        <f xml:space="preserve"> 'Growth &amp; yield data'!C104</f>
        <v>42.5</v>
      </c>
      <c r="H103" s="44">
        <f xml:space="preserve"> 'Growth &amp; yield data'!F104</f>
        <v>515.70000000000005</v>
      </c>
      <c r="I103" s="43">
        <f t="shared" si="31"/>
        <v>417.43699218749998</v>
      </c>
      <c r="J103" s="44">
        <f t="shared" si="32"/>
        <v>215272.25687109376</v>
      </c>
      <c r="K103" s="43">
        <v>0</v>
      </c>
      <c r="L103" s="43">
        <f t="shared" si="24"/>
        <v>0</v>
      </c>
      <c r="M103" s="57">
        <f t="shared" si="20"/>
        <v>0</v>
      </c>
      <c r="N103" s="44">
        <f t="shared" si="25"/>
        <v>215272.25687109376</v>
      </c>
      <c r="O103" s="51">
        <f xml:space="preserve"> SUM($M$15:M102) + N103*((1+$C$6)^(-B103))</f>
        <v>110394.56489124575</v>
      </c>
      <c r="P103" s="51">
        <f t="shared" si="21"/>
        <v>151177.1094435906</v>
      </c>
      <c r="Q103" s="54">
        <f t="shared" si="27"/>
        <v>377777.31636201689</v>
      </c>
      <c r="R103" s="54">
        <f t="shared" si="26"/>
        <v>377777.31636201689</v>
      </c>
      <c r="S103" s="54">
        <f t="shared" si="22"/>
        <v>377777.31636201468</v>
      </c>
      <c r="T103" s="54">
        <f t="shared" si="23"/>
        <v>377777.31636201468</v>
      </c>
      <c r="U103" s="54">
        <f t="shared" si="33"/>
        <v>0</v>
      </c>
      <c r="V103" s="63">
        <f t="shared" si="28"/>
        <v>6282.4145779415931</v>
      </c>
      <c r="W103" s="63">
        <f t="shared" si="29"/>
        <v>5496.7404947202658</v>
      </c>
      <c r="X103" s="63" t="str">
        <f t="shared" si="30"/>
        <v>MIV &gt; MOC</v>
      </c>
      <c r="Y103" s="65">
        <f xml:space="preserve"> (SUM($D$15:D102) + H103)/B103</f>
        <v>13.387499999999999</v>
      </c>
      <c r="Z103" s="65">
        <f xml:space="preserve"> 'Growth &amp; yield data'!F105 - 'Growth &amp; yield data'!O104</f>
        <v>13.899999999999977</v>
      </c>
      <c r="AA103" s="117"/>
    </row>
    <row r="104" spans="1:27" x14ac:dyDescent="0.3">
      <c r="A104" s="31">
        <v>91</v>
      </c>
      <c r="B104" s="31">
        <v>89</v>
      </c>
      <c r="C104" s="43">
        <f xml:space="preserve"> 'Growth &amp; yield data'!G105</f>
        <v>0</v>
      </c>
      <c r="D104" s="43">
        <f xml:space="preserve"> 'Growth &amp; yield data'!J105</f>
        <v>0</v>
      </c>
      <c r="E104" s="43">
        <v>0</v>
      </c>
      <c r="F104" s="43">
        <f t="shared" si="19"/>
        <v>0</v>
      </c>
      <c r="G104" s="44">
        <f xml:space="preserve"> 'Growth &amp; yield data'!C105</f>
        <v>43.1</v>
      </c>
      <c r="H104" s="44">
        <f xml:space="preserve"> 'Growth &amp; yield data'!F105</f>
        <v>529.6</v>
      </c>
      <c r="I104" s="43">
        <f t="shared" si="31"/>
        <v>418.52135133629997</v>
      </c>
      <c r="J104" s="44">
        <f t="shared" si="32"/>
        <v>221648.90766770448</v>
      </c>
      <c r="K104" s="43">
        <v>0</v>
      </c>
      <c r="L104" s="43">
        <f t="shared" si="24"/>
        <v>0</v>
      </c>
      <c r="M104" s="57">
        <f t="shared" si="20"/>
        <v>0</v>
      </c>
      <c r="N104" s="44">
        <f t="shared" si="25"/>
        <v>221648.90766770448</v>
      </c>
      <c r="O104" s="51">
        <f xml:space="preserve"> SUM($M$15:M103) + N104*((1+$C$6)^(-B104))</f>
        <v>111231.12512318793</v>
      </c>
      <c r="P104" s="51">
        <f t="shared" si="21"/>
        <v>151495.62775967436</v>
      </c>
      <c r="Q104" s="54">
        <f t="shared" si="27"/>
        <v>383443.97610744712</v>
      </c>
      <c r="R104" s="54">
        <f t="shared" si="26"/>
        <v>383443.97610744712</v>
      </c>
      <c r="S104" s="54">
        <f t="shared" si="22"/>
        <v>383443.97610744485</v>
      </c>
      <c r="T104" s="54">
        <f t="shared" si="23"/>
        <v>383443.97610744485</v>
      </c>
      <c r="U104" s="54">
        <f t="shared" si="33"/>
        <v>0</v>
      </c>
      <c r="V104" s="63">
        <f t="shared" si="28"/>
        <v>6253.1012865032299</v>
      </c>
      <c r="W104" s="63">
        <f t="shared" si="29"/>
        <v>5597.1680314106825</v>
      </c>
      <c r="X104" s="63" t="str">
        <f t="shared" si="30"/>
        <v>MIV &gt; MOC</v>
      </c>
      <c r="Y104" s="65">
        <f xml:space="preserve"> (SUM($D$15:D103) + H104)/B104</f>
        <v>13.393258426966293</v>
      </c>
      <c r="Z104" s="65">
        <f xml:space="preserve"> 'Growth &amp; yield data'!F106 - 'Growth &amp; yield data'!O105</f>
        <v>14</v>
      </c>
      <c r="AA104" s="117"/>
    </row>
    <row r="105" spans="1:27" x14ac:dyDescent="0.3">
      <c r="A105" s="31">
        <v>92</v>
      </c>
      <c r="B105" s="31">
        <v>90</v>
      </c>
      <c r="C105" s="43">
        <f xml:space="preserve"> 'Growth &amp; yield data'!G106</f>
        <v>0</v>
      </c>
      <c r="D105" s="43">
        <f xml:space="preserve"> 'Growth &amp; yield data'!J106</f>
        <v>0</v>
      </c>
      <c r="E105" s="43">
        <v>0</v>
      </c>
      <c r="F105" s="43">
        <f t="shared" si="19"/>
        <v>0</v>
      </c>
      <c r="G105" s="44">
        <f xml:space="preserve"> 'Growth &amp; yield data'!C106</f>
        <v>43.6</v>
      </c>
      <c r="H105" s="44">
        <f xml:space="preserve"> 'Growth &amp; yield data'!F106</f>
        <v>543.6</v>
      </c>
      <c r="I105" s="43">
        <f t="shared" si="31"/>
        <v>419.41833236479994</v>
      </c>
      <c r="J105" s="44">
        <f t="shared" si="32"/>
        <v>227995.80547350526</v>
      </c>
      <c r="K105" s="43">
        <v>0</v>
      </c>
      <c r="L105" s="43">
        <f t="shared" si="24"/>
        <v>0</v>
      </c>
      <c r="M105" s="57">
        <f t="shared" si="20"/>
        <v>0</v>
      </c>
      <c r="N105" s="44">
        <f t="shared" si="25"/>
        <v>227995.80547350526</v>
      </c>
      <c r="O105" s="51">
        <f xml:space="preserve"> SUM($M$15:M104) + N105*((1+$C$6)^(-B105))</f>
        <v>112022.48541157103</v>
      </c>
      <c r="P105" s="51">
        <f t="shared" si="21"/>
        <v>151761.58855068422</v>
      </c>
      <c r="Q105" s="54">
        <f t="shared" si="27"/>
        <v>389195.6357490588</v>
      </c>
      <c r="R105" s="54">
        <f t="shared" si="26"/>
        <v>389195.6357490588</v>
      </c>
      <c r="S105" s="54">
        <f t="shared" si="22"/>
        <v>389195.63574905647</v>
      </c>
      <c r="T105" s="54">
        <f t="shared" si="23"/>
        <v>389195.63574905647</v>
      </c>
      <c r="U105" s="54">
        <f t="shared" si="33"/>
        <v>0</v>
      </c>
      <c r="V105" s="63">
        <f t="shared" si="28"/>
        <v>6315.5465828607512</v>
      </c>
      <c r="W105" s="63">
        <f t="shared" si="29"/>
        <v>5696.3609103628414</v>
      </c>
      <c r="X105" s="63" t="str">
        <f t="shared" si="30"/>
        <v>MIV &gt; MOC</v>
      </c>
      <c r="Y105" s="65">
        <f xml:space="preserve"> (SUM($D$15:D104) + H105)/B105</f>
        <v>13.4</v>
      </c>
      <c r="Z105" s="65">
        <f xml:space="preserve"> 'Growth &amp; yield data'!F107 - 'Growth &amp; yield data'!O106</f>
        <v>14.100000000000023</v>
      </c>
      <c r="AA105" s="117"/>
    </row>
    <row r="106" spans="1:27" x14ac:dyDescent="0.3">
      <c r="A106" s="31">
        <v>93</v>
      </c>
      <c r="B106" s="31">
        <v>91</v>
      </c>
      <c r="C106" s="43">
        <f xml:space="preserve"> 'Growth &amp; yield data'!G107</f>
        <v>0</v>
      </c>
      <c r="D106" s="43">
        <f xml:space="preserve"> 'Growth &amp; yield data'!J107</f>
        <v>0</v>
      </c>
      <c r="E106" s="43">
        <v>0</v>
      </c>
      <c r="F106" s="43">
        <f t="shared" si="19"/>
        <v>0</v>
      </c>
      <c r="G106" s="44">
        <f xml:space="preserve"> 'Growth &amp; yield data'!C107</f>
        <v>44.1</v>
      </c>
      <c r="H106" s="44">
        <f xml:space="preserve"> 'Growth &amp; yield data'!F107</f>
        <v>557.70000000000005</v>
      </c>
      <c r="I106" s="43">
        <f t="shared" si="31"/>
        <v>420.30856240829996</v>
      </c>
      <c r="J106" s="44">
        <f t="shared" si="32"/>
        <v>234406.08525510892</v>
      </c>
      <c r="K106" s="43">
        <v>0</v>
      </c>
      <c r="L106" s="43">
        <f t="shared" si="24"/>
        <v>0</v>
      </c>
      <c r="M106" s="57">
        <f t="shared" si="20"/>
        <v>0</v>
      </c>
      <c r="N106" s="44">
        <f t="shared" si="25"/>
        <v>234406.08525510892</v>
      </c>
      <c r="O106" s="51">
        <f xml:space="preserve"> SUM($M$15:M105) + N106*((1+$C$6)^(-B106))</f>
        <v>112793.94133418077</v>
      </c>
      <c r="P106" s="51">
        <f t="shared" si="21"/>
        <v>152009.80173002149</v>
      </c>
      <c r="Q106" s="54">
        <f t="shared" si="27"/>
        <v>395033.57028529467</v>
      </c>
      <c r="R106" s="54">
        <f t="shared" si="26"/>
        <v>395033.57028529467</v>
      </c>
      <c r="S106" s="54">
        <f t="shared" si="22"/>
        <v>395033.57028529228</v>
      </c>
      <c r="T106" s="54">
        <f t="shared" si="23"/>
        <v>395033.57028529228</v>
      </c>
      <c r="U106" s="54">
        <f t="shared" si="33"/>
        <v>0</v>
      </c>
      <c r="V106" s="63">
        <f t="shared" si="28"/>
        <v>6336.1077108150903</v>
      </c>
      <c r="W106" s="63">
        <f t="shared" si="29"/>
        <v>5796.2383047769554</v>
      </c>
      <c r="X106" s="63" t="str">
        <f t="shared" si="30"/>
        <v>MIV &gt; MOC</v>
      </c>
      <c r="Y106" s="65">
        <f xml:space="preserve"> (SUM($D$15:D105) + H106)/B106</f>
        <v>13.407692307692306</v>
      </c>
      <c r="Z106" s="65">
        <f xml:space="preserve"> 'Growth &amp; yield data'!F108 - 'Growth &amp; yield data'!O107</f>
        <v>14.099999999999909</v>
      </c>
      <c r="AA106" s="117"/>
    </row>
    <row r="107" spans="1:27" x14ac:dyDescent="0.3">
      <c r="A107" s="31">
        <v>94</v>
      </c>
      <c r="B107" s="31">
        <v>92</v>
      </c>
      <c r="C107" s="43">
        <f xml:space="preserve"> 'Growth &amp; yield data'!G108</f>
        <v>0</v>
      </c>
      <c r="D107" s="43">
        <f xml:space="preserve"> 'Growth &amp; yield data'!J108</f>
        <v>0</v>
      </c>
      <c r="E107" s="43">
        <v>0</v>
      </c>
      <c r="F107" s="43">
        <f t="shared" si="19"/>
        <v>0</v>
      </c>
      <c r="G107" s="44">
        <f xml:space="preserve"> 'Growth &amp; yield data'!C108</f>
        <v>44.6</v>
      </c>
      <c r="H107" s="44">
        <f xml:space="preserve"> 'Growth &amp; yield data'!F108</f>
        <v>571.79999999999995</v>
      </c>
      <c r="I107" s="43">
        <f t="shared" si="31"/>
        <v>421.1913861168</v>
      </c>
      <c r="J107" s="44">
        <f t="shared" si="32"/>
        <v>240837.23458158624</v>
      </c>
      <c r="K107" s="43">
        <v>0</v>
      </c>
      <c r="L107" s="43">
        <f t="shared" si="24"/>
        <v>0</v>
      </c>
      <c r="M107" s="57">
        <f t="shared" si="20"/>
        <v>0</v>
      </c>
      <c r="N107" s="44">
        <f t="shared" si="25"/>
        <v>240837.23458158624</v>
      </c>
      <c r="O107" s="51">
        <f xml:space="preserve"> SUM($M$15:M106) + N107*((1+$C$6)^(-B107))</f>
        <v>113534.86133813547</v>
      </c>
      <c r="P107" s="51">
        <f t="shared" si="21"/>
        <v>152226.17174298968</v>
      </c>
      <c r="Q107" s="54">
        <f t="shared" si="27"/>
        <v>400959.07383957406</v>
      </c>
      <c r="R107" s="54">
        <f t="shared" si="26"/>
        <v>400959.07383957406</v>
      </c>
      <c r="S107" s="54">
        <f t="shared" si="22"/>
        <v>400959.07383957162</v>
      </c>
      <c r="T107" s="54">
        <f t="shared" si="23"/>
        <v>400959.07383957162</v>
      </c>
      <c r="U107" s="54">
        <f t="shared" si="33"/>
        <v>0</v>
      </c>
      <c r="V107" s="63">
        <f t="shared" si="28"/>
        <v>6355.9844831187684</v>
      </c>
      <c r="W107" s="63">
        <f t="shared" si="29"/>
        <v>5895.9510948686384</v>
      </c>
      <c r="X107" s="63" t="str">
        <f t="shared" si="30"/>
        <v>MIV &gt; MOC</v>
      </c>
      <c r="Y107" s="65">
        <f xml:space="preserve"> (SUM($D$15:D106) + H107)/B107</f>
        <v>13.415217391304346</v>
      </c>
      <c r="Z107" s="65">
        <f xml:space="preserve"> 'Growth &amp; yield data'!F109 - 'Growth &amp; yield data'!O108</f>
        <v>14.100000000000023</v>
      </c>
      <c r="AA107" s="117"/>
    </row>
    <row r="108" spans="1:27" x14ac:dyDescent="0.3">
      <c r="A108" s="31">
        <v>95</v>
      </c>
      <c r="B108" s="31">
        <v>93</v>
      </c>
      <c r="C108" s="43">
        <f xml:space="preserve"> 'Growth &amp; yield data'!G109</f>
        <v>0</v>
      </c>
      <c r="D108" s="43">
        <f xml:space="preserve"> 'Growth &amp; yield data'!J109</f>
        <v>0</v>
      </c>
      <c r="E108" s="43">
        <v>0</v>
      </c>
      <c r="F108" s="43">
        <f t="shared" si="19"/>
        <v>0</v>
      </c>
      <c r="G108" s="44">
        <f xml:space="preserve"> 'Growth &amp; yield data'!C109</f>
        <v>45.1</v>
      </c>
      <c r="H108" s="44">
        <f xml:space="preserve"> 'Growth &amp; yield data'!F109</f>
        <v>585.9</v>
      </c>
      <c r="I108" s="43">
        <f t="shared" si="31"/>
        <v>422.06615264030006</v>
      </c>
      <c r="J108" s="44">
        <f t="shared" si="32"/>
        <v>247288.55883195178</v>
      </c>
      <c r="K108" s="43">
        <v>0</v>
      </c>
      <c r="L108" s="43">
        <f t="shared" si="24"/>
        <v>0</v>
      </c>
      <c r="M108" s="57">
        <f t="shared" si="20"/>
        <v>0</v>
      </c>
      <c r="N108" s="44">
        <f t="shared" si="25"/>
        <v>247288.55883195178</v>
      </c>
      <c r="O108" s="51">
        <f xml:space="preserve"> SUM($M$15:M107) + N108*((1+$C$6)^(-B108))</f>
        <v>114245.72714488095</v>
      </c>
      <c r="P108" s="51">
        <f t="shared" si="21"/>
        <v>152411.70480382963</v>
      </c>
      <c r="Q108" s="54">
        <f t="shared" si="27"/>
        <v>406973.45994716766</v>
      </c>
      <c r="R108" s="54">
        <f t="shared" si="26"/>
        <v>406973.45994716766</v>
      </c>
      <c r="S108" s="54">
        <f t="shared" si="22"/>
        <v>406973.45994716516</v>
      </c>
      <c r="T108" s="54">
        <f t="shared" si="23"/>
        <v>406973.45994716516</v>
      </c>
      <c r="U108" s="54">
        <f t="shared" si="33"/>
        <v>0</v>
      </c>
      <c r="V108" s="63">
        <f t="shared" si="28"/>
        <v>6560.2545592869956</v>
      </c>
      <c r="W108" s="63">
        <f t="shared" si="29"/>
        <v>5995.5039545367208</v>
      </c>
      <c r="X108" s="63" t="str">
        <f t="shared" si="30"/>
        <v>MIV &gt; MOC</v>
      </c>
      <c r="Y108" s="65">
        <f xml:space="preserve"> (SUM($D$15:D107) + H108)/B108</f>
        <v>13.42258064516129</v>
      </c>
      <c r="Z108" s="65">
        <f xml:space="preserve"> 'Growth &amp; yield data'!F110 - 'Growth &amp; yield data'!O109</f>
        <v>14.300000000000068</v>
      </c>
      <c r="AA108" s="117"/>
    </row>
    <row r="109" spans="1:27" x14ac:dyDescent="0.3">
      <c r="A109" s="31">
        <v>96</v>
      </c>
      <c r="B109" s="31">
        <v>94</v>
      </c>
      <c r="C109" s="43">
        <f xml:space="preserve"> 'Growth &amp; yield data'!G110</f>
        <v>0</v>
      </c>
      <c r="D109" s="43">
        <f xml:space="preserve"> 'Growth &amp; yield data'!J110</f>
        <v>0</v>
      </c>
      <c r="E109" s="43">
        <v>0</v>
      </c>
      <c r="F109" s="43">
        <f t="shared" si="19"/>
        <v>0</v>
      </c>
      <c r="G109" s="44">
        <f xml:space="preserve"> 'Growth &amp; yield data'!C110</f>
        <v>45.7</v>
      </c>
      <c r="H109" s="44">
        <f xml:space="preserve"> 'Growth &amp; yield data'!F110</f>
        <v>600.20000000000005</v>
      </c>
      <c r="I109" s="43">
        <f t="shared" si="31"/>
        <v>423.10432724029999</v>
      </c>
      <c r="J109" s="44">
        <f t="shared" si="32"/>
        <v>253947.21720962808</v>
      </c>
      <c r="K109" s="43">
        <v>0</v>
      </c>
      <c r="L109" s="43">
        <f t="shared" si="24"/>
        <v>0</v>
      </c>
      <c r="M109" s="57">
        <f t="shared" si="20"/>
        <v>0</v>
      </c>
      <c r="N109" s="44">
        <f t="shared" si="25"/>
        <v>253947.21720962808</v>
      </c>
      <c r="O109" s="51">
        <f xml:space="preserve"> SUM($M$15:M108) + N109*((1+$C$6)^(-B109))</f>
        <v>114973.36518641099</v>
      </c>
      <c r="P109" s="51">
        <f t="shared" si="21"/>
        <v>152628.8980042141</v>
      </c>
      <c r="Q109" s="54">
        <f t="shared" si="27"/>
        <v>413078.06184637512</v>
      </c>
      <c r="R109" s="54">
        <f t="shared" si="26"/>
        <v>413078.06184637512</v>
      </c>
      <c r="S109" s="54">
        <f t="shared" si="22"/>
        <v>413078.06184637256</v>
      </c>
      <c r="T109" s="54">
        <f t="shared" si="23"/>
        <v>413078.06184637256</v>
      </c>
      <c r="U109" s="54">
        <f t="shared" si="33"/>
        <v>0</v>
      </c>
      <c r="V109" s="63">
        <f t="shared" si="28"/>
        <v>6478.4721304369486</v>
      </c>
      <c r="W109" s="63">
        <f t="shared" si="29"/>
        <v>6098.6417282076327</v>
      </c>
      <c r="X109" s="63" t="str">
        <f t="shared" si="30"/>
        <v>MIV &gt; MOC</v>
      </c>
      <c r="Y109" s="65">
        <f xml:space="preserve"> (SUM($D$15:D108) + H109)/B109</f>
        <v>13.431914893617021</v>
      </c>
      <c r="Z109" s="65">
        <f xml:space="preserve"> 'Growth &amp; yield data'!F111 - 'Growth &amp; yield data'!O110</f>
        <v>14.299999999999955</v>
      </c>
      <c r="AA109" s="117"/>
    </row>
    <row r="110" spans="1:27" x14ac:dyDescent="0.3">
      <c r="A110" s="31">
        <v>97</v>
      </c>
      <c r="B110" s="31">
        <v>95</v>
      </c>
      <c r="C110" s="43">
        <f xml:space="preserve"> 'Growth &amp; yield data'!G111</f>
        <v>0</v>
      </c>
      <c r="D110" s="43">
        <f xml:space="preserve"> 'Growth &amp; yield data'!J111</f>
        <v>0</v>
      </c>
      <c r="E110" s="43">
        <v>0</v>
      </c>
      <c r="F110" s="43">
        <f t="shared" si="19"/>
        <v>0</v>
      </c>
      <c r="G110" s="44">
        <f xml:space="preserve"> 'Growth &amp; yield data'!C111</f>
        <v>46.2</v>
      </c>
      <c r="H110" s="44">
        <f xml:space="preserve"> 'Growth &amp; yield data'!F111</f>
        <v>614.5</v>
      </c>
      <c r="I110" s="43">
        <f t="shared" si="31"/>
        <v>423.95909914079999</v>
      </c>
      <c r="J110" s="44">
        <f t="shared" si="32"/>
        <v>260522.86642202159</v>
      </c>
      <c r="K110" s="43">
        <v>0</v>
      </c>
      <c r="L110" s="43">
        <f t="shared" si="24"/>
        <v>0</v>
      </c>
      <c r="M110" s="57">
        <f t="shared" si="20"/>
        <v>0</v>
      </c>
      <c r="N110" s="44">
        <f t="shared" si="25"/>
        <v>260522.86642202159</v>
      </c>
      <c r="O110" s="51">
        <f xml:space="preserve"> SUM($M$15:M109) + N110*((1+$C$6)^(-B110))</f>
        <v>115645.79566736113</v>
      </c>
      <c r="P110" s="51">
        <f t="shared" si="21"/>
        <v>152782.0750661715</v>
      </c>
      <c r="Q110" s="54">
        <f t="shared" si="27"/>
        <v>419274.2327740707</v>
      </c>
      <c r="R110" s="54">
        <f t="shared" si="26"/>
        <v>419274.2327740707</v>
      </c>
      <c r="S110" s="54">
        <f t="shared" si="22"/>
        <v>419274.23277406808</v>
      </c>
      <c r="T110" s="54">
        <f t="shared" si="23"/>
        <v>419274.23277406808</v>
      </c>
      <c r="U110" s="54">
        <f t="shared" si="33"/>
        <v>0</v>
      </c>
      <c r="V110" s="63">
        <f t="shared" si="28"/>
        <v>6496.2943166461118</v>
      </c>
      <c r="W110" s="63">
        <f t="shared" si="29"/>
        <v>6199.5741223228961</v>
      </c>
      <c r="X110" s="63" t="str">
        <f t="shared" si="30"/>
        <v>MIV &gt; MOC</v>
      </c>
      <c r="Y110" s="65">
        <f xml:space="preserve"> (SUM($D$15:D109) + H110)/B110</f>
        <v>13.441052631578948</v>
      </c>
      <c r="Z110" s="65">
        <f xml:space="preserve"> 'Growth &amp; yield data'!F112 - 'Growth &amp; yield data'!O111</f>
        <v>14.299999999999955</v>
      </c>
      <c r="AA110" s="117"/>
    </row>
    <row r="111" spans="1:27" x14ac:dyDescent="0.3">
      <c r="A111" s="31">
        <v>98</v>
      </c>
      <c r="B111" s="31">
        <v>96</v>
      </c>
      <c r="C111" s="43">
        <f xml:space="preserve"> 'Growth &amp; yield data'!G112</f>
        <v>45.3</v>
      </c>
      <c r="D111" s="43">
        <f xml:space="preserve"> 'Growth &amp; yield data'!J112</f>
        <v>95.9</v>
      </c>
      <c r="E111" s="43">
        <f xml:space="preserve">  $F$10*(C111^4) + $F$9*(C111^3) + $F$8*(C111^2) + $F$7*C111 + $F$6</f>
        <v>422.41365830429993</v>
      </c>
      <c r="F111" s="43">
        <f t="shared" ref="F111:F142" si="34" xml:space="preserve"> D111*E111</f>
        <v>40509.469831382368</v>
      </c>
      <c r="G111" s="44">
        <f xml:space="preserve"> 'Growth &amp; yield data'!C112</f>
        <v>46.7</v>
      </c>
      <c r="H111" s="44">
        <f xml:space="preserve"> 'Growth &amp; yield data'!F112</f>
        <v>628.79999999999995</v>
      </c>
      <c r="I111" s="43">
        <f t="shared" si="31"/>
        <v>424.80376137629997</v>
      </c>
      <c r="J111" s="44">
        <f t="shared" si="32"/>
        <v>267116.60515341739</v>
      </c>
      <c r="K111" s="43">
        <v>0</v>
      </c>
      <c r="L111" s="43">
        <f t="shared" si="24"/>
        <v>40509.469831382368</v>
      </c>
      <c r="M111" s="57">
        <f t="shared" ref="M111:M142" si="35">L111*((1+$C$6)^(-B111))</f>
        <v>9700.9999747585462</v>
      </c>
      <c r="N111" s="44">
        <f t="shared" si="25"/>
        <v>267116.60515341739</v>
      </c>
      <c r="O111" s="51">
        <f xml:space="preserve"> SUM($M$15:M110) + N111*((1+$C$6)^(-B111))</f>
        <v>116289.00019624118</v>
      </c>
      <c r="P111" s="51">
        <f t="shared" ref="P111:P142" si="36" xml:space="preserve"> O111/(1-((1+$C$6)^(-B111)))</f>
        <v>152906.18998912818</v>
      </c>
      <c r="Q111" s="54">
        <f t="shared" si="27"/>
        <v>425563.34626568173</v>
      </c>
      <c r="R111" s="54">
        <f t="shared" si="26"/>
        <v>385053.87643429934</v>
      </c>
      <c r="S111" s="54">
        <f t="shared" si="22"/>
        <v>425563.34626567905</v>
      </c>
      <c r="T111" s="54">
        <f t="shared" si="23"/>
        <v>385053.87643429666</v>
      </c>
      <c r="U111" s="54">
        <f t="shared" si="33"/>
        <v>34905.6827281406</v>
      </c>
      <c r="V111" s="63">
        <f t="shared" si="28"/>
        <v>6948.2118869747865</v>
      </c>
      <c r="W111" s="63">
        <f t="shared" si="29"/>
        <v>6300.3419271381836</v>
      </c>
      <c r="X111" s="63" t="str">
        <f t="shared" si="30"/>
        <v>MIV &gt; MOC</v>
      </c>
      <c r="Y111" s="65">
        <f xml:space="preserve"> (SUM($D$15:D110) + H111)/B111</f>
        <v>13.449999999999998</v>
      </c>
      <c r="Z111" s="65">
        <f xml:space="preserve"> 'Growth &amp; yield data'!F113 - 'Growth &amp; yield data'!O112</f>
        <v>14</v>
      </c>
      <c r="AA111" s="117"/>
    </row>
    <row r="112" spans="1:27" x14ac:dyDescent="0.3">
      <c r="A112" s="31">
        <v>99</v>
      </c>
      <c r="B112" s="31">
        <v>97</v>
      </c>
      <c r="C112" s="43">
        <f xml:space="preserve"> 'Growth &amp; yield data'!G113</f>
        <v>0</v>
      </c>
      <c r="D112" s="43">
        <f xml:space="preserve"> 'Growth &amp; yield data'!J113</f>
        <v>0</v>
      </c>
      <c r="E112" s="43">
        <v>0</v>
      </c>
      <c r="F112" s="43">
        <f t="shared" si="34"/>
        <v>0</v>
      </c>
      <c r="G112" s="44">
        <f xml:space="preserve"> 'Growth &amp; yield data'!C113</f>
        <v>47.5</v>
      </c>
      <c r="H112" s="44">
        <f xml:space="preserve"> 'Growth &amp; yield data'!F113</f>
        <v>546.9</v>
      </c>
      <c r="I112" s="43">
        <f t="shared" si="31"/>
        <v>426.13261718749993</v>
      </c>
      <c r="J112" s="44">
        <f t="shared" si="32"/>
        <v>233051.9283398437</v>
      </c>
      <c r="K112" s="43">
        <v>0</v>
      </c>
      <c r="L112" s="43">
        <f t="shared" si="24"/>
        <v>0</v>
      </c>
      <c r="M112" s="57">
        <f t="shared" si="35"/>
        <v>0</v>
      </c>
      <c r="N112" s="44">
        <f t="shared" si="25"/>
        <v>233051.9283398437</v>
      </c>
      <c r="O112" s="51">
        <f xml:space="preserve"> SUM($M$15:M111) + N112*((1+$C$6)^(-B112))</f>
        <v>117007.5866519133</v>
      </c>
      <c r="P112" s="51">
        <f t="shared" si="36"/>
        <v>153138.42927884034</v>
      </c>
      <c r="Q112" s="54">
        <f t="shared" si="27"/>
        <v>390829.6845808138</v>
      </c>
      <c r="R112" s="54">
        <f t="shared" si="26"/>
        <v>390829.6845808138</v>
      </c>
      <c r="S112" s="54">
        <f t="shared" si="22"/>
        <v>390829.68458081107</v>
      </c>
      <c r="T112" s="54">
        <f t="shared" si="23"/>
        <v>390829.68458081107</v>
      </c>
      <c r="U112" s="54">
        <f t="shared" si="33"/>
        <v>0</v>
      </c>
      <c r="V112" s="63">
        <f t="shared" si="28"/>
        <v>6291.3820968099571</v>
      </c>
      <c r="W112" s="63">
        <f t="shared" si="29"/>
        <v>5792.8553642802608</v>
      </c>
      <c r="X112" s="63" t="str">
        <f t="shared" si="30"/>
        <v>MIV &gt; MOC</v>
      </c>
      <c r="Y112" s="65">
        <f xml:space="preserve"> (SUM($D$15:D111) + H112)/B112</f>
        <v>13.455670103092782</v>
      </c>
      <c r="Z112" s="65">
        <f xml:space="preserve"> 'Growth &amp; yield data'!F114 - 'Growth &amp; yield data'!O113</f>
        <v>13.700000000000045</v>
      </c>
      <c r="AA112" s="117"/>
    </row>
    <row r="113" spans="1:27" x14ac:dyDescent="0.3">
      <c r="A113" s="31">
        <v>100</v>
      </c>
      <c r="B113" s="31">
        <v>98</v>
      </c>
      <c r="C113" s="43">
        <f xml:space="preserve"> 'Growth &amp; yield data'!G114</f>
        <v>0</v>
      </c>
      <c r="D113" s="43">
        <f xml:space="preserve"> 'Growth &amp; yield data'!J114</f>
        <v>0</v>
      </c>
      <c r="E113" s="43">
        <v>0</v>
      </c>
      <c r="F113" s="43">
        <f t="shared" si="34"/>
        <v>0</v>
      </c>
      <c r="G113" s="44">
        <f xml:space="preserve"> 'Growth &amp; yield data'!C114</f>
        <v>48.1</v>
      </c>
      <c r="H113" s="44">
        <f xml:space="preserve"> 'Growth &amp; yield data'!F114</f>
        <v>560.6</v>
      </c>
      <c r="I113" s="43">
        <f t="shared" si="31"/>
        <v>427.10967029630001</v>
      </c>
      <c r="J113" s="44">
        <f t="shared" si="32"/>
        <v>239437.6811681058</v>
      </c>
      <c r="K113" s="43">
        <v>0</v>
      </c>
      <c r="L113" s="43">
        <f t="shared" si="24"/>
        <v>0</v>
      </c>
      <c r="M113" s="57">
        <f t="shared" si="35"/>
        <v>0</v>
      </c>
      <c r="N113" s="44">
        <f t="shared" si="25"/>
        <v>239437.6811681058</v>
      </c>
      <c r="O113" s="51">
        <f xml:space="preserve"> SUM($M$15:M112) + N113*((1+$C$6)^(-B113))</f>
        <v>117679.35847012699</v>
      </c>
      <c r="P113" s="51">
        <f t="shared" si="36"/>
        <v>153317.98542031884</v>
      </c>
      <c r="Q113" s="54">
        <f t="shared" si="27"/>
        <v>396692.12984952598</v>
      </c>
      <c r="R113" s="54">
        <f t="shared" si="26"/>
        <v>396692.12984952598</v>
      </c>
      <c r="S113" s="54">
        <f t="shared" si="22"/>
        <v>396692.12984952319</v>
      </c>
      <c r="T113" s="54">
        <f t="shared" si="23"/>
        <v>396692.12984952319</v>
      </c>
      <c r="U113" s="54">
        <f t="shared" si="33"/>
        <v>0</v>
      </c>
      <c r="V113" s="63">
        <f t="shared" si="28"/>
        <v>6260.0319056347334</v>
      </c>
      <c r="W113" s="63">
        <f t="shared" si="29"/>
        <v>5891.3349988263699</v>
      </c>
      <c r="X113" s="63" t="str">
        <f t="shared" si="30"/>
        <v>MIV &gt; MOC</v>
      </c>
      <c r="Y113" s="65">
        <f xml:space="preserve"> (SUM($D$15:D112) + H113)/B113</f>
        <v>13.458163265306123</v>
      </c>
      <c r="Z113" s="65">
        <f xml:space="preserve"> 'Growth &amp; yield data'!F115 - 'Growth &amp; yield data'!O114</f>
        <v>13.799999999999955</v>
      </c>
      <c r="AA113" s="117"/>
    </row>
    <row r="114" spans="1:27" x14ac:dyDescent="0.3">
      <c r="A114" s="31">
        <v>101</v>
      </c>
      <c r="B114" s="31">
        <v>99</v>
      </c>
      <c r="C114" s="43">
        <f xml:space="preserve"> 'Growth &amp; yield data'!G115</f>
        <v>0</v>
      </c>
      <c r="D114" s="43">
        <f xml:space="preserve"> 'Growth &amp; yield data'!J115</f>
        <v>0</v>
      </c>
      <c r="E114" s="43">
        <v>0</v>
      </c>
      <c r="F114" s="43">
        <f t="shared" si="34"/>
        <v>0</v>
      </c>
      <c r="G114" s="44">
        <f xml:space="preserve"> 'Growth &amp; yield data'!C115</f>
        <v>48.6</v>
      </c>
      <c r="H114" s="44">
        <f xml:space="preserve"> 'Growth &amp; yield data'!F115</f>
        <v>574.4</v>
      </c>
      <c r="I114" s="43">
        <f t="shared" si="31"/>
        <v>427.91019072479992</v>
      </c>
      <c r="J114" s="44">
        <f t="shared" si="32"/>
        <v>245791.61355232506</v>
      </c>
      <c r="K114" s="43">
        <v>0</v>
      </c>
      <c r="L114" s="43">
        <f t="shared" si="24"/>
        <v>0</v>
      </c>
      <c r="M114" s="57">
        <f t="shared" si="35"/>
        <v>0</v>
      </c>
      <c r="N114" s="44">
        <f t="shared" si="25"/>
        <v>245791.61355232506</v>
      </c>
      <c r="O114" s="51">
        <f xml:space="preserve"> SUM($M$15:M113) + N114*((1+$C$6)^(-B114))</f>
        <v>118311.9789113218</v>
      </c>
      <c r="P114" s="51">
        <f t="shared" si="36"/>
        <v>153455.39545060013</v>
      </c>
      <c r="Q114" s="54">
        <f t="shared" si="27"/>
        <v>402642.51179726882</v>
      </c>
      <c r="R114" s="54">
        <f t="shared" si="26"/>
        <v>402642.51179726882</v>
      </c>
      <c r="S114" s="54">
        <f t="shared" si="22"/>
        <v>402642.51179726596</v>
      </c>
      <c r="T114" s="54">
        <f t="shared" si="23"/>
        <v>402642.51179726596</v>
      </c>
      <c r="U114" s="54">
        <f t="shared" si="33"/>
        <v>0</v>
      </c>
      <c r="V114" s="63">
        <f t="shared" si="28"/>
        <v>6364.527720566628</v>
      </c>
      <c r="W114" s="63">
        <f t="shared" si="29"/>
        <v>5988.7051350438778</v>
      </c>
      <c r="X114" s="63" t="str">
        <f t="shared" si="30"/>
        <v>MIV &gt; MOC</v>
      </c>
      <c r="Y114" s="65">
        <f xml:space="preserve"> (SUM($D$15:D113) + H114)/B114</f>
        <v>13.46161616161616</v>
      </c>
      <c r="Z114" s="65">
        <f xml:space="preserve"> 'Growth &amp; yield data'!F116 - 'Growth &amp; yield data'!O115</f>
        <v>13.800000000000068</v>
      </c>
      <c r="AA114" s="117"/>
    </row>
    <row r="115" spans="1:27" x14ac:dyDescent="0.3">
      <c r="A115" s="31">
        <v>102</v>
      </c>
      <c r="B115" s="31">
        <v>100</v>
      </c>
      <c r="C115" s="43">
        <f xml:space="preserve"> 'Growth &amp; yield data'!G116</f>
        <v>0</v>
      </c>
      <c r="D115" s="43">
        <f xml:space="preserve"> 'Growth &amp; yield data'!J116</f>
        <v>0</v>
      </c>
      <c r="E115" s="43">
        <v>0</v>
      </c>
      <c r="F115" s="43">
        <f t="shared" si="34"/>
        <v>0</v>
      </c>
      <c r="G115" s="44">
        <f xml:space="preserve"> 'Growth &amp; yield data'!C116</f>
        <v>49.2</v>
      </c>
      <c r="H115" s="44">
        <f xml:space="preserve"> 'Growth &amp; yield data'!F116</f>
        <v>588.20000000000005</v>
      </c>
      <c r="I115" s="43">
        <f t="shared" si="31"/>
        <v>428.85346682879998</v>
      </c>
      <c r="J115" s="44">
        <f t="shared" si="32"/>
        <v>252251.60918870018</v>
      </c>
      <c r="K115" s="43">
        <v>0</v>
      </c>
      <c r="L115" s="43">
        <f t="shared" si="24"/>
        <v>0</v>
      </c>
      <c r="M115" s="57">
        <f t="shared" si="35"/>
        <v>0</v>
      </c>
      <c r="N115" s="44">
        <f t="shared" si="25"/>
        <v>252251.60918870018</v>
      </c>
      <c r="O115" s="51">
        <f xml:space="preserve"> SUM($M$15:M114) + N115*((1+$C$6)^(-B115))</f>
        <v>118937.67676111434</v>
      </c>
      <c r="P115" s="51">
        <f t="shared" si="36"/>
        <v>153592.7160312272</v>
      </c>
      <c r="Q115" s="54">
        <f t="shared" si="27"/>
        <v>408682.1494742278</v>
      </c>
      <c r="R115" s="54">
        <f t="shared" si="26"/>
        <v>408682.1494742278</v>
      </c>
      <c r="S115" s="54">
        <f t="shared" si="22"/>
        <v>408682.14947422489</v>
      </c>
      <c r="T115" s="54">
        <f t="shared" si="23"/>
        <v>408682.14947422489</v>
      </c>
      <c r="U115" s="54">
        <f t="shared" si="33"/>
        <v>0</v>
      </c>
      <c r="V115" s="63">
        <f t="shared" si="28"/>
        <v>6330.2625979219738</v>
      </c>
      <c r="W115" s="63">
        <f t="shared" si="29"/>
        <v>6087.6648782989105</v>
      </c>
      <c r="X115" s="63" t="str">
        <f t="shared" si="30"/>
        <v>MIV &gt; MOC</v>
      </c>
      <c r="Y115" s="65">
        <f xml:space="preserve"> (SUM($D$15:D114) + H115)/B115</f>
        <v>13.465</v>
      </c>
      <c r="Z115" s="65">
        <f xml:space="preserve"> 'Growth &amp; yield data'!F117 - 'Growth &amp; yield data'!O116</f>
        <v>13.899999999999977</v>
      </c>
      <c r="AA115" s="117"/>
    </row>
    <row r="116" spans="1:27" x14ac:dyDescent="0.3">
      <c r="A116" s="31">
        <v>103</v>
      </c>
      <c r="B116" s="31">
        <v>101</v>
      </c>
      <c r="C116" s="43">
        <f xml:space="preserve"> 'Growth &amp; yield data'!G117</f>
        <v>0</v>
      </c>
      <c r="D116" s="43">
        <f xml:space="preserve"> 'Growth &amp; yield data'!J117</f>
        <v>0</v>
      </c>
      <c r="E116" s="43">
        <v>0</v>
      </c>
      <c r="F116" s="43">
        <f t="shared" si="34"/>
        <v>0</v>
      </c>
      <c r="G116" s="44">
        <f xml:space="preserve"> 'Growth &amp; yield data'!C117</f>
        <v>49.7</v>
      </c>
      <c r="H116" s="44">
        <f xml:space="preserve"> 'Growth &amp; yield data'!F117</f>
        <v>602.1</v>
      </c>
      <c r="I116" s="43">
        <f t="shared" si="31"/>
        <v>429.62435762429993</v>
      </c>
      <c r="J116" s="44">
        <f t="shared" si="32"/>
        <v>258676.82572559098</v>
      </c>
      <c r="K116" s="43">
        <v>0</v>
      </c>
      <c r="L116" s="43">
        <f t="shared" si="24"/>
        <v>0</v>
      </c>
      <c r="M116" s="57">
        <f t="shared" si="35"/>
        <v>0</v>
      </c>
      <c r="N116" s="44">
        <f t="shared" si="25"/>
        <v>258676.82572559098</v>
      </c>
      <c r="O116" s="51">
        <f xml:space="preserve"> SUM($M$15:M115) + N116*((1+$C$6)^(-B116))</f>
        <v>119524.85625119288</v>
      </c>
      <c r="P116" s="51">
        <f t="shared" si="36"/>
        <v>153689.19998656737</v>
      </c>
      <c r="Q116" s="54">
        <f t="shared" si="27"/>
        <v>414812.38171634119</v>
      </c>
      <c r="R116" s="54">
        <f t="shared" si="26"/>
        <v>414812.38171634119</v>
      </c>
      <c r="S116" s="54">
        <f t="shared" si="22"/>
        <v>414812.38171633822</v>
      </c>
      <c r="T116" s="54">
        <f t="shared" si="23"/>
        <v>414812.38171633822</v>
      </c>
      <c r="U116" s="54">
        <f t="shared" si="33"/>
        <v>0</v>
      </c>
      <c r="V116" s="63">
        <f t="shared" si="28"/>
        <v>6342.6137842027492</v>
      </c>
      <c r="W116" s="63">
        <f t="shared" si="29"/>
        <v>6185.4903856823748</v>
      </c>
      <c r="X116" s="63" t="str">
        <f t="shared" si="30"/>
        <v>MIV &gt; MOC</v>
      </c>
      <c r="Y116" s="65">
        <f xml:space="preserve"> (SUM($D$15:D115) + H116)/B116</f>
        <v>13.469306930693071</v>
      </c>
      <c r="Z116" s="65">
        <f xml:space="preserve"> 'Growth &amp; yield data'!F118 - 'Growth &amp; yield data'!O117</f>
        <v>13.899999999999977</v>
      </c>
      <c r="AA116" s="117"/>
    </row>
    <row r="117" spans="1:27" x14ac:dyDescent="0.3">
      <c r="A117" s="31">
        <v>104</v>
      </c>
      <c r="B117" s="31">
        <v>102</v>
      </c>
      <c r="C117" s="43">
        <f xml:space="preserve"> 'Growth &amp; yield data'!G118</f>
        <v>0</v>
      </c>
      <c r="D117" s="43">
        <f xml:space="preserve"> 'Growth &amp; yield data'!J118</f>
        <v>0</v>
      </c>
      <c r="E117" s="43">
        <v>0</v>
      </c>
      <c r="F117" s="43">
        <f t="shared" si="34"/>
        <v>0</v>
      </c>
      <c r="G117" s="44">
        <f xml:space="preserve"> 'Growth &amp; yield data'!C118</f>
        <v>50.2</v>
      </c>
      <c r="H117" s="44">
        <f xml:space="preserve"> 'Growth &amp; yield data'!F118</f>
        <v>616</v>
      </c>
      <c r="I117" s="43">
        <f t="shared" si="31"/>
        <v>430.38080960479999</v>
      </c>
      <c r="J117" s="44">
        <f t="shared" si="32"/>
        <v>265114.57871655677</v>
      </c>
      <c r="K117" s="43">
        <v>0</v>
      </c>
      <c r="L117" s="43">
        <f t="shared" si="24"/>
        <v>0</v>
      </c>
      <c r="M117" s="57">
        <f t="shared" si="35"/>
        <v>0</v>
      </c>
      <c r="N117" s="44">
        <f t="shared" si="25"/>
        <v>265114.57871655677</v>
      </c>
      <c r="O117" s="51">
        <f xml:space="preserve"> SUM($M$15:M116) + N117*((1+$C$6)^(-B117))</f>
        <v>120084.99603132709</v>
      </c>
      <c r="P117" s="51">
        <f t="shared" si="36"/>
        <v>153759.94095855276</v>
      </c>
      <c r="Q117" s="54">
        <f t="shared" si="27"/>
        <v>421034.56744208629</v>
      </c>
      <c r="R117" s="54">
        <f t="shared" si="26"/>
        <v>421034.56744208629</v>
      </c>
      <c r="S117" s="54">
        <f t="shared" si="22"/>
        <v>421034.56744208327</v>
      </c>
      <c r="T117" s="54">
        <f t="shared" si="23"/>
        <v>421034.56744208327</v>
      </c>
      <c r="U117" s="54">
        <f t="shared" si="33"/>
        <v>0</v>
      </c>
      <c r="V117" s="63">
        <f t="shared" si="28"/>
        <v>6529.8484279311342</v>
      </c>
      <c r="W117" s="63">
        <f t="shared" si="29"/>
        <v>6283.1177951266427</v>
      </c>
      <c r="X117" s="63" t="str">
        <f t="shared" si="30"/>
        <v>MIV &gt; MOC</v>
      </c>
      <c r="Y117" s="65">
        <f xml:space="preserve"> (SUM($D$15:D116) + H117)/B117</f>
        <v>13.473529411764705</v>
      </c>
      <c r="Z117" s="65">
        <f xml:space="preserve"> 'Growth &amp; yield data'!F119 - 'Growth &amp; yield data'!O118</f>
        <v>14.100000000000023</v>
      </c>
      <c r="AA117" s="117"/>
    </row>
    <row r="118" spans="1:27" x14ac:dyDescent="0.3">
      <c r="A118" s="31">
        <v>105</v>
      </c>
      <c r="B118" s="31">
        <v>103</v>
      </c>
      <c r="C118" s="43">
        <f xml:space="preserve"> 'Growth &amp; yield data'!G119</f>
        <v>0</v>
      </c>
      <c r="D118" s="43">
        <f xml:space="preserve"> 'Growth &amp; yield data'!J119</f>
        <v>0</v>
      </c>
      <c r="E118" s="43">
        <v>0</v>
      </c>
      <c r="F118" s="43">
        <f t="shared" si="34"/>
        <v>0</v>
      </c>
      <c r="G118" s="44">
        <f xml:space="preserve"> 'Growth &amp; yield data'!C119</f>
        <v>50.8</v>
      </c>
      <c r="H118" s="44">
        <f xml:space="preserve"> 'Growth &amp; yield data'!F119</f>
        <v>630.1</v>
      </c>
      <c r="I118" s="43">
        <f t="shared" si="31"/>
        <v>431.26864762879995</v>
      </c>
      <c r="J118" s="44">
        <f t="shared" si="32"/>
        <v>271742.37487090688</v>
      </c>
      <c r="K118" s="43">
        <v>0</v>
      </c>
      <c r="L118" s="43">
        <f t="shared" si="24"/>
        <v>0</v>
      </c>
      <c r="M118" s="57">
        <f t="shared" si="35"/>
        <v>0</v>
      </c>
      <c r="N118" s="44">
        <f t="shared" si="25"/>
        <v>271742.37487090688</v>
      </c>
      <c r="O118" s="51">
        <f xml:space="preserve"> SUM($M$15:M117) + N118*((1+$C$6)^(-B118))</f>
        <v>120657.02769350121</v>
      </c>
      <c r="P118" s="51">
        <f t="shared" si="36"/>
        <v>153854.77625927501</v>
      </c>
      <c r="Q118" s="54">
        <f t="shared" si="27"/>
        <v>427350.08595371753</v>
      </c>
      <c r="R118" s="54">
        <f t="shared" si="26"/>
        <v>427350.08595371753</v>
      </c>
      <c r="S118" s="54">
        <f t="shared" si="22"/>
        <v>427350.08595371444</v>
      </c>
      <c r="T118" s="54">
        <f t="shared" si="23"/>
        <v>427350.08595371444</v>
      </c>
      <c r="U118" s="54">
        <f t="shared" si="33"/>
        <v>0</v>
      </c>
      <c r="V118" s="63">
        <f t="shared" si="28"/>
        <v>6407.0683934730414</v>
      </c>
      <c r="W118" s="63">
        <f t="shared" si="29"/>
        <v>6383.9572669527279</v>
      </c>
      <c r="X118" s="63" t="str">
        <f t="shared" si="30"/>
        <v>MIV &gt; MOC</v>
      </c>
      <c r="Y118" s="65">
        <f xml:space="preserve"> (SUM($D$15:D117) + H118)/B118</f>
        <v>13.479611650485438</v>
      </c>
      <c r="Z118" s="65">
        <f xml:space="preserve"> 'Growth &amp; yield data'!F120 - 'Growth &amp; yield data'!O119</f>
        <v>14</v>
      </c>
      <c r="AA118" s="117"/>
    </row>
    <row r="119" spans="1:27" x14ac:dyDescent="0.3">
      <c r="A119" s="31">
        <v>106</v>
      </c>
      <c r="B119" s="31">
        <v>104</v>
      </c>
      <c r="C119" s="43">
        <f xml:space="preserve"> 'Growth &amp; yield data'!G120</f>
        <v>0</v>
      </c>
      <c r="D119" s="43">
        <f xml:space="preserve"> 'Growth &amp; yield data'!J120</f>
        <v>0</v>
      </c>
      <c r="E119" s="43">
        <v>0</v>
      </c>
      <c r="F119" s="43">
        <f t="shared" si="34"/>
        <v>0</v>
      </c>
      <c r="G119" s="44">
        <f xml:space="preserve"> 'Growth &amp; yield data'!C120</f>
        <v>51.3</v>
      </c>
      <c r="H119" s="44">
        <f xml:space="preserve"> 'Growth &amp; yield data'!F120</f>
        <v>644.1</v>
      </c>
      <c r="I119" s="43">
        <f t="shared" si="31"/>
        <v>431.9912269683</v>
      </c>
      <c r="J119" s="44">
        <f t="shared" si="32"/>
        <v>278245.54929028201</v>
      </c>
      <c r="K119" s="43">
        <v>0</v>
      </c>
      <c r="L119" s="43">
        <f t="shared" si="24"/>
        <v>0</v>
      </c>
      <c r="M119" s="57">
        <f t="shared" si="35"/>
        <v>0</v>
      </c>
      <c r="N119" s="44">
        <f t="shared" si="25"/>
        <v>278245.54929028201</v>
      </c>
      <c r="O119" s="51">
        <f xml:space="preserve"> SUM($M$15:M118) + N119*((1+$C$6)^(-B119))</f>
        <v>121172.97853449127</v>
      </c>
      <c r="P119" s="51">
        <f t="shared" si="36"/>
        <v>153886.96221381551</v>
      </c>
      <c r="Q119" s="54">
        <f t="shared" si="27"/>
        <v>433760.33724302327</v>
      </c>
      <c r="R119" s="54">
        <f t="shared" si="26"/>
        <v>433760.33724302327</v>
      </c>
      <c r="S119" s="54">
        <f t="shared" si="22"/>
        <v>433760.33724302013</v>
      </c>
      <c r="T119" s="54">
        <f t="shared" si="23"/>
        <v>433760.33724302013</v>
      </c>
      <c r="U119" s="54">
        <f t="shared" si="33"/>
        <v>0</v>
      </c>
      <c r="V119" s="63">
        <f t="shared" si="28"/>
        <v>6501.6649002445583</v>
      </c>
      <c r="W119" s="63">
        <f t="shared" si="29"/>
        <v>6481.9876725614622</v>
      </c>
      <c r="X119" s="63" t="str">
        <f t="shared" si="30"/>
        <v>MIV &gt; MOC</v>
      </c>
      <c r="Y119" s="65">
        <f xml:space="preserve"> (SUM($D$15:D118) + H119)/B119</f>
        <v>13.484615384615385</v>
      </c>
      <c r="Z119" s="65">
        <f xml:space="preserve"> 'Growth &amp; yield data'!F121 - 'Growth &amp; yield data'!O120</f>
        <v>14.199999999999932</v>
      </c>
      <c r="AA119" s="117"/>
    </row>
    <row r="120" spans="1:27" x14ac:dyDescent="0.3">
      <c r="A120" s="31">
        <v>107</v>
      </c>
      <c r="B120" s="31">
        <v>105</v>
      </c>
      <c r="C120" s="43">
        <f xml:space="preserve"> 'Growth &amp; yield data'!G121</f>
        <v>50.3</v>
      </c>
      <c r="D120" s="43">
        <f xml:space="preserve"> 'Growth &amp; yield data'!J121</f>
        <v>94.6</v>
      </c>
      <c r="E120" s="43">
        <f xml:space="preserve">  $F$10*(C120^4) + $F$9*(C120^3) + $F$8*(C120^2) + $F$7*C120 + $F$6</f>
        <v>430.53031442429995</v>
      </c>
      <c r="F120" s="43">
        <f t="shared" si="34"/>
        <v>40728.167744538776</v>
      </c>
      <c r="G120" s="44">
        <f xml:space="preserve"> 'Growth &amp; yield data'!C121</f>
        <v>51.8</v>
      </c>
      <c r="H120" s="44">
        <f xml:space="preserve"> 'Growth &amp; yield data'!F121</f>
        <v>658.3</v>
      </c>
      <c r="I120" s="43">
        <f t="shared" si="31"/>
        <v>432.69746189279999</v>
      </c>
      <c r="J120" s="44">
        <f t="shared" si="32"/>
        <v>284844.73916403024</v>
      </c>
      <c r="K120" s="43">
        <v>0</v>
      </c>
      <c r="L120" s="43">
        <f t="shared" si="24"/>
        <v>40728.167744538776</v>
      </c>
      <c r="M120" s="57">
        <f t="shared" si="35"/>
        <v>8530.2240169325778</v>
      </c>
      <c r="N120" s="44">
        <f t="shared" si="25"/>
        <v>284844.73916403024</v>
      </c>
      <c r="O120" s="51">
        <f xml:space="preserve"> SUM($M$15:M119) + N120*((1+$C$6)^(-B120))</f>
        <v>121680.98358582854</v>
      </c>
      <c r="P120" s="51">
        <f t="shared" si="36"/>
        <v>153918.01267591518</v>
      </c>
      <c r="Q120" s="54">
        <f t="shared" si="27"/>
        <v>440266.74230166856</v>
      </c>
      <c r="R120" s="54">
        <f t="shared" si="26"/>
        <v>399538.57455712976</v>
      </c>
      <c r="S120" s="54">
        <f t="shared" si="22"/>
        <v>440266.74230166536</v>
      </c>
      <c r="T120" s="54">
        <f t="shared" si="23"/>
        <v>399538.57455712662</v>
      </c>
      <c r="U120" s="54">
        <f t="shared" si="33"/>
        <v>30693.051634857318</v>
      </c>
      <c r="V120" s="63">
        <f t="shared" si="28"/>
        <v>7024.428005648384</v>
      </c>
      <c r="W120" s="63">
        <f t="shared" si="29"/>
        <v>6581.4412775991814</v>
      </c>
      <c r="X120" s="63" t="str">
        <f t="shared" si="30"/>
        <v>MIV &gt; MOC</v>
      </c>
      <c r="Y120" s="65">
        <f xml:space="preserve"> (SUM($D$15:D119) + H120)/B120</f>
        <v>13.491428571428571</v>
      </c>
      <c r="Z120" s="65">
        <f xml:space="preserve"> 'Growth &amp; yield data'!F122 - 'Growth &amp; yield data'!O121</f>
        <v>13.899999999999977</v>
      </c>
      <c r="AA120" s="117"/>
    </row>
    <row r="121" spans="1:27" x14ac:dyDescent="0.3">
      <c r="A121" s="31">
        <v>108</v>
      </c>
      <c r="B121" s="31">
        <v>106</v>
      </c>
      <c r="C121" s="43">
        <f xml:space="preserve"> 'Growth &amp; yield data'!G122</f>
        <v>0</v>
      </c>
      <c r="D121" s="43">
        <f xml:space="preserve"> 'Growth &amp; yield data'!J122</f>
        <v>0</v>
      </c>
      <c r="E121" s="43">
        <v>0</v>
      </c>
      <c r="F121" s="43">
        <f t="shared" si="34"/>
        <v>0</v>
      </c>
      <c r="G121" s="44">
        <f xml:space="preserve"> 'Growth &amp; yield data'!C122</f>
        <v>52.7</v>
      </c>
      <c r="H121" s="44">
        <f xml:space="preserve"> 'Growth &amp; yield data'!F122</f>
        <v>577.6</v>
      </c>
      <c r="I121" s="43">
        <f t="shared" si="31"/>
        <v>433.92562903229998</v>
      </c>
      <c r="J121" s="44">
        <f t="shared" si="32"/>
        <v>250635.44332905649</v>
      </c>
      <c r="K121" s="43">
        <v>0</v>
      </c>
      <c r="L121" s="43">
        <f t="shared" si="24"/>
        <v>0</v>
      </c>
      <c r="M121" s="57">
        <f t="shared" si="35"/>
        <v>0</v>
      </c>
      <c r="N121" s="44">
        <f t="shared" si="25"/>
        <v>250635.44332905649</v>
      </c>
      <c r="O121" s="51">
        <f xml:space="preserve"> SUM($M$15:M120) + N121*((1+$C$6)^(-B121))</f>
        <v>122270.54426473485</v>
      </c>
      <c r="P121" s="51">
        <f t="shared" si="36"/>
        <v>154060.58313718066</v>
      </c>
      <c r="Q121" s="54">
        <f t="shared" si="27"/>
        <v>405531.65317548666</v>
      </c>
      <c r="R121" s="54">
        <f t="shared" si="26"/>
        <v>405531.65317548666</v>
      </c>
      <c r="S121" s="54">
        <f t="shared" si="22"/>
        <v>405531.65317548346</v>
      </c>
      <c r="T121" s="54">
        <f t="shared" si="23"/>
        <v>405531.65317548346</v>
      </c>
      <c r="U121" s="54">
        <f t="shared" si="33"/>
        <v>0</v>
      </c>
      <c r="V121" s="63">
        <f t="shared" si="28"/>
        <v>6272.3606596769669</v>
      </c>
      <c r="W121" s="63">
        <f t="shared" si="29"/>
        <v>6070.4403969935574</v>
      </c>
      <c r="X121" s="63" t="str">
        <f t="shared" si="30"/>
        <v>MIV &gt; MOC</v>
      </c>
      <c r="Y121" s="65">
        <f xml:space="preserve"> (SUM($D$15:D120) + H121)/B121</f>
        <v>13.495283018867925</v>
      </c>
      <c r="Z121" s="65">
        <f xml:space="preserve"> 'Growth &amp; yield data'!F123 - 'Growth &amp; yield data'!O122</f>
        <v>13.600000000000023</v>
      </c>
      <c r="AA121" s="117"/>
    </row>
    <row r="122" spans="1:27" x14ac:dyDescent="0.3">
      <c r="A122" s="31">
        <v>109</v>
      </c>
      <c r="B122" s="31">
        <v>107</v>
      </c>
      <c r="C122" s="43">
        <f xml:space="preserve"> 'Growth &amp; yield data'!G123</f>
        <v>0</v>
      </c>
      <c r="D122" s="43">
        <f xml:space="preserve"> 'Growth &amp; yield data'!J123</f>
        <v>0</v>
      </c>
      <c r="E122" s="43">
        <v>0</v>
      </c>
      <c r="F122" s="43">
        <f t="shared" si="34"/>
        <v>0</v>
      </c>
      <c r="G122" s="44">
        <f xml:space="preserve"> 'Growth &amp; yield data'!C123</f>
        <v>53.3</v>
      </c>
      <c r="H122" s="44">
        <f xml:space="preserve"> 'Growth &amp; yield data'!F123</f>
        <v>591.20000000000005</v>
      </c>
      <c r="I122" s="43">
        <f t="shared" si="31"/>
        <v>434.71226217630004</v>
      </c>
      <c r="J122" s="44">
        <f t="shared" si="32"/>
        <v>257001.88939862861</v>
      </c>
      <c r="K122" s="43">
        <v>0</v>
      </c>
      <c r="L122" s="43">
        <f t="shared" si="24"/>
        <v>0</v>
      </c>
      <c r="M122" s="57">
        <f t="shared" si="35"/>
        <v>0</v>
      </c>
      <c r="N122" s="44">
        <f t="shared" si="25"/>
        <v>257001.88939862861</v>
      </c>
      <c r="O122" s="51">
        <f xml:space="preserve"> SUM($M$15:M121) + N122*((1+$C$6)^(-B122))</f>
        <v>122800.52520780043</v>
      </c>
      <c r="P122" s="51">
        <f t="shared" si="36"/>
        <v>154136.11630532285</v>
      </c>
      <c r="Q122" s="54">
        <f t="shared" si="27"/>
        <v>411614.62797311891</v>
      </c>
      <c r="R122" s="54">
        <f t="shared" si="26"/>
        <v>411614.62797311891</v>
      </c>
      <c r="S122" s="54">
        <f t="shared" si="22"/>
        <v>411614.62797311565</v>
      </c>
      <c r="T122" s="54">
        <f t="shared" si="23"/>
        <v>411614.62797311565</v>
      </c>
      <c r="U122" s="54">
        <f t="shared" si="33"/>
        <v>0</v>
      </c>
      <c r="V122" s="63">
        <f t="shared" si="28"/>
        <v>6203.1133248938113</v>
      </c>
      <c r="W122" s="63">
        <f t="shared" si="29"/>
        <v>6167.0700855592713</v>
      </c>
      <c r="X122" s="63" t="str">
        <f t="shared" si="30"/>
        <v>MIV &gt; MOC</v>
      </c>
      <c r="Y122" s="65">
        <f xml:space="preserve"> (SUM($D$15:D121) + H122)/B122</f>
        <v>13.49626168224299</v>
      </c>
      <c r="Z122" s="65">
        <f xml:space="preserve"> 'Growth &amp; yield data'!F124 - 'Growth &amp; yield data'!O123</f>
        <v>13.599999999999909</v>
      </c>
      <c r="AA122" s="117"/>
    </row>
    <row r="123" spans="1:27" x14ac:dyDescent="0.3">
      <c r="A123" s="31">
        <v>110</v>
      </c>
      <c r="B123" s="31">
        <v>108</v>
      </c>
      <c r="C123" s="43">
        <f xml:space="preserve"> 'Growth &amp; yield data'!G124</f>
        <v>0</v>
      </c>
      <c r="D123" s="43">
        <f xml:space="preserve"> 'Growth &amp; yield data'!J124</f>
        <v>0</v>
      </c>
      <c r="E123" s="43">
        <v>0</v>
      </c>
      <c r="F123" s="43">
        <f t="shared" si="34"/>
        <v>0</v>
      </c>
      <c r="G123" s="44">
        <f xml:space="preserve"> 'Growth &amp; yield data'!C124</f>
        <v>53.8</v>
      </c>
      <c r="H123" s="44">
        <f xml:space="preserve"> 'Growth &amp; yield data'!F124</f>
        <v>604.79999999999995</v>
      </c>
      <c r="I123" s="43">
        <f t="shared" si="31"/>
        <v>435.34730394079997</v>
      </c>
      <c r="J123" s="44">
        <f t="shared" si="32"/>
        <v>263298.04942339583</v>
      </c>
      <c r="K123" s="43">
        <v>0</v>
      </c>
      <c r="L123" s="43">
        <f t="shared" si="24"/>
        <v>0</v>
      </c>
      <c r="M123" s="57">
        <f t="shared" si="35"/>
        <v>0</v>
      </c>
      <c r="N123" s="44">
        <f t="shared" si="25"/>
        <v>263298.04942339583</v>
      </c>
      <c r="O123" s="51">
        <f xml:space="preserve"> SUM($M$15:M122) + N123*((1+$C$6)^(-B123))</f>
        <v>123289.46867132132</v>
      </c>
      <c r="P123" s="51">
        <f t="shared" si="36"/>
        <v>154168.44806581951</v>
      </c>
      <c r="Q123" s="54">
        <f t="shared" si="27"/>
        <v>417788.84739271563</v>
      </c>
      <c r="R123" s="54">
        <f t="shared" si="26"/>
        <v>417788.84739271563</v>
      </c>
      <c r="S123" s="54">
        <f t="shared" si="22"/>
        <v>417788.84739271231</v>
      </c>
      <c r="T123" s="54">
        <f t="shared" si="23"/>
        <v>417788.84739271231</v>
      </c>
      <c r="U123" s="54">
        <f t="shared" si="33"/>
        <v>0</v>
      </c>
      <c r="V123" s="63">
        <f t="shared" si="28"/>
        <v>6324.9811395240631</v>
      </c>
      <c r="W123" s="63">
        <f t="shared" si="29"/>
        <v>6261.9974623382295</v>
      </c>
      <c r="X123" s="63" t="str">
        <f t="shared" si="30"/>
        <v>MIV &gt; MOC</v>
      </c>
      <c r="Y123" s="65">
        <f xml:space="preserve"> (SUM($D$15:D122) + H123)/B123</f>
        <v>13.49722222222222</v>
      </c>
      <c r="Z123" s="65">
        <f xml:space="preserve"> 'Growth &amp; yield data'!F125 - 'Growth &amp; yield data'!O124</f>
        <v>13.700000000000045</v>
      </c>
      <c r="AA123" s="117"/>
    </row>
    <row r="124" spans="1:27" x14ac:dyDescent="0.3">
      <c r="A124" s="31">
        <v>111</v>
      </c>
      <c r="B124" s="31">
        <v>109</v>
      </c>
      <c r="C124" s="43">
        <f xml:space="preserve"> 'Growth &amp; yield data'!G125</f>
        <v>0</v>
      </c>
      <c r="D124" s="43">
        <f xml:space="preserve"> 'Growth &amp; yield data'!J125</f>
        <v>0</v>
      </c>
      <c r="E124" s="43">
        <v>0</v>
      </c>
      <c r="F124" s="43">
        <f t="shared" si="34"/>
        <v>0</v>
      </c>
      <c r="G124" s="44">
        <f xml:space="preserve"> 'Growth &amp; yield data'!C125</f>
        <v>54.4</v>
      </c>
      <c r="H124" s="44">
        <f xml:space="preserve"> 'Growth &amp; yield data'!F125</f>
        <v>618.5</v>
      </c>
      <c r="I124" s="43">
        <f t="shared" si="31"/>
        <v>436.08392122879991</v>
      </c>
      <c r="J124" s="44">
        <f t="shared" si="32"/>
        <v>269717.90528001275</v>
      </c>
      <c r="K124" s="43">
        <v>0</v>
      </c>
      <c r="L124" s="43">
        <f t="shared" si="24"/>
        <v>0</v>
      </c>
      <c r="M124" s="57">
        <f t="shared" si="35"/>
        <v>0</v>
      </c>
      <c r="N124" s="44">
        <f t="shared" si="25"/>
        <v>269717.90528001275</v>
      </c>
      <c r="O124" s="51">
        <f xml:space="preserve"> SUM($M$15:M123) + N124*((1+$C$6)^(-B124))</f>
        <v>123776.95905904866</v>
      </c>
      <c r="P124" s="51">
        <f t="shared" si="36"/>
        <v>154207.25721123919</v>
      </c>
      <c r="Q124" s="54">
        <f t="shared" si="27"/>
        <v>424055.68010360631</v>
      </c>
      <c r="R124" s="54">
        <f t="shared" si="26"/>
        <v>424055.68010360631</v>
      </c>
      <c r="S124" s="54">
        <f xml:space="preserve"> T124+L124</f>
        <v>424055.68010360294</v>
      </c>
      <c r="T124" s="54">
        <f xml:space="preserve"> S125*(1+$C$6)^(-1)</f>
        <v>424055.68010360294</v>
      </c>
      <c r="U124" s="54">
        <f t="shared" si="33"/>
        <v>0</v>
      </c>
      <c r="V124" s="63">
        <f t="shared" si="28"/>
        <v>6370.0465837312331</v>
      </c>
      <c r="W124" s="63">
        <f t="shared" si="29"/>
        <v>6358.8774373687793</v>
      </c>
      <c r="X124" s="63" t="str">
        <f t="shared" si="30"/>
        <v>MIV &gt; MOC</v>
      </c>
      <c r="Y124" s="65">
        <f xml:space="preserve"> (SUM($D$15:D123) + H124)/B124</f>
        <v>13.49908256880734</v>
      </c>
      <c r="Z124" s="65">
        <f xml:space="preserve"> 'Growth &amp; yield data'!F126 - 'Growth &amp; yield data'!O125</f>
        <v>13.799999999999955</v>
      </c>
      <c r="AA124" s="117"/>
    </row>
    <row r="125" spans="1:27" x14ac:dyDescent="0.3">
      <c r="A125" s="114">
        <v>112</v>
      </c>
      <c r="B125" s="114">
        <v>110</v>
      </c>
      <c r="C125" s="114">
        <f xml:space="preserve"> 'Growth &amp; yield data'!G126</f>
        <v>0</v>
      </c>
      <c r="D125" s="114">
        <f xml:space="preserve"> 'Growth &amp; yield data'!J126</f>
        <v>0</v>
      </c>
      <c r="E125" s="114">
        <v>0</v>
      </c>
      <c r="F125" s="114">
        <f t="shared" si="34"/>
        <v>0</v>
      </c>
      <c r="G125" s="114">
        <f xml:space="preserve"> 'Growth &amp; yield data'!C126</f>
        <v>55</v>
      </c>
      <c r="H125" s="114">
        <f xml:space="preserve"> 'Growth &amp; yield data'!F126</f>
        <v>632.29999999999995</v>
      </c>
      <c r="I125" s="114">
        <f t="shared" ref="I125:I156" si="37" xml:space="preserve">  $F$10*(G125^4) + $F$9*(G125^3) + $F$8*(G125^2) + $F$7*G125 + $F$6</f>
        <v>436.791875</v>
      </c>
      <c r="J125" s="114">
        <f t="shared" si="32"/>
        <v>276183.50256249995</v>
      </c>
      <c r="K125" s="114">
        <v>0</v>
      </c>
      <c r="L125" s="114">
        <f t="shared" si="24"/>
        <v>0</v>
      </c>
      <c r="M125" s="115">
        <f t="shared" si="35"/>
        <v>0</v>
      </c>
      <c r="N125" s="114">
        <f t="shared" si="25"/>
        <v>276183.50256249995</v>
      </c>
      <c r="O125" s="114">
        <f xml:space="preserve"> SUM($M$15:M124) + N125*((1+$C$6)^(-B125))</f>
        <v>124247.41610414399</v>
      </c>
      <c r="P125" s="114">
        <f t="shared" si="36"/>
        <v>154233.01274265698</v>
      </c>
      <c r="Q125" s="54">
        <f t="shared" si="27"/>
        <v>430416.51530516037</v>
      </c>
      <c r="R125" s="54">
        <f xml:space="preserve"> Q125-N125</f>
        <v>154233.01274266042</v>
      </c>
      <c r="S125" s="114">
        <f xml:space="preserve"> T125+N125</f>
        <v>430416.51530515694</v>
      </c>
      <c r="T125" s="114">
        <f xml:space="preserve"> MAX(P16:P213)</f>
        <v>154233.01274265698</v>
      </c>
      <c r="U125" s="54">
        <f xml:space="preserve"> N125*(1+$C$6)^-(B125-$B$101)</f>
        <v>193202.48988514295</v>
      </c>
      <c r="V125" s="114">
        <f t="shared" si="28"/>
        <v>6299.8086237869338</v>
      </c>
      <c r="W125" s="114">
        <f t="shared" si="29"/>
        <v>6456.2477295773542</v>
      </c>
      <c r="X125" s="114" t="str">
        <f t="shared" si="30"/>
        <v>MOC &gt; MIV</v>
      </c>
      <c r="Y125" s="65">
        <f xml:space="preserve"> (SUM($D$15:D124) + H125)/B125</f>
        <v>13.50181818181818</v>
      </c>
      <c r="Z125" s="65">
        <f xml:space="preserve"> 'Growth &amp; yield data'!F127 - 'Growth &amp; yield data'!O126</f>
        <v>13.800000000000068</v>
      </c>
      <c r="AA125" s="117"/>
    </row>
    <row r="126" spans="1:27" x14ac:dyDescent="0.3">
      <c r="A126" s="31">
        <v>113</v>
      </c>
      <c r="B126" s="31">
        <v>111</v>
      </c>
      <c r="C126" s="43">
        <f xml:space="preserve"> 'Growth &amp; yield data'!G127</f>
        <v>0</v>
      </c>
      <c r="D126" s="43">
        <f xml:space="preserve"> 'Growth &amp; yield data'!J127</f>
        <v>0</v>
      </c>
      <c r="E126" s="43">
        <v>0</v>
      </c>
      <c r="F126" s="43">
        <f t="shared" si="34"/>
        <v>0</v>
      </c>
      <c r="G126" s="44">
        <f xml:space="preserve"> 'Growth &amp; yield data'!C127</f>
        <v>55.5</v>
      </c>
      <c r="H126" s="44">
        <f xml:space="preserve"> 'Growth &amp; yield data'!F127</f>
        <v>646.1</v>
      </c>
      <c r="I126" s="43">
        <f t="shared" si="37"/>
        <v>437.35924518749994</v>
      </c>
      <c r="J126" s="44">
        <f t="shared" si="32"/>
        <v>282577.80831564369</v>
      </c>
      <c r="K126" s="43">
        <v>0</v>
      </c>
      <c r="L126" s="43">
        <f t="shared" si="24"/>
        <v>0</v>
      </c>
      <c r="M126" s="57">
        <f t="shared" si="35"/>
        <v>0</v>
      </c>
      <c r="N126" s="44">
        <f t="shared" si="25"/>
        <v>282577.80831564369</v>
      </c>
      <c r="O126" s="51">
        <f xml:space="preserve"> SUM($M$15:M125) + N126*((1+$C$6)^(-B126))</f>
        <v>124678.68836564268</v>
      </c>
      <c r="P126" s="51">
        <f t="shared" si="36"/>
        <v>154218.33706514075</v>
      </c>
      <c r="Q126" s="54"/>
      <c r="R126" s="54"/>
      <c r="S126" s="54"/>
      <c r="T126" s="54"/>
      <c r="U126" s="54"/>
      <c r="V126" s="63">
        <f t="shared" si="28"/>
        <v>6370.8486872699968</v>
      </c>
      <c r="W126" s="63">
        <f t="shared" si="29"/>
        <v>6551.942180711766</v>
      </c>
      <c r="X126" s="63" t="str">
        <f t="shared" si="30"/>
        <v>MOC &gt; MIV</v>
      </c>
      <c r="Y126" s="65">
        <f xml:space="preserve"> (SUM($D$15:D125) + H126)/B126</f>
        <v>13.504504504504505</v>
      </c>
      <c r="Z126" s="65">
        <f xml:space="preserve"> 'Growth &amp; yield data'!F128 - 'Growth &amp; yield data'!O127</f>
        <v>13.799999999999955</v>
      </c>
      <c r="AA126" s="117"/>
    </row>
    <row r="127" spans="1:27" x14ac:dyDescent="0.3">
      <c r="A127" s="31">
        <v>114</v>
      </c>
      <c r="B127" s="31">
        <v>112</v>
      </c>
      <c r="C127" s="43">
        <f xml:space="preserve"> 'Growth &amp; yield data'!G128</f>
        <v>0</v>
      </c>
      <c r="D127" s="43">
        <f xml:space="preserve"> 'Growth &amp; yield data'!J128</f>
        <v>0</v>
      </c>
      <c r="E127" s="43">
        <v>0</v>
      </c>
      <c r="F127" s="43">
        <f t="shared" si="34"/>
        <v>0</v>
      </c>
      <c r="G127" s="44">
        <f xml:space="preserve"> 'Growth &amp; yield data'!C128</f>
        <v>56.1</v>
      </c>
      <c r="H127" s="44">
        <f xml:space="preserve"> 'Growth &amp; yield data'!F128</f>
        <v>659.9</v>
      </c>
      <c r="I127" s="43">
        <f t="shared" si="37"/>
        <v>438.01215295229997</v>
      </c>
      <c r="J127" s="44">
        <f t="shared" si="32"/>
        <v>289044.21973322274</v>
      </c>
      <c r="K127" s="43">
        <v>0</v>
      </c>
      <c r="L127" s="43">
        <f t="shared" si="24"/>
        <v>0</v>
      </c>
      <c r="M127" s="57">
        <f t="shared" si="35"/>
        <v>0</v>
      </c>
      <c r="N127" s="44">
        <f t="shared" si="25"/>
        <v>289044.21973322274</v>
      </c>
      <c r="O127" s="51">
        <f xml:space="preserve"> SUM($M$15:M126) + N127*((1+$C$6)^(-B127))</f>
        <v>125099.09407737851</v>
      </c>
      <c r="P127" s="51">
        <f t="shared" si="36"/>
        <v>154198.44172194059</v>
      </c>
      <c r="Q127" s="54"/>
      <c r="R127" s="54"/>
      <c r="S127" s="54"/>
      <c r="T127" s="54"/>
      <c r="U127" s="54"/>
      <c r="V127" s="63">
        <f t="shared" si="28"/>
        <v>6386.9068563885403</v>
      </c>
      <c r="W127" s="63">
        <f t="shared" si="29"/>
        <v>6648.6399218274501</v>
      </c>
      <c r="X127" s="63" t="str">
        <f t="shared" si="30"/>
        <v>MOC &gt; MIV</v>
      </c>
      <c r="Y127" s="65">
        <f xml:space="preserve"> (SUM($D$15:D126) + H127)/B127</f>
        <v>13.507142857142856</v>
      </c>
      <c r="Z127" s="65">
        <f xml:space="preserve"> 'Growth &amp; yield data'!F129 - 'Growth &amp; yield data'!O128</f>
        <v>14</v>
      </c>
      <c r="AA127" s="117"/>
    </row>
    <row r="128" spans="1:27" x14ac:dyDescent="0.3">
      <c r="A128" s="31">
        <v>115</v>
      </c>
      <c r="B128" s="31">
        <v>113</v>
      </c>
      <c r="C128" s="43">
        <f xml:space="preserve"> 'Growth &amp; yield data'!G129</f>
        <v>0</v>
      </c>
      <c r="D128" s="43">
        <f xml:space="preserve"> 'Growth &amp; yield data'!J129</f>
        <v>0</v>
      </c>
      <c r="E128" s="43">
        <v>0</v>
      </c>
      <c r="F128" s="43">
        <f t="shared" si="34"/>
        <v>0</v>
      </c>
      <c r="G128" s="44">
        <f xml:space="preserve"> 'Growth &amp; yield data'!C129</f>
        <v>56.6</v>
      </c>
      <c r="H128" s="44">
        <f xml:space="preserve"> 'Growth &amp; yield data'!F129</f>
        <v>673.9</v>
      </c>
      <c r="I128" s="43">
        <f t="shared" si="37"/>
        <v>438.53231962079997</v>
      </c>
      <c r="J128" s="44">
        <f t="shared" si="32"/>
        <v>295526.9301924571</v>
      </c>
      <c r="K128" s="43">
        <v>0</v>
      </c>
      <c r="L128" s="43">
        <f t="shared" si="24"/>
        <v>0</v>
      </c>
      <c r="M128" s="57">
        <f t="shared" si="35"/>
        <v>0</v>
      </c>
      <c r="N128" s="44">
        <f t="shared" si="25"/>
        <v>295526.9301924571</v>
      </c>
      <c r="O128" s="51">
        <f xml:space="preserve"> SUM($M$15:M127) + N128*((1+$C$6)^(-B128))</f>
        <v>125498.28330249595</v>
      </c>
      <c r="P128" s="51">
        <f t="shared" si="36"/>
        <v>154160.54547639791</v>
      </c>
      <c r="Q128" s="54"/>
      <c r="R128" s="54"/>
      <c r="S128" s="54"/>
      <c r="T128" s="54"/>
      <c r="U128" s="54"/>
      <c r="V128" s="63">
        <f t="shared" si="28"/>
        <v>6451.7565913749595</v>
      </c>
      <c r="W128" s="63">
        <f t="shared" si="29"/>
        <v>6745.3121350328247</v>
      </c>
      <c r="X128" s="63" t="str">
        <f t="shared" si="30"/>
        <v>MOC &gt; MIV</v>
      </c>
      <c r="Y128" s="65">
        <f xml:space="preserve"> (SUM($D$15:D127) + H128)/B128</f>
        <v>13.51150442477876</v>
      </c>
      <c r="Z128" s="65">
        <f xml:space="preserve"> 'Growth &amp; yield data'!F130 - 'Growth &amp; yield data'!O129</f>
        <v>14</v>
      </c>
      <c r="AA128" s="117"/>
    </row>
    <row r="129" spans="1:27" x14ac:dyDescent="0.3">
      <c r="A129" s="31">
        <v>116</v>
      </c>
      <c r="B129" s="31">
        <v>114</v>
      </c>
      <c r="C129" s="43">
        <f xml:space="preserve"> 'Growth &amp; yield data'!G130</f>
        <v>55.5</v>
      </c>
      <c r="D129" s="43">
        <f xml:space="preserve"> 'Growth &amp; yield data'!J130</f>
        <v>96.8</v>
      </c>
      <c r="E129" s="43">
        <f xml:space="preserve">  $F$10*(C129^4) + $F$9*(C129^3) + $F$8*(C129^2) + $F$7*C129 + $F$6</f>
        <v>437.35924518749994</v>
      </c>
      <c r="F129" s="43">
        <f t="shared" si="34"/>
        <v>42336.374934149993</v>
      </c>
      <c r="G129" s="44">
        <f xml:space="preserve"> 'Growth &amp; yield data'!C130</f>
        <v>57.2</v>
      </c>
      <c r="H129" s="44">
        <f xml:space="preserve"> 'Growth &amp; yield data'!F130</f>
        <v>687.9</v>
      </c>
      <c r="I129" s="43">
        <f t="shared" si="37"/>
        <v>439.12699975679993</v>
      </c>
      <c r="J129" s="44">
        <f t="shared" si="32"/>
        <v>302075.46313270269</v>
      </c>
      <c r="K129" s="43">
        <v>0</v>
      </c>
      <c r="L129" s="43">
        <f t="shared" si="24"/>
        <v>42336.374934149993</v>
      </c>
      <c r="M129" s="57">
        <f t="shared" si="35"/>
        <v>7755.0544645768532</v>
      </c>
      <c r="N129" s="44">
        <f t="shared" si="25"/>
        <v>302075.46313270269</v>
      </c>
      <c r="O129" s="51">
        <f xml:space="preserve"> SUM($M$15:M128) + N129*((1+$C$6)^(-B129))</f>
        <v>125885.81808905533</v>
      </c>
      <c r="P129" s="51">
        <f t="shared" si="36"/>
        <v>154116.41664174525</v>
      </c>
      <c r="Q129" s="54"/>
      <c r="R129" s="54"/>
      <c r="S129" s="54"/>
      <c r="T129" s="54"/>
      <c r="U129" s="54"/>
      <c r="V129" s="114">
        <f t="shared" si="28"/>
        <v>6921.9393209845875</v>
      </c>
      <c r="W129" s="114">
        <f t="shared" si="29"/>
        <v>6842.8781966167189</v>
      </c>
      <c r="X129" s="114" t="str">
        <f t="shared" si="30"/>
        <v>MIV &gt; MOC</v>
      </c>
      <c r="Y129" s="65">
        <f xml:space="preserve"> (SUM($D$15:D128) + H129)/B129</f>
        <v>13.51578947368421</v>
      </c>
      <c r="Z129" s="65">
        <f xml:space="preserve"> 'Growth &amp; yield data'!F131 - 'Growth &amp; yield data'!O130</f>
        <v>13.799999999999955</v>
      </c>
      <c r="AA129" s="117"/>
    </row>
    <row r="130" spans="1:27" x14ac:dyDescent="0.3">
      <c r="A130" s="31">
        <v>117</v>
      </c>
      <c r="B130" s="31">
        <v>115</v>
      </c>
      <c r="C130" s="43">
        <f xml:space="preserve"> 'Growth &amp; yield data'!G131</f>
        <v>0</v>
      </c>
      <c r="D130" s="43">
        <f xml:space="preserve"> 'Growth &amp; yield data'!J131</f>
        <v>0</v>
      </c>
      <c r="E130" s="43">
        <v>0</v>
      </c>
      <c r="F130" s="43">
        <f t="shared" si="34"/>
        <v>0</v>
      </c>
      <c r="G130" s="44">
        <f xml:space="preserve"> 'Growth &amp; yield data'!C131</f>
        <v>58.1</v>
      </c>
      <c r="H130" s="44">
        <f xml:space="preserve"> 'Growth &amp; yield data'!F131</f>
        <v>604.9</v>
      </c>
      <c r="I130" s="43">
        <f t="shared" si="37"/>
        <v>439.95670521629995</v>
      </c>
      <c r="J130" s="44">
        <f t="shared" si="32"/>
        <v>266129.81098533981</v>
      </c>
      <c r="K130" s="43">
        <v>0</v>
      </c>
      <c r="L130" s="43">
        <f t="shared" si="24"/>
        <v>0</v>
      </c>
      <c r="M130" s="57">
        <f t="shared" si="35"/>
        <v>0</v>
      </c>
      <c r="N130" s="44">
        <f t="shared" si="25"/>
        <v>266129.81098533981</v>
      </c>
      <c r="O130" s="51">
        <f xml:space="preserve"> SUM($M$15:M129) + N130*((1+$C$6)^(-B130))</f>
        <v>126336.02525919002</v>
      </c>
      <c r="P130" s="51">
        <f t="shared" si="36"/>
        <v>154156.69119955332</v>
      </c>
      <c r="Q130" s="54"/>
      <c r="R130" s="54"/>
      <c r="S130" s="54"/>
      <c r="T130" s="54"/>
      <c r="U130" s="54"/>
      <c r="V130" s="114">
        <f t="shared" si="28"/>
        <v>6162.5196111929872</v>
      </c>
      <c r="W130" s="114">
        <f t="shared" si="29"/>
        <v>6304.2975327733966</v>
      </c>
      <c r="X130" s="114" t="str">
        <f t="shared" si="30"/>
        <v>MOC &gt; MIV</v>
      </c>
      <c r="Y130" s="65">
        <f xml:space="preserve"> (SUM($D$15:D129) + H130)/B130</f>
        <v>13.518260869565216</v>
      </c>
      <c r="Z130" s="65">
        <f xml:space="preserve"> 'Growth &amp; yield data'!F132 - 'Growth &amp; yield data'!O131</f>
        <v>13.5</v>
      </c>
      <c r="AA130" s="117"/>
    </row>
    <row r="131" spans="1:27" x14ac:dyDescent="0.3">
      <c r="A131" s="31">
        <v>118</v>
      </c>
      <c r="B131" s="31">
        <v>116</v>
      </c>
      <c r="C131" s="43">
        <f xml:space="preserve"> 'Growth &amp; yield data'!G132</f>
        <v>0</v>
      </c>
      <c r="D131" s="43">
        <f xml:space="preserve"> 'Growth &amp; yield data'!J132</f>
        <v>0</v>
      </c>
      <c r="E131" s="43">
        <v>0</v>
      </c>
      <c r="F131" s="43">
        <f t="shared" si="34"/>
        <v>0</v>
      </c>
      <c r="G131" s="44">
        <f xml:space="preserve"> 'Growth &amp; yield data'!C132</f>
        <v>58.7</v>
      </c>
      <c r="H131" s="44">
        <f xml:space="preserve"> 'Growth &amp; yield data'!F132</f>
        <v>618.4</v>
      </c>
      <c r="I131" s="43">
        <f t="shared" si="37"/>
        <v>440.46696052829998</v>
      </c>
      <c r="J131" s="44">
        <f t="shared" si="32"/>
        <v>272384.76839070069</v>
      </c>
      <c r="K131" s="43">
        <v>0</v>
      </c>
      <c r="L131" s="43">
        <f t="shared" si="24"/>
        <v>0</v>
      </c>
      <c r="M131" s="57">
        <f t="shared" si="35"/>
        <v>0</v>
      </c>
      <c r="N131" s="44">
        <f t="shared" si="25"/>
        <v>272384.76839070069</v>
      </c>
      <c r="O131" s="51">
        <f xml:space="preserve"> SUM($M$15:M130) + N131*((1+$C$6)^(-B131))</f>
        <v>126738.3952826278</v>
      </c>
      <c r="P131" s="51">
        <f t="shared" si="36"/>
        <v>154146.02122260642</v>
      </c>
      <c r="Q131" s="54"/>
      <c r="R131" s="54"/>
      <c r="S131" s="54"/>
      <c r="T131" s="54"/>
      <c r="U131" s="54"/>
      <c r="V131" s="63">
        <f t="shared" si="28"/>
        <v>6154.0767123279275</v>
      </c>
      <c r="W131" s="63">
        <f t="shared" si="29"/>
        <v>6397.9618441996063</v>
      </c>
      <c r="X131" s="63" t="str">
        <f t="shared" si="30"/>
        <v>MOC &gt; MIV</v>
      </c>
      <c r="Y131" s="65">
        <f xml:space="preserve"> (SUM($D$15:D130) + H131)/B131</f>
        <v>13.518103448275861</v>
      </c>
      <c r="Z131" s="65">
        <f xml:space="preserve"> 'Growth &amp; yield data'!F133 - 'Growth &amp; yield data'!O132</f>
        <v>13.5</v>
      </c>
      <c r="AA131" s="117"/>
    </row>
    <row r="132" spans="1:27" x14ac:dyDescent="0.3">
      <c r="A132" s="31">
        <v>119</v>
      </c>
      <c r="B132" s="31">
        <v>117</v>
      </c>
      <c r="C132" s="43">
        <f xml:space="preserve"> 'Growth &amp; yield data'!G133</f>
        <v>0</v>
      </c>
      <c r="D132" s="43">
        <f xml:space="preserve"> 'Growth &amp; yield data'!J133</f>
        <v>0</v>
      </c>
      <c r="E132" s="43">
        <v>0</v>
      </c>
      <c r="F132" s="43">
        <f t="shared" si="34"/>
        <v>0</v>
      </c>
      <c r="G132" s="44">
        <f xml:space="preserve"> 'Growth &amp; yield data'!C133</f>
        <v>59.3</v>
      </c>
      <c r="H132" s="44">
        <f xml:space="preserve"> 'Growth &amp; yield data'!F133</f>
        <v>631.9</v>
      </c>
      <c r="I132" s="43">
        <f t="shared" si="37"/>
        <v>440.94185196029997</v>
      </c>
      <c r="J132" s="44">
        <f t="shared" si="32"/>
        <v>278631.15625371353</v>
      </c>
      <c r="K132" s="43">
        <v>0</v>
      </c>
      <c r="L132" s="43">
        <f t="shared" si="24"/>
        <v>0</v>
      </c>
      <c r="M132" s="57">
        <f t="shared" si="35"/>
        <v>0</v>
      </c>
      <c r="N132" s="44">
        <f t="shared" si="25"/>
        <v>278631.15625371353</v>
      </c>
      <c r="O132" s="51">
        <f xml:space="preserve"> SUM($M$15:M131) + N132*((1+$C$6)^(-B132))</f>
        <v>127116.88206056839</v>
      </c>
      <c r="P132" s="51">
        <f t="shared" si="36"/>
        <v>154113.83010189782</v>
      </c>
      <c r="Q132" s="54"/>
      <c r="R132" s="54"/>
      <c r="S132" s="54"/>
      <c r="T132" s="54"/>
      <c r="U132" s="54"/>
      <c r="V132" s="63">
        <f t="shared" si="28"/>
        <v>6187.1382427784356</v>
      </c>
      <c r="W132" s="63">
        <f t="shared" si="29"/>
        <v>6491.1747953341701</v>
      </c>
      <c r="X132" s="63" t="str">
        <f t="shared" si="30"/>
        <v>MOC &gt; MIV</v>
      </c>
      <c r="Y132" s="65">
        <f xml:space="preserve"> (SUM($D$15:D131) + H132)/B132</f>
        <v>13.517948717948718</v>
      </c>
      <c r="Z132" s="65">
        <f xml:space="preserve"> 'Growth &amp; yield data'!F134 - 'Growth &amp; yield data'!O133</f>
        <v>13.600000000000023</v>
      </c>
      <c r="AA132" s="117"/>
    </row>
    <row r="133" spans="1:27" x14ac:dyDescent="0.3">
      <c r="A133" s="31">
        <v>120</v>
      </c>
      <c r="B133" s="31">
        <v>118</v>
      </c>
      <c r="C133" s="43">
        <f xml:space="preserve"> 'Growth &amp; yield data'!G134</f>
        <v>0</v>
      </c>
      <c r="D133" s="43">
        <f xml:space="preserve"> 'Growth &amp; yield data'!J134</f>
        <v>0</v>
      </c>
      <c r="E133" s="43">
        <v>0</v>
      </c>
      <c r="F133" s="43">
        <f t="shared" si="34"/>
        <v>0</v>
      </c>
      <c r="G133" s="44">
        <f xml:space="preserve"> 'Growth &amp; yield data'!C134</f>
        <v>59.9</v>
      </c>
      <c r="H133" s="44">
        <f xml:space="preserve"> 'Growth &amp; yield data'!F134</f>
        <v>645.5</v>
      </c>
      <c r="I133" s="43">
        <f t="shared" si="37"/>
        <v>441.38048268030002</v>
      </c>
      <c r="J133" s="44">
        <f t="shared" si="32"/>
        <v>284911.10157013364</v>
      </c>
      <c r="K133" s="43">
        <v>0</v>
      </c>
      <c r="L133" s="43">
        <f t="shared" si="24"/>
        <v>0</v>
      </c>
      <c r="M133" s="57">
        <f t="shared" si="35"/>
        <v>0</v>
      </c>
      <c r="N133" s="44">
        <f t="shared" si="25"/>
        <v>284911.10157013364</v>
      </c>
      <c r="O133" s="51">
        <f xml:space="preserve"> SUM($M$15:M132) + N133*((1+$C$6)^(-B133))</f>
        <v>127479.39636338332</v>
      </c>
      <c r="P133" s="51">
        <f t="shared" si="36"/>
        <v>154069.77066117819</v>
      </c>
      <c r="Q133" s="54"/>
      <c r="R133" s="54"/>
      <c r="S133" s="54"/>
      <c r="T133" s="54"/>
      <c r="U133" s="54"/>
      <c r="V133" s="63">
        <f t="shared" si="28"/>
        <v>6218.2954497205837</v>
      </c>
      <c r="W133" s="63">
        <f t="shared" si="29"/>
        <v>6584.7130834696773</v>
      </c>
      <c r="X133" s="63" t="str">
        <f t="shared" si="30"/>
        <v>MOC &gt; MIV</v>
      </c>
      <c r="Y133" s="65">
        <f xml:space="preserve"> (SUM($D$15:D132) + H133)/B133</f>
        <v>13.518644067796609</v>
      </c>
      <c r="Z133" s="65">
        <f xml:space="preserve"> 'Growth &amp; yield data'!F135 - 'Growth &amp; yield data'!O134</f>
        <v>13.700000000000045</v>
      </c>
      <c r="AA133" s="117"/>
    </row>
    <row r="134" spans="1:27" x14ac:dyDescent="0.3">
      <c r="A134" s="31">
        <v>121</v>
      </c>
      <c r="B134" s="31">
        <v>119</v>
      </c>
      <c r="C134" s="43">
        <f xml:space="preserve"> 'Growth &amp; yield data'!G135</f>
        <v>0</v>
      </c>
      <c r="D134" s="43">
        <f xml:space="preserve"> 'Growth &amp; yield data'!J135</f>
        <v>0</v>
      </c>
      <c r="E134" s="43">
        <v>0</v>
      </c>
      <c r="F134" s="43">
        <f t="shared" si="34"/>
        <v>0</v>
      </c>
      <c r="G134" s="44">
        <f xml:space="preserve"> 'Growth &amp; yield data'!C135</f>
        <v>60.5</v>
      </c>
      <c r="H134" s="44">
        <f xml:space="preserve"> 'Growth &amp; yield data'!F135</f>
        <v>659.2</v>
      </c>
      <c r="I134" s="43">
        <f t="shared" si="37"/>
        <v>441.78196518750002</v>
      </c>
      <c r="J134" s="44">
        <f t="shared" si="32"/>
        <v>291222.67145160004</v>
      </c>
      <c r="K134" s="43">
        <v>0</v>
      </c>
      <c r="L134" s="43">
        <f t="shared" si="24"/>
        <v>0</v>
      </c>
      <c r="M134" s="57">
        <f t="shared" si="35"/>
        <v>0</v>
      </c>
      <c r="N134" s="44">
        <f t="shared" si="25"/>
        <v>291222.67145160004</v>
      </c>
      <c r="O134" s="51">
        <f xml:space="preserve"> SUM($M$15:M133) + N134*((1+$C$6)^(-B134))</f>
        <v>127825.91337251918</v>
      </c>
      <c r="P134" s="51">
        <f t="shared" si="36"/>
        <v>154013.81137931903</v>
      </c>
      <c r="Q134" s="54"/>
      <c r="R134" s="54"/>
      <c r="S134" s="54"/>
      <c r="T134" s="54"/>
      <c r="U134" s="54"/>
      <c r="V134" s="63">
        <f t="shared" si="28"/>
        <v>6203.923694036037</v>
      </c>
      <c r="W134" s="63">
        <f t="shared" si="29"/>
        <v>6678.5472424637865</v>
      </c>
      <c r="X134" s="63" t="str">
        <f t="shared" si="30"/>
        <v>MOC &gt; MIV</v>
      </c>
      <c r="Y134" s="65">
        <f xml:space="preserve"> (SUM($D$15:D133) + H134)/B134</f>
        <v>13.520168067226891</v>
      </c>
      <c r="Z134" s="65">
        <f xml:space="preserve"> 'Growth &amp; yield data'!F136 - 'Growth &amp; yield data'!O135</f>
        <v>13.699999999999932</v>
      </c>
      <c r="AA134" s="117"/>
    </row>
    <row r="135" spans="1:27" x14ac:dyDescent="0.3">
      <c r="A135" s="31">
        <v>122</v>
      </c>
      <c r="B135" s="31">
        <v>120</v>
      </c>
      <c r="C135" s="43">
        <f xml:space="preserve"> 'Growth &amp; yield data'!G136</f>
        <v>0</v>
      </c>
      <c r="D135" s="43">
        <f xml:space="preserve"> 'Growth &amp; yield data'!J136</f>
        <v>0</v>
      </c>
      <c r="E135" s="43">
        <v>0</v>
      </c>
      <c r="F135" s="43">
        <f t="shared" si="34"/>
        <v>0</v>
      </c>
      <c r="G135" s="44">
        <f xml:space="preserve"> 'Growth &amp; yield data'!C136</f>
        <v>61.1</v>
      </c>
      <c r="H135" s="44">
        <f xml:space="preserve"> 'Growth &amp; yield data'!F136</f>
        <v>672.9</v>
      </c>
      <c r="I135" s="43">
        <f t="shared" si="37"/>
        <v>442.14542131229996</v>
      </c>
      <c r="J135" s="44">
        <f t="shared" si="32"/>
        <v>297519.65400104661</v>
      </c>
      <c r="K135" s="43">
        <v>0</v>
      </c>
      <c r="L135" s="43">
        <f t="shared" si="24"/>
        <v>0</v>
      </c>
      <c r="M135" s="57">
        <f t="shared" si="35"/>
        <v>0</v>
      </c>
      <c r="N135" s="44">
        <f t="shared" si="25"/>
        <v>297519.65400104661</v>
      </c>
      <c r="O135" s="51">
        <f xml:space="preserve"> SUM($M$15:M134) + N135*((1+$C$6)^(-B135))</f>
        <v>128149.00570961076</v>
      </c>
      <c r="P135" s="51">
        <f t="shared" si="36"/>
        <v>153937.02733794742</v>
      </c>
      <c r="Q135" s="54"/>
      <c r="R135" s="54"/>
      <c r="S135" s="54"/>
      <c r="T135" s="54"/>
      <c r="U135" s="54"/>
      <c r="V135" s="63">
        <f t="shared" si="28"/>
        <v>6196.2726449741294</v>
      </c>
      <c r="W135" s="63">
        <f t="shared" si="29"/>
        <v>6771.8502200849107</v>
      </c>
      <c r="X135" s="63" t="str">
        <f t="shared" si="30"/>
        <v>MOC &gt; MIV</v>
      </c>
      <c r="Y135" s="65">
        <f xml:space="preserve"> (SUM($D$15:D134) + H135)/B135</f>
        <v>13.521666666666667</v>
      </c>
      <c r="Z135" s="65">
        <f xml:space="preserve"> 'Growth &amp; yield data'!F137 - 'Growth &amp; yield data'!O136</f>
        <v>13.800000000000068</v>
      </c>
      <c r="AA135" s="117"/>
    </row>
    <row r="136" spans="1:27" x14ac:dyDescent="0.3">
      <c r="A136" s="31">
        <v>123</v>
      </c>
      <c r="B136" s="31">
        <v>121</v>
      </c>
      <c r="C136" s="43">
        <f xml:space="preserve"> 'Growth &amp; yield data'!G137</f>
        <v>0</v>
      </c>
      <c r="D136" s="43">
        <f xml:space="preserve"> 'Growth &amp; yield data'!J137</f>
        <v>0</v>
      </c>
      <c r="E136" s="43">
        <v>0</v>
      </c>
      <c r="F136" s="43">
        <f t="shared" si="34"/>
        <v>0</v>
      </c>
      <c r="G136" s="44">
        <f xml:space="preserve"> 'Growth &amp; yield data'!C137</f>
        <v>61.6</v>
      </c>
      <c r="H136" s="44">
        <f xml:space="preserve"> 'Growth &amp; yield data'!F137</f>
        <v>686.7</v>
      </c>
      <c r="I136" s="43">
        <f t="shared" si="37"/>
        <v>442.41862638079999</v>
      </c>
      <c r="J136" s="44">
        <f t="shared" si="32"/>
        <v>303808.87073569535</v>
      </c>
      <c r="K136" s="43">
        <v>0</v>
      </c>
      <c r="L136" s="43">
        <f t="shared" si="24"/>
        <v>0</v>
      </c>
      <c r="M136" s="57">
        <f t="shared" si="35"/>
        <v>0</v>
      </c>
      <c r="N136" s="44">
        <f t="shared" si="25"/>
        <v>303808.87073569535</v>
      </c>
      <c r="O136" s="51">
        <f xml:space="preserve"> SUM($M$15:M135) + N136*((1+$C$6)^(-B136))</f>
        <v>128450.45203880205</v>
      </c>
      <c r="P136" s="51">
        <f t="shared" si="36"/>
        <v>153841.62378331722</v>
      </c>
      <c r="Q136" s="54"/>
      <c r="R136" s="54"/>
      <c r="S136" s="54"/>
      <c r="T136" s="54"/>
      <c r="U136" s="54"/>
      <c r="V136" s="63">
        <f t="shared" si="28"/>
        <v>6216.3218412640072</v>
      </c>
      <c r="W136" s="63">
        <f t="shared" si="29"/>
        <v>6864.7574177851884</v>
      </c>
      <c r="X136" s="63" t="str">
        <f t="shared" si="30"/>
        <v>MOC &gt; MIV</v>
      </c>
      <c r="Y136" s="65">
        <f xml:space="preserve"> (SUM($D$15:D135) + H136)/B136</f>
        <v>13.52396694214876</v>
      </c>
      <c r="Z136" s="65">
        <f xml:space="preserve"> 'Growth &amp; yield data'!F138 - 'Growth &amp; yield data'!O137</f>
        <v>13.799999999999955</v>
      </c>
      <c r="AA136" s="117"/>
    </row>
    <row r="137" spans="1:27" x14ac:dyDescent="0.3">
      <c r="A137" s="31">
        <v>124</v>
      </c>
      <c r="B137" s="31">
        <v>122</v>
      </c>
      <c r="C137" s="43">
        <f xml:space="preserve"> 'Growth &amp; yield data'!G138</f>
        <v>0</v>
      </c>
      <c r="D137" s="43">
        <f xml:space="preserve"> 'Growth &amp; yield data'!J138</f>
        <v>0</v>
      </c>
      <c r="E137" s="43">
        <v>0</v>
      </c>
      <c r="F137" s="43">
        <f t="shared" si="34"/>
        <v>0</v>
      </c>
      <c r="G137" s="44">
        <f xml:space="preserve"> 'Growth &amp; yield data'!C138</f>
        <v>62.2</v>
      </c>
      <c r="H137" s="44">
        <f xml:space="preserve"> 'Growth &amp; yield data'!F138</f>
        <v>700.5</v>
      </c>
      <c r="I137" s="43">
        <f t="shared" si="37"/>
        <v>442.71011763679991</v>
      </c>
      <c r="J137" s="44">
        <f t="shared" si="32"/>
        <v>310118.43740457832</v>
      </c>
      <c r="K137" s="43">
        <v>0</v>
      </c>
      <c r="L137" s="43">
        <f t="shared" si="24"/>
        <v>0</v>
      </c>
      <c r="M137" s="57">
        <f t="shared" si="35"/>
        <v>0</v>
      </c>
      <c r="N137" s="44">
        <f t="shared" si="25"/>
        <v>310118.43740457832</v>
      </c>
      <c r="O137" s="51">
        <f xml:space="preserve"> SUM($M$15:M136) + N137*((1+$C$6)^(-B137))</f>
        <v>128735.41237795018</v>
      </c>
      <c r="P137" s="51">
        <f t="shared" si="36"/>
        <v>153733.81443000663</v>
      </c>
      <c r="Q137" s="54"/>
      <c r="R137" s="54"/>
      <c r="S137" s="54"/>
      <c r="T137" s="54"/>
      <c r="U137" s="54"/>
      <c r="V137" s="63">
        <f t="shared" si="28"/>
        <v>6239.4134085828427</v>
      </c>
      <c r="W137" s="63">
        <f t="shared" si="29"/>
        <v>6957.7837775187745</v>
      </c>
      <c r="X137" s="63" t="str">
        <f t="shared" si="30"/>
        <v>MOC &gt; MIV</v>
      </c>
      <c r="Y137" s="65">
        <f xml:space="preserve"> (SUM($D$15:D136) + H137)/B137</f>
        <v>13.526229508196719</v>
      </c>
      <c r="Z137" s="65">
        <f xml:space="preserve"> 'Growth &amp; yield data'!F139 - 'Growth &amp; yield data'!O138</f>
        <v>13.899999999999977</v>
      </c>
      <c r="AA137" s="117"/>
    </row>
    <row r="138" spans="1:27" x14ac:dyDescent="0.3">
      <c r="A138" s="31">
        <v>125</v>
      </c>
      <c r="B138" s="31">
        <v>123</v>
      </c>
      <c r="C138" s="43">
        <f xml:space="preserve"> 'Growth &amp; yield data'!G139</f>
        <v>60.9</v>
      </c>
      <c r="D138" s="43">
        <f xml:space="preserve"> 'Growth &amp; yield data'!J139</f>
        <v>96.3</v>
      </c>
      <c r="E138" s="43">
        <f xml:space="preserve">  $F$10*(C138^4) + $F$9*(C138^3) + $F$8*(C138^2) + $F$7*C138 + $F$6</f>
        <v>442.02854824830001</v>
      </c>
      <c r="F138" s="43">
        <f t="shared" si="34"/>
        <v>42567.34919631129</v>
      </c>
      <c r="G138" s="44">
        <f xml:space="preserve"> 'Growth &amp; yield data'!C139</f>
        <v>62.8</v>
      </c>
      <c r="H138" s="44">
        <f xml:space="preserve"> 'Growth &amp; yield data'!F139</f>
        <v>714.4</v>
      </c>
      <c r="I138" s="43">
        <f t="shared" si="37"/>
        <v>442.96114503679996</v>
      </c>
      <c r="J138" s="44">
        <f t="shared" si="32"/>
        <v>316451.4420142899</v>
      </c>
      <c r="K138" s="43">
        <v>0</v>
      </c>
      <c r="L138" s="43">
        <f t="shared" si="24"/>
        <v>42567.34919631129</v>
      </c>
      <c r="M138" s="57">
        <f t="shared" si="35"/>
        <v>6819.5137515003371</v>
      </c>
      <c r="N138" s="44">
        <f t="shared" si="25"/>
        <v>316451.4420142899</v>
      </c>
      <c r="O138" s="51">
        <f xml:space="preserve"> SUM($M$15:M137) + N138*((1+$C$6)^(-B138))</f>
        <v>129004.75397458693</v>
      </c>
      <c r="P138" s="51">
        <f t="shared" si="36"/>
        <v>153614.62707017083</v>
      </c>
      <c r="Q138" s="54"/>
      <c r="R138" s="54"/>
      <c r="S138" s="54"/>
      <c r="T138" s="54"/>
      <c r="U138" s="54"/>
      <c r="V138" s="63">
        <f t="shared" si="28"/>
        <v>6792.8299345928026</v>
      </c>
      <c r="W138" s="63">
        <f t="shared" si="29"/>
        <v>7050.9910362669107</v>
      </c>
      <c r="X138" s="63" t="str">
        <f t="shared" si="30"/>
        <v>MOC &gt; MIV</v>
      </c>
      <c r="Y138" s="65">
        <f xml:space="preserve"> (SUM($D$15:D137) + H138)/B138</f>
        <v>13.529268292682927</v>
      </c>
      <c r="Z138" s="65">
        <f xml:space="preserve"> 'Growth &amp; yield data'!F140 - 'Growth &amp; yield data'!O139</f>
        <v>13.899999999999977</v>
      </c>
      <c r="AA138" s="117"/>
    </row>
    <row r="139" spans="1:27" x14ac:dyDescent="0.3">
      <c r="A139" s="31">
        <v>126</v>
      </c>
      <c r="B139" s="31">
        <v>124</v>
      </c>
      <c r="C139" s="43">
        <f xml:space="preserve"> 'Growth &amp; yield data'!G140</f>
        <v>0</v>
      </c>
      <c r="D139" s="43">
        <f xml:space="preserve"> 'Growth &amp; yield data'!J140</f>
        <v>0</v>
      </c>
      <c r="E139" s="43">
        <v>0</v>
      </c>
      <c r="F139" s="43">
        <f t="shared" si="34"/>
        <v>0</v>
      </c>
      <c r="G139" s="44">
        <f xml:space="preserve"> 'Growth &amp; yield data'!C140</f>
        <v>63.7</v>
      </c>
      <c r="H139" s="44">
        <f xml:space="preserve"> 'Growth &amp; yield data'!F140</f>
        <v>632</v>
      </c>
      <c r="I139" s="43">
        <f t="shared" si="37"/>
        <v>443.25997620830003</v>
      </c>
      <c r="J139" s="44">
        <f t="shared" si="32"/>
        <v>280140.30496364564</v>
      </c>
      <c r="K139" s="43">
        <v>0</v>
      </c>
      <c r="L139" s="43">
        <f t="shared" si="24"/>
        <v>0</v>
      </c>
      <c r="M139" s="57">
        <f t="shared" si="35"/>
        <v>0</v>
      </c>
      <c r="N139" s="44">
        <f t="shared" si="25"/>
        <v>280140.30496364564</v>
      </c>
      <c r="O139" s="51">
        <f xml:space="preserve"> SUM($M$15:M138) + N139*((1+$C$6)^(-B139))</f>
        <v>129343.78159473249</v>
      </c>
      <c r="P139" s="51">
        <f t="shared" si="36"/>
        <v>153585.33926438232</v>
      </c>
      <c r="Q139" s="54"/>
      <c r="R139" s="54"/>
      <c r="S139" s="54"/>
      <c r="T139" s="54"/>
      <c r="U139" s="54"/>
      <c r="V139" s="63">
        <f t="shared" si="28"/>
        <v>5957.6967202500891</v>
      </c>
      <c r="W139" s="63">
        <f t="shared" si="29"/>
        <v>6505.8846634204192</v>
      </c>
      <c r="X139" s="63" t="str">
        <f t="shared" si="30"/>
        <v>MOC &gt; MIV</v>
      </c>
      <c r="Y139" s="65">
        <f xml:space="preserve"> (SUM($D$15:D138) + H139)/B139</f>
        <v>13.53225806451613</v>
      </c>
      <c r="Z139" s="65">
        <f xml:space="preserve"> 'Growth &amp; yield data'!F141 - 'Growth &amp; yield data'!O140</f>
        <v>13.399999999999977</v>
      </c>
      <c r="AA139" s="117"/>
    </row>
    <row r="140" spans="1:27" x14ac:dyDescent="0.3">
      <c r="A140" s="31">
        <v>127</v>
      </c>
      <c r="B140" s="31">
        <v>125</v>
      </c>
      <c r="C140" s="43">
        <f xml:space="preserve"> 'Growth &amp; yield data'!G141</f>
        <v>0</v>
      </c>
      <c r="D140" s="43">
        <f xml:space="preserve"> 'Growth &amp; yield data'!J141</f>
        <v>0</v>
      </c>
      <c r="E140" s="43">
        <v>0</v>
      </c>
      <c r="F140" s="43">
        <f t="shared" si="34"/>
        <v>0</v>
      </c>
      <c r="G140" s="44">
        <f xml:space="preserve"> 'Growth &amp; yield data'!C141</f>
        <v>64.400000000000006</v>
      </c>
      <c r="H140" s="44">
        <f xml:space="preserve"> 'Growth &amp; yield data'!F141</f>
        <v>645.4</v>
      </c>
      <c r="I140" s="43">
        <f t="shared" si="37"/>
        <v>443.42635130879995</v>
      </c>
      <c r="J140" s="44">
        <f t="shared" si="32"/>
        <v>286187.36713469948</v>
      </c>
      <c r="K140" s="43">
        <v>0</v>
      </c>
      <c r="L140" s="43">
        <f t="shared" si="24"/>
        <v>0</v>
      </c>
      <c r="M140" s="57">
        <f t="shared" si="35"/>
        <v>0</v>
      </c>
      <c r="N140" s="44">
        <f t="shared" si="25"/>
        <v>286187.36713469948</v>
      </c>
      <c r="O140" s="51">
        <f xml:space="preserve"> SUM($M$15:M139) + N140*((1+$C$6)^(-B140))</f>
        <v>129630.68196444103</v>
      </c>
      <c r="P140" s="51">
        <f t="shared" si="36"/>
        <v>153500.85177546428</v>
      </c>
      <c r="Q140" s="54"/>
      <c r="R140" s="54"/>
      <c r="S140" s="54"/>
      <c r="T140" s="54"/>
      <c r="U140" s="54"/>
      <c r="V140" s="63">
        <f t="shared" si="28"/>
        <v>5959.799313103882</v>
      </c>
      <c r="W140" s="63">
        <f t="shared" si="29"/>
        <v>6595.3232836524558</v>
      </c>
      <c r="X140" s="63" t="str">
        <f t="shared" si="30"/>
        <v>MOC &gt; MIV</v>
      </c>
      <c r="Y140" s="65">
        <f xml:space="preserve"> (SUM($D$15:D139) + H140)/B140</f>
        <v>13.5312</v>
      </c>
      <c r="Z140" s="65">
        <f xml:space="preserve"> 'Growth &amp; yield data'!F142 - 'Growth &amp; yield data'!O141</f>
        <v>13.5</v>
      </c>
      <c r="AA140" s="117"/>
    </row>
    <row r="141" spans="1:27" x14ac:dyDescent="0.3">
      <c r="A141" s="31">
        <v>128</v>
      </c>
      <c r="B141" s="31">
        <v>126</v>
      </c>
      <c r="C141" s="43">
        <f xml:space="preserve"> 'Growth &amp; yield data'!G142</f>
        <v>0</v>
      </c>
      <c r="D141" s="43">
        <f xml:space="preserve"> 'Growth &amp; yield data'!J142</f>
        <v>0</v>
      </c>
      <c r="E141" s="43">
        <v>0</v>
      </c>
      <c r="F141" s="43">
        <f t="shared" si="34"/>
        <v>0</v>
      </c>
      <c r="G141" s="44">
        <f xml:space="preserve"> 'Growth &amp; yield data'!C142</f>
        <v>65</v>
      </c>
      <c r="H141" s="44">
        <f xml:space="preserve"> 'Growth &amp; yield data'!F142</f>
        <v>658.9</v>
      </c>
      <c r="I141" s="43">
        <f t="shared" si="37"/>
        <v>443.52187499999991</v>
      </c>
      <c r="J141" s="44">
        <f t="shared" si="32"/>
        <v>292236.56343749992</v>
      </c>
      <c r="K141" s="43">
        <v>0</v>
      </c>
      <c r="L141" s="43">
        <f t="shared" si="24"/>
        <v>0</v>
      </c>
      <c r="M141" s="57">
        <f t="shared" si="35"/>
        <v>0</v>
      </c>
      <c r="N141" s="44">
        <f t="shared" si="25"/>
        <v>292236.56343749992</v>
      </c>
      <c r="O141" s="51">
        <f xml:space="preserve"> SUM($M$15:M140) + N141*((1+$C$6)^(-B141))</f>
        <v>129899.77260519494</v>
      </c>
      <c r="P141" s="51">
        <f t="shared" si="36"/>
        <v>153402.04310341703</v>
      </c>
      <c r="Q141" s="54"/>
      <c r="R141" s="54"/>
      <c r="S141" s="54"/>
      <c r="T141" s="54"/>
      <c r="U141" s="54"/>
      <c r="V141" s="63">
        <f t="shared" si="28"/>
        <v>5932.9831398237884</v>
      </c>
      <c r="W141" s="63">
        <f t="shared" si="29"/>
        <v>6684.5790981137543</v>
      </c>
      <c r="X141" s="63" t="str">
        <f t="shared" si="30"/>
        <v>MOC &gt; MIV</v>
      </c>
      <c r="Y141" s="65">
        <f xml:space="preserve"> (SUM($D$15:D140) + H141)/B141</f>
        <v>13.530952380952382</v>
      </c>
      <c r="Z141" s="65">
        <f xml:space="preserve"> 'Growth &amp; yield data'!F143 - 'Growth &amp; yield data'!O142</f>
        <v>13.5</v>
      </c>
      <c r="AA141" s="117"/>
    </row>
    <row r="142" spans="1:27" x14ac:dyDescent="0.3">
      <c r="A142" s="31">
        <v>129</v>
      </c>
      <c r="B142" s="31">
        <v>127</v>
      </c>
      <c r="C142" s="43">
        <f xml:space="preserve"> 'Growth &amp; yield data'!G143</f>
        <v>0</v>
      </c>
      <c r="D142" s="43">
        <f xml:space="preserve"> 'Growth &amp; yield data'!J143</f>
        <v>0</v>
      </c>
      <c r="E142" s="43">
        <v>0</v>
      </c>
      <c r="F142" s="43">
        <f t="shared" si="34"/>
        <v>0</v>
      </c>
      <c r="G142" s="44">
        <f xml:space="preserve"> 'Growth &amp; yield data'!C143</f>
        <v>65.599999999999994</v>
      </c>
      <c r="H142" s="44">
        <f xml:space="preserve"> 'Growth &amp; yield data'!F143</f>
        <v>672.4</v>
      </c>
      <c r="I142" s="43">
        <f t="shared" si="37"/>
        <v>443.57308346879989</v>
      </c>
      <c r="J142" s="44">
        <f t="shared" si="32"/>
        <v>298258.54132442106</v>
      </c>
      <c r="K142" s="43">
        <v>0</v>
      </c>
      <c r="L142" s="43">
        <f t="shared" si="24"/>
        <v>0</v>
      </c>
      <c r="M142" s="57">
        <f t="shared" si="35"/>
        <v>0</v>
      </c>
      <c r="N142" s="44">
        <f t="shared" si="25"/>
        <v>298258.54132442106</v>
      </c>
      <c r="O142" s="51">
        <f xml:space="preserve"> SUM($M$15:M141) + N142*((1+$C$6)^(-B142))</f>
        <v>130147.08186412379</v>
      </c>
      <c r="P142" s="51">
        <f t="shared" si="36"/>
        <v>153284.24780630189</v>
      </c>
      <c r="Q142" s="54"/>
      <c r="R142" s="54"/>
      <c r="S142" s="54"/>
      <c r="T142" s="54"/>
      <c r="U142" s="54"/>
      <c r="V142" s="63">
        <f t="shared" si="28"/>
        <v>5947.5612690519165</v>
      </c>
      <c r="W142" s="63">
        <f t="shared" si="29"/>
        <v>6773.1418369608446</v>
      </c>
      <c r="X142" s="63" t="str">
        <f t="shared" si="30"/>
        <v>MOC &gt; MIV</v>
      </c>
      <c r="Y142" s="65">
        <f xml:space="preserve"> (SUM($D$15:D141) + H142)/B142</f>
        <v>13.530708661417323</v>
      </c>
      <c r="Z142" s="65">
        <f xml:space="preserve"> 'Growth &amp; yield data'!F144 - 'Growth &amp; yield data'!O143</f>
        <v>13.600000000000023</v>
      </c>
      <c r="AA142" s="117"/>
    </row>
    <row r="143" spans="1:27" x14ac:dyDescent="0.3">
      <c r="A143" s="31">
        <v>130</v>
      </c>
      <c r="B143" s="31">
        <v>128</v>
      </c>
      <c r="C143" s="43">
        <f xml:space="preserve"> 'Growth &amp; yield data'!G144</f>
        <v>0</v>
      </c>
      <c r="D143" s="43">
        <f xml:space="preserve"> 'Growth &amp; yield data'!J144</f>
        <v>0</v>
      </c>
      <c r="E143" s="43">
        <v>0</v>
      </c>
      <c r="F143" s="43">
        <f t="shared" ref="F143:F174" si="38" xml:space="preserve"> D143*E143</f>
        <v>0</v>
      </c>
      <c r="G143" s="44">
        <f xml:space="preserve"> 'Growth &amp; yield data'!C144</f>
        <v>66.2</v>
      </c>
      <c r="H143" s="44">
        <f xml:space="preserve"> 'Growth &amp; yield data'!F144</f>
        <v>686</v>
      </c>
      <c r="I143" s="43">
        <f t="shared" si="37"/>
        <v>443.57917786079997</v>
      </c>
      <c r="J143" s="44">
        <f t="shared" si="32"/>
        <v>304295.31601250876</v>
      </c>
      <c r="K143" s="43">
        <v>0</v>
      </c>
      <c r="L143" s="43">
        <f t="shared" si="24"/>
        <v>0</v>
      </c>
      <c r="M143" s="57">
        <f t="shared" ref="M143:M174" si="39">L143*((1+$C$6)^(-B143))</f>
        <v>0</v>
      </c>
      <c r="N143" s="44">
        <f t="shared" si="25"/>
        <v>304295.31601250876</v>
      </c>
      <c r="O143" s="51">
        <f xml:space="preserve"> SUM($M$15:M142) + N143*((1+$C$6)^(-B143))</f>
        <v>130379.5036477391</v>
      </c>
      <c r="P143" s="51">
        <f t="shared" ref="P143:P174" si="40" xml:space="preserve"> O143/(1-((1+$C$6)^(-B143)))</f>
        <v>153155.61119618572</v>
      </c>
      <c r="Q143" s="54"/>
      <c r="R143" s="54"/>
      <c r="S143" s="54"/>
      <c r="T143" s="54"/>
      <c r="U143" s="54"/>
      <c r="V143" s="63">
        <f t="shared" si="28"/>
        <v>5959.7834816309769</v>
      </c>
      <c r="W143" s="63">
        <f t="shared" si="29"/>
        <v>6861.7639081304178</v>
      </c>
      <c r="X143" s="63" t="str">
        <f t="shared" si="30"/>
        <v>MOC &gt; MIV</v>
      </c>
      <c r="Y143" s="65">
        <f xml:space="preserve"> (SUM($D$15:D142) + H143)/B143</f>
        <v>13.53125</v>
      </c>
      <c r="Z143" s="65">
        <f xml:space="preserve"> 'Growth &amp; yield data'!F145 - 'Growth &amp; yield data'!O144</f>
        <v>13.700000000000045</v>
      </c>
      <c r="AA143" s="117"/>
    </row>
    <row r="144" spans="1:27" x14ac:dyDescent="0.3">
      <c r="A144" s="31">
        <v>131</v>
      </c>
      <c r="B144" s="31">
        <v>129</v>
      </c>
      <c r="C144" s="43">
        <f xml:space="preserve"> 'Growth &amp; yield data'!G145</f>
        <v>0</v>
      </c>
      <c r="D144" s="43">
        <f xml:space="preserve"> 'Growth &amp; yield data'!J145</f>
        <v>0</v>
      </c>
      <c r="E144" s="43">
        <v>0</v>
      </c>
      <c r="F144" s="43">
        <f t="shared" si="38"/>
        <v>0</v>
      </c>
      <c r="G144" s="44">
        <f xml:space="preserve"> 'Growth &amp; yield data'!C145</f>
        <v>66.8</v>
      </c>
      <c r="H144" s="44">
        <f xml:space="preserve"> 'Growth &amp; yield data'!F145</f>
        <v>699.7</v>
      </c>
      <c r="I144" s="43">
        <f t="shared" si="37"/>
        <v>443.53936865280002</v>
      </c>
      <c r="J144" s="44">
        <f t="shared" si="32"/>
        <v>310344.4962463642</v>
      </c>
      <c r="K144" s="43">
        <v>0</v>
      </c>
      <c r="L144" s="43">
        <f t="shared" ref="L144:L207" si="41" xml:space="preserve"> F144 - K144</f>
        <v>0</v>
      </c>
      <c r="M144" s="57">
        <f t="shared" si="39"/>
        <v>0</v>
      </c>
      <c r="N144" s="44">
        <f t="shared" ref="N144:N207" si="42" xml:space="preserve"> J144 - K144</f>
        <v>310344.4962463642</v>
      </c>
      <c r="O144" s="51">
        <f xml:space="preserve"> SUM($M$15:M143) + N144*((1+$C$6)^(-B144))</f>
        <v>130597.04109514593</v>
      </c>
      <c r="P144" s="51">
        <f t="shared" si="40"/>
        <v>153016.11817342383</v>
      </c>
      <c r="Q144" s="54"/>
      <c r="R144" s="54"/>
      <c r="S144" s="54"/>
      <c r="T144" s="54"/>
      <c r="U144" s="54"/>
      <c r="V144" s="63">
        <f t="shared" si="28"/>
        <v>5912.5365568455682</v>
      </c>
      <c r="W144" s="63">
        <f t="shared" si="29"/>
        <v>6950.40921629682</v>
      </c>
      <c r="X144" s="63" t="str">
        <f t="shared" si="30"/>
        <v>MOC &gt; MIV</v>
      </c>
      <c r="Y144" s="65">
        <f xml:space="preserve"> (SUM($D$15:D143) + H144)/B144</f>
        <v>13.532558139534885</v>
      </c>
      <c r="Z144" s="65">
        <f xml:space="preserve"> 'Growth &amp; yield data'!F146 - 'Growth &amp; yield data'!O145</f>
        <v>13.699999999999932</v>
      </c>
      <c r="AA144" s="117"/>
    </row>
    <row r="145" spans="1:27" x14ac:dyDescent="0.3">
      <c r="A145" s="31">
        <v>132</v>
      </c>
      <c r="B145" s="31">
        <v>130</v>
      </c>
      <c r="C145" s="43">
        <f xml:space="preserve"> 'Growth &amp; yield data'!G146</f>
        <v>0</v>
      </c>
      <c r="D145" s="43">
        <f xml:space="preserve"> 'Growth &amp; yield data'!J146</f>
        <v>0</v>
      </c>
      <c r="E145" s="43">
        <v>0</v>
      </c>
      <c r="F145" s="43">
        <f t="shared" si="38"/>
        <v>0</v>
      </c>
      <c r="G145" s="44">
        <f xml:space="preserve"> 'Growth &amp; yield data'!C146</f>
        <v>67.5</v>
      </c>
      <c r="H145" s="44">
        <f xml:space="preserve"> 'Growth &amp; yield data'!F146</f>
        <v>713.4</v>
      </c>
      <c r="I145" s="43">
        <f t="shared" si="37"/>
        <v>443.43386718749997</v>
      </c>
      <c r="J145" s="44">
        <f t="shared" si="32"/>
        <v>316345.72085156245</v>
      </c>
      <c r="K145" s="43">
        <v>0</v>
      </c>
      <c r="L145" s="43">
        <f t="shared" si="41"/>
        <v>0</v>
      </c>
      <c r="M145" s="57">
        <f t="shared" si="39"/>
        <v>0</v>
      </c>
      <c r="N145" s="44">
        <f t="shared" si="42"/>
        <v>316345.72085156245</v>
      </c>
      <c r="O145" s="51">
        <f xml:space="preserve"> SUM($M$15:M144) + N145*((1+$C$6)^(-B145))</f>
        <v>130791.34342606357</v>
      </c>
      <c r="P145" s="51">
        <f t="shared" si="40"/>
        <v>152855.98966559386</v>
      </c>
      <c r="Q145" s="54"/>
      <c r="R145" s="54"/>
      <c r="S145" s="54"/>
      <c r="T145" s="54"/>
      <c r="U145" s="54"/>
      <c r="V145" s="63">
        <f t="shared" ref="V145:V208" si="43" xml:space="preserve"> (J146-J145)*(1+$C$6)^(A145-A146) + L145</f>
        <v>5927.2661150294352</v>
      </c>
      <c r="W145" s="63">
        <f t="shared" ref="W145:W208" si="44" xml:space="preserve"> (J145+P145)*$C$6</f>
        <v>7038.0256577573437</v>
      </c>
      <c r="X145" s="63" t="str">
        <f t="shared" ref="X145:X208" si="45" xml:space="preserve"> IF(V145&gt;W145, "MIV &gt; MOC", "MOC &gt; MIV")</f>
        <v>MOC &gt; MIV</v>
      </c>
      <c r="Y145" s="65">
        <f xml:space="preserve"> (SUM($D$15:D144) + H145)/B145</f>
        <v>13.533846153846154</v>
      </c>
      <c r="Z145" s="65">
        <f xml:space="preserve"> 'Growth &amp; yield data'!F147 - 'Growth &amp; yield data'!O146</f>
        <v>13.800000000000068</v>
      </c>
      <c r="AA145" s="117"/>
    </row>
    <row r="146" spans="1:27" x14ac:dyDescent="0.3">
      <c r="A146" s="31">
        <v>133</v>
      </c>
      <c r="B146" s="31">
        <v>131</v>
      </c>
      <c r="C146" s="43">
        <f xml:space="preserve"> 'Growth &amp; yield data'!G147</f>
        <v>0</v>
      </c>
      <c r="D146" s="43">
        <f xml:space="preserve"> 'Growth &amp; yield data'!J147</f>
        <v>0</v>
      </c>
      <c r="E146" s="43">
        <v>0</v>
      </c>
      <c r="F146" s="43">
        <f t="shared" si="38"/>
        <v>0</v>
      </c>
      <c r="G146" s="44">
        <f xml:space="preserve"> 'Growth &amp; yield data'!C147</f>
        <v>68.099999999999994</v>
      </c>
      <c r="H146" s="44">
        <f xml:space="preserve"> 'Growth &amp; yield data'!F147</f>
        <v>727.2</v>
      </c>
      <c r="I146" s="43">
        <f t="shared" si="37"/>
        <v>443.29193613629997</v>
      </c>
      <c r="J146" s="44">
        <f t="shared" si="32"/>
        <v>322361.89595831733</v>
      </c>
      <c r="K146" s="43">
        <v>0</v>
      </c>
      <c r="L146" s="43">
        <f t="shared" si="41"/>
        <v>0</v>
      </c>
      <c r="M146" s="57">
        <f t="shared" si="39"/>
        <v>0</v>
      </c>
      <c r="N146" s="44">
        <f t="shared" si="42"/>
        <v>322361.89595831733</v>
      </c>
      <c r="O146" s="51">
        <f xml:space="preserve"> SUM($M$15:M145) + N146*((1+$C$6)^(-B146))</f>
        <v>130972.09844196925</v>
      </c>
      <c r="P146" s="51">
        <f t="shared" si="40"/>
        <v>152686.57230611984</v>
      </c>
      <c r="Q146" s="54"/>
      <c r="R146" s="54"/>
      <c r="S146" s="54"/>
      <c r="T146" s="54"/>
      <c r="U146" s="54"/>
      <c r="V146" s="63">
        <f t="shared" si="43"/>
        <v>5931.7698602972378</v>
      </c>
      <c r="W146" s="63">
        <f t="shared" si="44"/>
        <v>7125.7270239665568</v>
      </c>
      <c r="X146" s="63" t="str">
        <f t="shared" si="45"/>
        <v>MOC &gt; MIV</v>
      </c>
      <c r="Y146" s="65">
        <f xml:space="preserve"> (SUM($D$15:D145) + H146)/B146</f>
        <v>13.53587786259542</v>
      </c>
      <c r="Z146" s="65">
        <f xml:space="preserve"> 'Growth &amp; yield data'!F148 - 'Growth &amp; yield data'!O147</f>
        <v>13.899999999999977</v>
      </c>
      <c r="AA146" s="117"/>
    </row>
    <row r="147" spans="1:27" x14ac:dyDescent="0.3">
      <c r="A147" s="31">
        <v>134</v>
      </c>
      <c r="B147" s="31">
        <v>132</v>
      </c>
      <c r="C147" s="43">
        <f xml:space="preserve"> 'Growth &amp; yield data'!G148</f>
        <v>0</v>
      </c>
      <c r="D147" s="43">
        <f xml:space="preserve"> 'Growth &amp; yield data'!J148</f>
        <v>0</v>
      </c>
      <c r="E147" s="43">
        <v>0</v>
      </c>
      <c r="F147" s="43">
        <f t="shared" si="38"/>
        <v>0</v>
      </c>
      <c r="G147" s="44">
        <f xml:space="preserve"> 'Growth &amp; yield data'!C148</f>
        <v>68.7</v>
      </c>
      <c r="H147" s="44">
        <f xml:space="preserve"> 'Growth &amp; yield data'!F148</f>
        <v>741.1</v>
      </c>
      <c r="I147" s="43">
        <f t="shared" si="37"/>
        <v>443.10166288829987</v>
      </c>
      <c r="J147" s="44">
        <f t="shared" si="32"/>
        <v>328382.64236651902</v>
      </c>
      <c r="K147" s="43">
        <v>0</v>
      </c>
      <c r="L147" s="43">
        <f t="shared" si="41"/>
        <v>0</v>
      </c>
      <c r="M147" s="57">
        <f t="shared" si="39"/>
        <v>0</v>
      </c>
      <c r="N147" s="44">
        <f t="shared" si="42"/>
        <v>328382.64236651902</v>
      </c>
      <c r="O147" s="51">
        <f xml:space="preserve"> SUM($M$15:M146) + N147*((1+$C$6)^(-B147))</f>
        <v>131138.17842478779</v>
      </c>
      <c r="P147" s="51">
        <f t="shared" si="40"/>
        <v>152506.52096953284</v>
      </c>
      <c r="Q147" s="54"/>
      <c r="R147" s="54"/>
      <c r="S147" s="54"/>
      <c r="T147" s="54"/>
      <c r="U147" s="54"/>
      <c r="V147" s="63">
        <f t="shared" si="43"/>
        <v>5846.409347810235</v>
      </c>
      <c r="W147" s="63">
        <f t="shared" si="44"/>
        <v>7213.3374500407781</v>
      </c>
      <c r="X147" s="63" t="str">
        <f t="shared" si="45"/>
        <v>MOC &gt; MIV</v>
      </c>
      <c r="Y147" s="65">
        <f xml:space="preserve"> (SUM($D$15:D146) + H147)/B147</f>
        <v>13.538636363636362</v>
      </c>
      <c r="Z147" s="65">
        <f xml:space="preserve"> 'Growth &amp; yield data'!F149 - 'Growth &amp; yield data'!O148</f>
        <v>13.799999999999955</v>
      </c>
      <c r="AA147" s="117"/>
    </row>
    <row r="148" spans="1:27" x14ac:dyDescent="0.3">
      <c r="A148" s="31">
        <v>135</v>
      </c>
      <c r="B148" s="31">
        <v>133</v>
      </c>
      <c r="C148" s="43">
        <f xml:space="preserve"> 'Growth &amp; yield data'!G149</f>
        <v>67.2</v>
      </c>
      <c r="D148" s="43">
        <f xml:space="preserve"> 'Growth &amp; yield data'!J149</f>
        <v>108.3</v>
      </c>
      <c r="E148" s="43">
        <f xml:space="preserve">  $F$10*(C148^4) + $F$9*(C148^3) + $F$8*(C148^2) + $F$7*C148 + $F$6</f>
        <v>443.48694151679996</v>
      </c>
      <c r="F148" s="43">
        <f t="shared" si="38"/>
        <v>48029.635766269435</v>
      </c>
      <c r="G148" s="44">
        <f xml:space="preserve"> 'Growth &amp; yield data'!C149</f>
        <v>69.3</v>
      </c>
      <c r="H148" s="44">
        <f xml:space="preserve"> 'Growth &amp; yield data'!F149</f>
        <v>754.9</v>
      </c>
      <c r="I148" s="43">
        <f t="shared" si="37"/>
        <v>442.86229680029993</v>
      </c>
      <c r="J148" s="44">
        <f t="shared" si="32"/>
        <v>334316.74785454641</v>
      </c>
      <c r="K148" s="43">
        <v>0</v>
      </c>
      <c r="L148" s="43">
        <f t="shared" si="41"/>
        <v>48029.635766269435</v>
      </c>
      <c r="M148" s="57">
        <f t="shared" si="39"/>
        <v>6630.1854192832825</v>
      </c>
      <c r="N148" s="44">
        <f t="shared" si="42"/>
        <v>334316.74785454641</v>
      </c>
      <c r="O148" s="51">
        <f xml:space="preserve"> SUM($M$15:M147) + N148*((1+$C$6)^(-B148))</f>
        <v>131277.37691059936</v>
      </c>
      <c r="P148" s="51">
        <f t="shared" si="40"/>
        <v>152301.65001034536</v>
      </c>
      <c r="Q148" s="54"/>
      <c r="R148" s="54"/>
      <c r="S148" s="54"/>
      <c r="T148" s="54"/>
      <c r="U148" s="54"/>
      <c r="V148" s="63">
        <f t="shared" si="43"/>
        <v>6552.9340634460023</v>
      </c>
      <c r="W148" s="63">
        <f t="shared" si="44"/>
        <v>7299.2759679733763</v>
      </c>
      <c r="X148" s="63" t="str">
        <f t="shared" si="45"/>
        <v>MOC &gt; MIV</v>
      </c>
      <c r="Y148" s="65">
        <f xml:space="preserve"> (SUM($D$15:D147) + H148)/B148</f>
        <v>13.540601503759399</v>
      </c>
      <c r="Z148" s="65">
        <f xml:space="preserve"> 'Growth &amp; yield data'!F150 - 'Growth &amp; yield data'!O149</f>
        <v>13.899999999999977</v>
      </c>
      <c r="AA148" s="117"/>
    </row>
    <row r="149" spans="1:27" x14ac:dyDescent="0.3">
      <c r="A149" s="31">
        <v>136</v>
      </c>
      <c r="B149" s="31">
        <v>134</v>
      </c>
      <c r="C149" s="43">
        <f xml:space="preserve"> 'Growth &amp; yield data'!G150</f>
        <v>0</v>
      </c>
      <c r="D149" s="43">
        <f xml:space="preserve"> 'Growth &amp; yield data'!J150</f>
        <v>0</v>
      </c>
      <c r="E149" s="43">
        <v>0</v>
      </c>
      <c r="F149" s="43">
        <f t="shared" si="38"/>
        <v>0</v>
      </c>
      <c r="G149" s="44">
        <f xml:space="preserve"> 'Growth &amp; yield data'!C150</f>
        <v>70.3</v>
      </c>
      <c r="H149" s="44">
        <f xml:space="preserve"> 'Growth &amp; yield data'!F150</f>
        <v>660.6</v>
      </c>
      <c r="I149" s="43">
        <f t="shared" si="37"/>
        <v>442.35224890430004</v>
      </c>
      <c r="J149" s="44">
        <f t="shared" si="32"/>
        <v>292217.89562618063</v>
      </c>
      <c r="K149" s="43">
        <v>0</v>
      </c>
      <c r="L149" s="43">
        <f t="shared" si="41"/>
        <v>0</v>
      </c>
      <c r="M149" s="57">
        <f t="shared" si="39"/>
        <v>0</v>
      </c>
      <c r="N149" s="44">
        <f t="shared" si="42"/>
        <v>292217.89562618063</v>
      </c>
      <c r="O149" s="51">
        <f xml:space="preserve"> SUM($M$15:M148) + N149*((1+$C$6)^(-B149))</f>
        <v>131499.9436207689</v>
      </c>
      <c r="P149" s="51">
        <f t="shared" si="40"/>
        <v>152199.63936414433</v>
      </c>
      <c r="Q149" s="54"/>
      <c r="R149" s="54"/>
      <c r="S149" s="54"/>
      <c r="T149" s="54"/>
      <c r="U149" s="54"/>
      <c r="V149" s="63">
        <f t="shared" si="43"/>
        <v>5591.6508085650667</v>
      </c>
      <c r="W149" s="63">
        <f t="shared" si="44"/>
        <v>6666.2630248548749</v>
      </c>
      <c r="X149" s="63" t="str">
        <f t="shared" si="45"/>
        <v>MOC &gt; MIV</v>
      </c>
      <c r="Y149" s="65">
        <f xml:space="preserve"> (SUM($D$15:D148) + H149)/B149</f>
        <v>13.54402985074627</v>
      </c>
      <c r="Z149" s="65">
        <f xml:space="preserve"> 'Growth &amp; yield data'!F151 - 'Growth &amp; yield data'!O150</f>
        <v>13.399999999999977</v>
      </c>
      <c r="AA149" s="117"/>
    </row>
    <row r="150" spans="1:27" x14ac:dyDescent="0.3">
      <c r="A150" s="31">
        <v>137</v>
      </c>
      <c r="B150" s="31">
        <v>135</v>
      </c>
      <c r="C150" s="43">
        <f xml:space="preserve"> 'Growth &amp; yield data'!G151</f>
        <v>0</v>
      </c>
      <c r="D150" s="43">
        <f xml:space="preserve"> 'Growth &amp; yield data'!J151</f>
        <v>0</v>
      </c>
      <c r="E150" s="43">
        <v>0</v>
      </c>
      <c r="F150" s="43">
        <f t="shared" si="38"/>
        <v>0</v>
      </c>
      <c r="G150" s="44">
        <f xml:space="preserve"> 'Growth &amp; yield data'!C151</f>
        <v>70.900000000000006</v>
      </c>
      <c r="H150" s="44">
        <f xml:space="preserve"> 'Growth &amp; yield data'!F151</f>
        <v>674</v>
      </c>
      <c r="I150" s="43">
        <f t="shared" si="37"/>
        <v>441.97836972829992</v>
      </c>
      <c r="J150" s="44">
        <f t="shared" si="32"/>
        <v>297893.42119687417</v>
      </c>
      <c r="K150" s="43">
        <v>0</v>
      </c>
      <c r="L150" s="43">
        <f t="shared" si="41"/>
        <v>0</v>
      </c>
      <c r="M150" s="57">
        <f t="shared" si="39"/>
        <v>0</v>
      </c>
      <c r="N150" s="44">
        <f t="shared" si="42"/>
        <v>297893.42119687417</v>
      </c>
      <c r="O150" s="51">
        <f xml:space="preserve"> SUM($M$15:M149) + N150*((1+$C$6)^(-B150))</f>
        <v>131673.09790263785</v>
      </c>
      <c r="P150" s="51">
        <f t="shared" si="40"/>
        <v>152046.3465441711</v>
      </c>
      <c r="Q150" s="54"/>
      <c r="R150" s="54"/>
      <c r="S150" s="54"/>
      <c r="T150" s="54"/>
      <c r="U150" s="54"/>
      <c r="V150" s="63">
        <f t="shared" si="43"/>
        <v>5538.7304038677621</v>
      </c>
      <c r="W150" s="63">
        <f t="shared" si="44"/>
        <v>6749.0965161156792</v>
      </c>
      <c r="X150" s="63" t="str">
        <f t="shared" si="45"/>
        <v>MOC &gt; MIV</v>
      </c>
      <c r="Y150" s="65">
        <f xml:space="preserve"> (SUM($D$15:D149) + H150)/B150</f>
        <v>13.542962962962962</v>
      </c>
      <c r="Z150" s="65">
        <f xml:space="preserve"> 'Growth &amp; yield data'!F152 - 'Growth &amp; yield data'!O151</f>
        <v>13.5</v>
      </c>
      <c r="AA150" s="117"/>
    </row>
    <row r="151" spans="1:27" x14ac:dyDescent="0.3">
      <c r="A151" s="31">
        <v>138</v>
      </c>
      <c r="B151" s="31">
        <v>136</v>
      </c>
      <c r="C151" s="43">
        <f xml:space="preserve"> 'Growth &amp; yield data'!G152</f>
        <v>0</v>
      </c>
      <c r="D151" s="43">
        <f xml:space="preserve"> 'Growth &amp; yield data'!J152</f>
        <v>0</v>
      </c>
      <c r="E151" s="43">
        <v>0</v>
      </c>
      <c r="F151" s="43">
        <f t="shared" si="38"/>
        <v>0</v>
      </c>
      <c r="G151" s="44">
        <f xml:space="preserve"> 'Growth &amp; yield data'!C152</f>
        <v>71.599999999999994</v>
      </c>
      <c r="H151" s="44">
        <f xml:space="preserve"> 'Growth &amp; yield data'!F152</f>
        <v>687.5</v>
      </c>
      <c r="I151" s="43">
        <f t="shared" si="37"/>
        <v>441.47670190079992</v>
      </c>
      <c r="J151" s="44">
        <f t="shared" si="32"/>
        <v>303515.23255679995</v>
      </c>
      <c r="K151" s="43">
        <v>0</v>
      </c>
      <c r="L151" s="43">
        <f t="shared" si="41"/>
        <v>0</v>
      </c>
      <c r="M151" s="57">
        <f t="shared" si="39"/>
        <v>0</v>
      </c>
      <c r="N151" s="44">
        <f t="shared" si="42"/>
        <v>303515.23255679995</v>
      </c>
      <c r="O151" s="51">
        <f xml:space="preserve"> SUM($M$15:M150) + N151*((1+$C$6)^(-B151))</f>
        <v>131825.36356719965</v>
      </c>
      <c r="P151" s="51">
        <f t="shared" si="40"/>
        <v>151874.89592492898</v>
      </c>
      <c r="Q151" s="54"/>
      <c r="R151" s="54"/>
      <c r="S151" s="54"/>
      <c r="T151" s="54"/>
      <c r="U151" s="54"/>
      <c r="V151" s="63">
        <f t="shared" si="43"/>
        <v>5475.9497539332979</v>
      </c>
      <c r="W151" s="63">
        <f t="shared" si="44"/>
        <v>6830.8519272259337</v>
      </c>
      <c r="X151" s="63" t="str">
        <f t="shared" si="45"/>
        <v>MOC &gt; MIV</v>
      </c>
      <c r="Y151" s="65">
        <f xml:space="preserve"> (SUM($D$15:D150) + H151)/B151</f>
        <v>13.54264705882353</v>
      </c>
      <c r="Z151" s="65">
        <f xml:space="preserve"> 'Growth &amp; yield data'!F153 - 'Growth &amp; yield data'!O152</f>
        <v>13.5</v>
      </c>
      <c r="AA151" s="117"/>
    </row>
    <row r="152" spans="1:27" x14ac:dyDescent="0.3">
      <c r="A152" s="31">
        <v>139</v>
      </c>
      <c r="B152" s="31">
        <v>137</v>
      </c>
      <c r="C152" s="43">
        <f xml:space="preserve"> 'Growth &amp; yield data'!G153</f>
        <v>0</v>
      </c>
      <c r="D152" s="43">
        <f xml:space="preserve"> 'Growth &amp; yield data'!J153</f>
        <v>0</v>
      </c>
      <c r="E152" s="43">
        <v>0</v>
      </c>
      <c r="F152" s="43">
        <f t="shared" si="38"/>
        <v>0</v>
      </c>
      <c r="G152" s="44">
        <f xml:space="preserve"> 'Growth &amp; yield data'!C153</f>
        <v>72.3</v>
      </c>
      <c r="H152" s="44">
        <f xml:space="preserve"> 'Growth &amp; yield data'!F153</f>
        <v>701</v>
      </c>
      <c r="I152" s="43">
        <f t="shared" si="37"/>
        <v>440.9034544322999</v>
      </c>
      <c r="J152" s="44">
        <f t="shared" si="32"/>
        <v>309073.32155704225</v>
      </c>
      <c r="K152" s="43">
        <v>0</v>
      </c>
      <c r="L152" s="43">
        <f t="shared" si="41"/>
        <v>0</v>
      </c>
      <c r="M152" s="57">
        <f t="shared" si="39"/>
        <v>0</v>
      </c>
      <c r="N152" s="44">
        <f t="shared" si="42"/>
        <v>309073.32155704225</v>
      </c>
      <c r="O152" s="51">
        <f xml:space="preserve"> SUM($M$15:M151) + N152*((1+$C$6)^(-B152))</f>
        <v>131956.12330319133</v>
      </c>
      <c r="P152" s="51">
        <f t="shared" si="40"/>
        <v>151684.60779702134</v>
      </c>
      <c r="Q152" s="54"/>
      <c r="R152" s="54"/>
      <c r="S152" s="54"/>
      <c r="T152" s="54"/>
      <c r="U152" s="54"/>
      <c r="V152" s="63">
        <f t="shared" si="43"/>
        <v>5521.038741866595</v>
      </c>
      <c r="W152" s="63">
        <f t="shared" si="44"/>
        <v>6911.3689403109538</v>
      </c>
      <c r="X152" s="63" t="str">
        <f t="shared" si="45"/>
        <v>MOC &gt; MIV</v>
      </c>
      <c r="Y152" s="65">
        <f xml:space="preserve"> (SUM($D$15:D151) + H152)/B152</f>
        <v>13.542335766423358</v>
      </c>
      <c r="Z152" s="65">
        <f xml:space="preserve"> 'Growth &amp; yield data'!F154 - 'Growth &amp; yield data'!O153</f>
        <v>13.600000000000023</v>
      </c>
      <c r="AA152" s="117"/>
    </row>
    <row r="153" spans="1:27" x14ac:dyDescent="0.3">
      <c r="A153" s="31">
        <v>140</v>
      </c>
      <c r="B153" s="31">
        <v>138</v>
      </c>
      <c r="C153" s="43">
        <f xml:space="preserve"> 'Growth &amp; yield data'!G154</f>
        <v>0</v>
      </c>
      <c r="D153" s="43">
        <f xml:space="preserve"> 'Growth &amp; yield data'!J154</f>
        <v>0</v>
      </c>
      <c r="E153" s="43">
        <v>0</v>
      </c>
      <c r="F153" s="43">
        <f t="shared" si="38"/>
        <v>0</v>
      </c>
      <c r="G153" s="44">
        <f xml:space="preserve"> 'Growth &amp; yield data'!C154</f>
        <v>72.900000000000006</v>
      </c>
      <c r="H153" s="44">
        <f xml:space="preserve"> 'Growth &amp; yield data'!F154</f>
        <v>714.6</v>
      </c>
      <c r="I153" s="43">
        <f t="shared" si="37"/>
        <v>440.35429034430007</v>
      </c>
      <c r="J153" s="44">
        <f t="shared" si="32"/>
        <v>314677.17588003684</v>
      </c>
      <c r="K153" s="43">
        <v>0</v>
      </c>
      <c r="L153" s="43">
        <f t="shared" si="41"/>
        <v>0</v>
      </c>
      <c r="M153" s="57">
        <f t="shared" si="39"/>
        <v>0</v>
      </c>
      <c r="N153" s="44">
        <f t="shared" si="42"/>
        <v>314677.17588003684</v>
      </c>
      <c r="O153" s="51">
        <f xml:space="preserve"> SUM($M$15:M152) + N153*((1+$C$6)^(-B153))</f>
        <v>132080.13177879323</v>
      </c>
      <c r="P153" s="51">
        <f t="shared" si="40"/>
        <v>151492.43753499765</v>
      </c>
      <c r="Q153" s="54"/>
      <c r="R153" s="54"/>
      <c r="S153" s="54"/>
      <c r="T153" s="54"/>
      <c r="U153" s="54"/>
      <c r="V153" s="63">
        <f t="shared" si="43"/>
        <v>5510.844028097913</v>
      </c>
      <c r="W153" s="63">
        <f t="shared" si="44"/>
        <v>6992.5442012255171</v>
      </c>
      <c r="X153" s="63" t="str">
        <f t="shared" si="45"/>
        <v>MOC &gt; MIV</v>
      </c>
      <c r="Y153" s="65">
        <f xml:space="preserve"> (SUM($D$15:D152) + H153)/B153</f>
        <v>13.542753623188407</v>
      </c>
      <c r="Z153" s="65">
        <f xml:space="preserve"> 'Growth &amp; yield data'!F155 - 'Growth &amp; yield data'!O154</f>
        <v>13.699999999999932</v>
      </c>
      <c r="AA153" s="117"/>
    </row>
    <row r="154" spans="1:27" x14ac:dyDescent="0.3">
      <c r="A154" s="31">
        <v>141</v>
      </c>
      <c r="B154" s="31">
        <v>139</v>
      </c>
      <c r="C154" s="43">
        <f xml:space="preserve"> 'Growth &amp; yield data'!G155</f>
        <v>0</v>
      </c>
      <c r="D154" s="43">
        <f xml:space="preserve"> 'Growth &amp; yield data'!J155</f>
        <v>0</v>
      </c>
      <c r="E154" s="43">
        <v>0</v>
      </c>
      <c r="F154" s="43">
        <f t="shared" si="38"/>
        <v>0</v>
      </c>
      <c r="G154" s="44">
        <f xml:space="preserve"> 'Growth &amp; yield data'!C155</f>
        <v>73.5</v>
      </c>
      <c r="H154" s="44">
        <f xml:space="preserve"> 'Growth &amp; yield data'!F155</f>
        <v>728.3</v>
      </c>
      <c r="I154" s="43">
        <f t="shared" si="37"/>
        <v>439.7510401875</v>
      </c>
      <c r="J154" s="44">
        <f t="shared" si="32"/>
        <v>320270.68256855622</v>
      </c>
      <c r="K154" s="43">
        <v>0</v>
      </c>
      <c r="L154" s="43">
        <f t="shared" si="41"/>
        <v>0</v>
      </c>
      <c r="M154" s="57">
        <f t="shared" si="39"/>
        <v>0</v>
      </c>
      <c r="N154" s="44">
        <f t="shared" si="42"/>
        <v>320270.68256855622</v>
      </c>
      <c r="O154" s="51">
        <f xml:space="preserve"> SUM($M$15:M153) + N154*((1+$C$6)^(-B154))</f>
        <v>132190.38923784561</v>
      </c>
      <c r="P154" s="51">
        <f t="shared" si="40"/>
        <v>151290.2936206428</v>
      </c>
      <c r="Q154" s="54"/>
      <c r="R154" s="54"/>
      <c r="S154" s="54"/>
      <c r="T154" s="54"/>
      <c r="U154" s="54"/>
      <c r="V154" s="63">
        <f t="shared" si="43"/>
        <v>5370.4282731165904</v>
      </c>
      <c r="W154" s="63">
        <f t="shared" si="44"/>
        <v>7073.4146428379854</v>
      </c>
      <c r="X154" s="63" t="str">
        <f t="shared" si="45"/>
        <v>MOC &gt; MIV</v>
      </c>
      <c r="Y154" s="65">
        <f xml:space="preserve"> (SUM($D$15:D153) + H154)/B154</f>
        <v>13.54388489208633</v>
      </c>
      <c r="Z154" s="65">
        <f xml:space="preserve"> 'Growth &amp; yield data'!F156 - 'Growth &amp; yield data'!O155</f>
        <v>13.700000000000045</v>
      </c>
      <c r="AA154" s="117"/>
    </row>
    <row r="155" spans="1:27" x14ac:dyDescent="0.3">
      <c r="A155" s="31">
        <v>142</v>
      </c>
      <c r="B155" s="31">
        <v>140</v>
      </c>
      <c r="C155" s="43">
        <f xml:space="preserve"> 'Growth &amp; yield data'!G156</f>
        <v>0</v>
      </c>
      <c r="D155" s="43">
        <f xml:space="preserve"> 'Growth &amp; yield data'!J156</f>
        <v>0</v>
      </c>
      <c r="E155" s="43">
        <v>0</v>
      </c>
      <c r="F155" s="43">
        <f t="shared" si="38"/>
        <v>0</v>
      </c>
      <c r="G155" s="44">
        <f xml:space="preserve"> 'Growth &amp; yield data'!C156</f>
        <v>74.2</v>
      </c>
      <c r="H155" s="44">
        <f xml:space="preserve"> 'Growth &amp; yield data'!F156</f>
        <v>742</v>
      </c>
      <c r="I155" s="43">
        <f t="shared" si="37"/>
        <v>438.97798822879997</v>
      </c>
      <c r="J155" s="44">
        <f t="shared" si="32"/>
        <v>325721.66726576956</v>
      </c>
      <c r="K155" s="43">
        <v>0</v>
      </c>
      <c r="L155" s="43">
        <f t="shared" si="41"/>
        <v>0</v>
      </c>
      <c r="M155" s="57">
        <f t="shared" si="39"/>
        <v>0</v>
      </c>
      <c r="N155" s="44">
        <f t="shared" si="42"/>
        <v>325721.66726576956</v>
      </c>
      <c r="O155" s="51">
        <f xml:space="preserve"> SUM($M$15:M154) + N155*((1+$C$6)^(-B155))</f>
        <v>132270.85435653204</v>
      </c>
      <c r="P155" s="51">
        <f t="shared" si="40"/>
        <v>151059.82868006034</v>
      </c>
      <c r="Q155" s="54"/>
      <c r="R155" s="54"/>
      <c r="S155" s="54"/>
      <c r="T155" s="54"/>
      <c r="U155" s="54"/>
      <c r="V155" s="63">
        <f t="shared" si="43"/>
        <v>5387.0161422245037</v>
      </c>
      <c r="W155" s="63">
        <f t="shared" si="44"/>
        <v>7151.7224391874479</v>
      </c>
      <c r="X155" s="63" t="str">
        <f t="shared" si="45"/>
        <v>MOC &gt; MIV</v>
      </c>
      <c r="Y155" s="65">
        <f xml:space="preserve"> (SUM($D$15:D154) + H155)/B155</f>
        <v>13.545</v>
      </c>
      <c r="Z155" s="65">
        <f xml:space="preserve"> 'Growth &amp; yield data'!F157 - 'Growth &amp; yield data'!O156</f>
        <v>13.700000000000045</v>
      </c>
      <c r="AA155" s="117"/>
    </row>
    <row r="156" spans="1:27" x14ac:dyDescent="0.3">
      <c r="A156" s="31">
        <v>143</v>
      </c>
      <c r="B156" s="31">
        <v>141</v>
      </c>
      <c r="C156" s="43">
        <f xml:space="preserve"> 'Growth &amp; yield data'!G157</f>
        <v>0</v>
      </c>
      <c r="D156" s="43">
        <f xml:space="preserve"> 'Growth &amp; yield data'!J157</f>
        <v>0</v>
      </c>
      <c r="E156" s="43">
        <v>0</v>
      </c>
      <c r="F156" s="43">
        <f t="shared" si="38"/>
        <v>0</v>
      </c>
      <c r="G156" s="44">
        <f xml:space="preserve"> 'Growth &amp; yield data'!C157</f>
        <v>74.8</v>
      </c>
      <c r="H156" s="44">
        <f xml:space="preserve"> 'Growth &amp; yield data'!F157</f>
        <v>755.7</v>
      </c>
      <c r="I156" s="43">
        <f t="shared" si="37"/>
        <v>438.25524500480003</v>
      </c>
      <c r="J156" s="44">
        <f t="shared" si="32"/>
        <v>331189.48865012743</v>
      </c>
      <c r="K156" s="43">
        <v>0</v>
      </c>
      <c r="L156" s="43">
        <f t="shared" si="41"/>
        <v>0</v>
      </c>
      <c r="M156" s="57">
        <f t="shared" si="39"/>
        <v>0</v>
      </c>
      <c r="N156" s="44">
        <f t="shared" si="42"/>
        <v>331189.48865012743</v>
      </c>
      <c r="O156" s="51">
        <f xml:space="preserve"> SUM($M$15:M155) + N156*((1+$C$6)^(-B156))</f>
        <v>132342.17386194482</v>
      </c>
      <c r="P156" s="51">
        <f t="shared" si="40"/>
        <v>150824.66042110976</v>
      </c>
      <c r="Q156" s="54"/>
      <c r="R156" s="54"/>
      <c r="S156" s="54"/>
      <c r="T156" s="54"/>
      <c r="U156" s="54"/>
      <c r="V156" s="63">
        <f t="shared" si="43"/>
        <v>5308.4983784951428</v>
      </c>
      <c r="W156" s="63">
        <f t="shared" si="44"/>
        <v>7230.212236068558</v>
      </c>
      <c r="X156" s="63" t="str">
        <f t="shared" si="45"/>
        <v>MOC &gt; MIV</v>
      </c>
      <c r="Y156" s="65">
        <f xml:space="preserve"> (SUM($D$15:D155) + H156)/B156</f>
        <v>13.546099290780141</v>
      </c>
      <c r="Z156" s="65">
        <f xml:space="preserve"> 'Growth &amp; yield data'!F158 - 'Growth &amp; yield data'!O157</f>
        <v>13.899999999999977</v>
      </c>
      <c r="AA156" s="117"/>
    </row>
    <row r="157" spans="1:27" x14ac:dyDescent="0.3">
      <c r="A157" s="31">
        <v>144</v>
      </c>
      <c r="B157" s="31">
        <v>142</v>
      </c>
      <c r="C157" s="43">
        <f xml:space="preserve"> 'Growth &amp; yield data'!G158</f>
        <v>0</v>
      </c>
      <c r="D157" s="43">
        <f xml:space="preserve"> 'Growth &amp; yield data'!J158</f>
        <v>0</v>
      </c>
      <c r="E157" s="43">
        <v>0</v>
      </c>
      <c r="F157" s="43">
        <f t="shared" si="38"/>
        <v>0</v>
      </c>
      <c r="G157" s="44">
        <f xml:space="preserve"> 'Growth &amp; yield data'!C158</f>
        <v>75.5</v>
      </c>
      <c r="H157" s="44">
        <f xml:space="preserve"> 'Growth &amp; yield data'!F158</f>
        <v>769.6</v>
      </c>
      <c r="I157" s="43">
        <f t="shared" ref="I157:I188" si="46" xml:space="preserve">  $F$10*(G157^4) + $F$9*(G157^3) + $F$8*(G157^2) + $F$7*G157 + $F$6</f>
        <v>437.34097518749996</v>
      </c>
      <c r="J157" s="44">
        <f t="shared" si="32"/>
        <v>336577.6145043</v>
      </c>
      <c r="K157" s="43">
        <v>0</v>
      </c>
      <c r="L157" s="43">
        <f t="shared" si="41"/>
        <v>0</v>
      </c>
      <c r="M157" s="57">
        <f t="shared" si="39"/>
        <v>0</v>
      </c>
      <c r="N157" s="44">
        <f t="shared" si="42"/>
        <v>336577.6145043</v>
      </c>
      <c r="O157" s="51">
        <f xml:space="preserve"> SUM($M$15:M156) + N157*((1+$C$6)^(-B157))</f>
        <v>132392.9154863302</v>
      </c>
      <c r="P157" s="51">
        <f t="shared" si="40"/>
        <v>150571.72440690786</v>
      </c>
      <c r="Q157" s="54"/>
      <c r="R157" s="54"/>
      <c r="S157" s="54"/>
      <c r="T157" s="54"/>
      <c r="U157" s="54"/>
      <c r="V157" s="63">
        <f t="shared" si="43"/>
        <v>5293.6806374659027</v>
      </c>
      <c r="W157" s="63">
        <f t="shared" si="44"/>
        <v>7307.2400836681172</v>
      </c>
      <c r="X157" s="63" t="str">
        <f t="shared" si="45"/>
        <v>MOC &gt; MIV</v>
      </c>
      <c r="Y157" s="65">
        <f xml:space="preserve"> (SUM($D$15:D156) + H157)/B157</f>
        <v>13.548591549295775</v>
      </c>
      <c r="Z157" s="65">
        <f xml:space="preserve"> 'Growth &amp; yield data'!F159 - 'Growth &amp; yield data'!O158</f>
        <v>13.799999999999955</v>
      </c>
      <c r="AA157" s="117"/>
    </row>
    <row r="158" spans="1:27" x14ac:dyDescent="0.3">
      <c r="A158" s="31">
        <v>145</v>
      </c>
      <c r="B158" s="31">
        <v>143</v>
      </c>
      <c r="C158" s="43">
        <f xml:space="preserve"> 'Growth &amp; yield data'!G159</f>
        <v>0</v>
      </c>
      <c r="D158" s="43">
        <f xml:space="preserve"> 'Growth &amp; yield data'!J159</f>
        <v>0</v>
      </c>
      <c r="E158" s="43">
        <v>0</v>
      </c>
      <c r="F158" s="43">
        <f t="shared" si="38"/>
        <v>0</v>
      </c>
      <c r="G158" s="44">
        <f xml:space="preserve"> 'Growth &amp; yield data'!C159</f>
        <v>76.099999999999994</v>
      </c>
      <c r="H158" s="44">
        <f xml:space="preserve"> 'Growth &amp; yield data'!F159</f>
        <v>783.4</v>
      </c>
      <c r="I158" s="43">
        <f t="shared" si="46"/>
        <v>436.49566039230007</v>
      </c>
      <c r="J158" s="44">
        <f t="shared" ref="J158:J213" si="47" xml:space="preserve"> I158*H158</f>
        <v>341950.70035132789</v>
      </c>
      <c r="K158" s="43">
        <v>0</v>
      </c>
      <c r="L158" s="43">
        <f t="shared" si="41"/>
        <v>0</v>
      </c>
      <c r="M158" s="57">
        <f t="shared" si="39"/>
        <v>0</v>
      </c>
      <c r="N158" s="44">
        <f t="shared" si="42"/>
        <v>341950.70035132789</v>
      </c>
      <c r="O158" s="51">
        <f xml:space="preserve"> SUM($M$15:M157) + N158*((1+$C$6)^(-B158))</f>
        <v>132431.5046849458</v>
      </c>
      <c r="P158" s="51">
        <f t="shared" si="40"/>
        <v>150310.60126643867</v>
      </c>
      <c r="Q158" s="54"/>
      <c r="R158" s="54"/>
      <c r="S158" s="54"/>
      <c r="T158" s="54"/>
      <c r="U158" s="54"/>
      <c r="V158" s="63">
        <f t="shared" si="43"/>
        <v>5311.2986328725465</v>
      </c>
      <c r="W158" s="63">
        <f t="shared" si="44"/>
        <v>7383.9195242664982</v>
      </c>
      <c r="X158" s="63" t="str">
        <f t="shared" si="45"/>
        <v>MOC &gt; MIV</v>
      </c>
      <c r="Y158" s="65">
        <f xml:space="preserve"> (SUM($D$15:D157) + H158)/B158</f>
        <v>13.550349650349649</v>
      </c>
      <c r="Z158" s="65">
        <f xml:space="preserve"> 'Growth &amp; yield data'!F160 - 'Growth &amp; yield data'!O159</f>
        <v>14</v>
      </c>
      <c r="AA158" s="117"/>
    </row>
    <row r="159" spans="1:27" x14ac:dyDescent="0.3">
      <c r="A159" s="31">
        <v>146</v>
      </c>
      <c r="B159" s="31">
        <v>144</v>
      </c>
      <c r="C159" s="43">
        <f xml:space="preserve"> 'Growth &amp; yield data'!G160</f>
        <v>0</v>
      </c>
      <c r="D159" s="43">
        <f xml:space="preserve"> 'Growth &amp; yield data'!J160</f>
        <v>0</v>
      </c>
      <c r="E159" s="43">
        <v>0</v>
      </c>
      <c r="F159" s="43">
        <f t="shared" si="38"/>
        <v>0</v>
      </c>
      <c r="G159" s="44">
        <f xml:space="preserve"> 'Growth &amp; yield data'!C160</f>
        <v>76.7</v>
      </c>
      <c r="H159" s="44">
        <f xml:space="preserve"> 'Growth &amp; yield data'!F160</f>
        <v>797.4</v>
      </c>
      <c r="I159" s="43">
        <f t="shared" si="46"/>
        <v>435.59276205629988</v>
      </c>
      <c r="J159" s="44">
        <f t="shared" si="47"/>
        <v>347341.66846369352</v>
      </c>
      <c r="K159" s="43">
        <v>0</v>
      </c>
      <c r="L159" s="43">
        <f t="shared" si="41"/>
        <v>0</v>
      </c>
      <c r="M159" s="57">
        <f t="shared" si="39"/>
        <v>0</v>
      </c>
      <c r="N159" s="44">
        <f t="shared" si="42"/>
        <v>347341.66846369352</v>
      </c>
      <c r="O159" s="51">
        <f xml:space="preserve"> SUM($M$15:M158) + N159*((1+$C$6)^(-B159))</f>
        <v>132462.17415435595</v>
      </c>
      <c r="P159" s="51">
        <f t="shared" si="40"/>
        <v>150046.04424145783</v>
      </c>
      <c r="Q159" s="54"/>
      <c r="R159" s="54"/>
      <c r="S159" s="54"/>
      <c r="T159" s="54"/>
      <c r="U159" s="54"/>
      <c r="V159" s="63">
        <f t="shared" si="43"/>
        <v>5197.0368352782889</v>
      </c>
      <c r="W159" s="63">
        <f t="shared" si="44"/>
        <v>7460.8156905772703</v>
      </c>
      <c r="X159" s="63" t="str">
        <f t="shared" si="45"/>
        <v>MOC &gt; MIV</v>
      </c>
      <c r="Y159" s="65">
        <f xml:space="preserve"> (SUM($D$15:D158) + H159)/B159</f>
        <v>13.55347222222222</v>
      </c>
      <c r="Z159" s="65">
        <f xml:space="preserve"> 'Growth &amp; yield data'!F161 - 'Growth &amp; yield data'!O160</f>
        <v>13.899999999999977</v>
      </c>
      <c r="AA159" s="117"/>
    </row>
    <row r="160" spans="1:27" x14ac:dyDescent="0.3">
      <c r="A160" s="31">
        <v>147</v>
      </c>
      <c r="B160" s="31">
        <v>145</v>
      </c>
      <c r="C160" s="43">
        <f xml:space="preserve"> 'Growth &amp; yield data'!G161</f>
        <v>0</v>
      </c>
      <c r="D160" s="43">
        <f xml:space="preserve"> 'Growth &amp; yield data'!J161</f>
        <v>0</v>
      </c>
      <c r="E160" s="43">
        <v>0</v>
      </c>
      <c r="F160" s="43">
        <f t="shared" si="38"/>
        <v>0</v>
      </c>
      <c r="G160" s="44">
        <f xml:space="preserve"> 'Growth &amp; yield data'!C161</f>
        <v>77.3</v>
      </c>
      <c r="H160" s="44">
        <f xml:space="preserve"> 'Growth &amp; yield data'!F161</f>
        <v>811.3</v>
      </c>
      <c r="I160" s="43">
        <f t="shared" si="46"/>
        <v>434.63165395229998</v>
      </c>
      <c r="J160" s="44">
        <f t="shared" si="47"/>
        <v>352616.66085150099</v>
      </c>
      <c r="K160" s="43">
        <v>0</v>
      </c>
      <c r="L160" s="43">
        <f t="shared" si="41"/>
        <v>0</v>
      </c>
      <c r="M160" s="57">
        <f t="shared" si="39"/>
        <v>0</v>
      </c>
      <c r="N160" s="44">
        <f t="shared" si="42"/>
        <v>352616.66085150099</v>
      </c>
      <c r="O160" s="51">
        <f xml:space="preserve"> SUM($M$15:M159) + N160*((1+$C$6)^(-B160))</f>
        <v>132469.66360740844</v>
      </c>
      <c r="P160" s="51">
        <f t="shared" si="40"/>
        <v>149760.73197346326</v>
      </c>
      <c r="Q160" s="54"/>
      <c r="R160" s="54"/>
      <c r="S160" s="54"/>
      <c r="T160" s="54"/>
      <c r="U160" s="54"/>
      <c r="V160" s="63">
        <f t="shared" si="43"/>
        <v>5065.4060450236302</v>
      </c>
      <c r="W160" s="63">
        <f t="shared" si="44"/>
        <v>7535.6608923744634</v>
      </c>
      <c r="X160" s="63" t="str">
        <f t="shared" si="45"/>
        <v>MOC &gt; MIV</v>
      </c>
      <c r="Y160" s="65">
        <f xml:space="preserve"> (SUM($D$15:D159) + H160)/B160</f>
        <v>13.555862068965517</v>
      </c>
      <c r="Z160" s="65">
        <f xml:space="preserve"> 'Growth &amp; yield data'!F162 - 'Growth &amp; yield data'!O161</f>
        <v>14.100000000000023</v>
      </c>
      <c r="AA160" s="117"/>
    </row>
    <row r="161" spans="1:27" x14ac:dyDescent="0.3">
      <c r="A161" s="31">
        <v>148</v>
      </c>
      <c r="B161" s="31">
        <v>146</v>
      </c>
      <c r="C161" s="43">
        <f xml:space="preserve"> 'Growth &amp; yield data'!G162</f>
        <v>0</v>
      </c>
      <c r="D161" s="43">
        <f xml:space="preserve"> 'Growth &amp; yield data'!J162</f>
        <v>0</v>
      </c>
      <c r="E161" s="43">
        <v>0</v>
      </c>
      <c r="F161" s="43">
        <f t="shared" si="38"/>
        <v>0</v>
      </c>
      <c r="G161" s="44">
        <f xml:space="preserve"> 'Growth &amp; yield data'!C162</f>
        <v>78</v>
      </c>
      <c r="H161" s="44">
        <f xml:space="preserve"> 'Growth &amp; yield data'!F162</f>
        <v>825.4</v>
      </c>
      <c r="I161" s="43">
        <f t="shared" si="46"/>
        <v>433.435968</v>
      </c>
      <c r="J161" s="44">
        <f t="shared" si="47"/>
        <v>357758.04798719997</v>
      </c>
      <c r="K161" s="43">
        <v>0</v>
      </c>
      <c r="L161" s="43">
        <f t="shared" si="41"/>
        <v>0</v>
      </c>
      <c r="M161" s="57">
        <f t="shared" si="39"/>
        <v>0</v>
      </c>
      <c r="N161" s="44">
        <f t="shared" si="42"/>
        <v>357758.04798719997</v>
      </c>
      <c r="O161" s="51">
        <f xml:space="preserve"> SUM($M$15:M160) + N161*((1+$C$6)^(-B161))</f>
        <v>132452.84396763687</v>
      </c>
      <c r="P161" s="51">
        <f t="shared" si="40"/>
        <v>149453.42231245479</v>
      </c>
      <c r="Q161" s="54"/>
      <c r="R161" s="54"/>
      <c r="S161" s="54"/>
      <c r="T161" s="54"/>
      <c r="U161" s="54"/>
      <c r="V161" s="63">
        <f t="shared" si="43"/>
        <v>5077.5540247301487</v>
      </c>
      <c r="W161" s="63">
        <f t="shared" si="44"/>
        <v>7608.1720544948212</v>
      </c>
      <c r="X161" s="63" t="str">
        <f t="shared" si="45"/>
        <v>MOC &gt; MIV</v>
      </c>
      <c r="Y161" s="65">
        <f xml:space="preserve"> (SUM($D$15:D160) + H161)/B161</f>
        <v>13.559589041095888</v>
      </c>
      <c r="Z161" s="65">
        <f xml:space="preserve"> 'Growth &amp; yield data'!F163 - 'Growth &amp; yield data'!O162</f>
        <v>14</v>
      </c>
      <c r="AA161" s="117"/>
    </row>
    <row r="162" spans="1:27" x14ac:dyDescent="0.3">
      <c r="A162" s="31">
        <v>149</v>
      </c>
      <c r="B162" s="31">
        <v>147</v>
      </c>
      <c r="C162" s="43">
        <f xml:space="preserve"> 'Growth &amp; yield data'!G163</f>
        <v>0</v>
      </c>
      <c r="D162" s="43">
        <f xml:space="preserve"> 'Growth &amp; yield data'!J163</f>
        <v>0</v>
      </c>
      <c r="E162" s="43">
        <v>0</v>
      </c>
      <c r="F162" s="43">
        <f t="shared" si="38"/>
        <v>0</v>
      </c>
      <c r="G162" s="44">
        <f xml:space="preserve"> 'Growth &amp; yield data'!C163</f>
        <v>78.599999999999994</v>
      </c>
      <c r="H162" s="44">
        <f xml:space="preserve"> 'Growth &amp; yield data'!F163</f>
        <v>839.4</v>
      </c>
      <c r="I162" s="43">
        <f t="shared" si="46"/>
        <v>432.34663488479998</v>
      </c>
      <c r="J162" s="44">
        <f t="shared" si="47"/>
        <v>362911.76532230107</v>
      </c>
      <c r="K162" s="43">
        <v>0</v>
      </c>
      <c r="L162" s="43">
        <f t="shared" si="41"/>
        <v>0</v>
      </c>
      <c r="M162" s="57">
        <f t="shared" si="39"/>
        <v>0</v>
      </c>
      <c r="N162" s="44">
        <f t="shared" si="42"/>
        <v>362911.76532230107</v>
      </c>
      <c r="O162" s="51">
        <f xml:space="preserve"> SUM($M$15:M161) + N162*((1+$C$6)^(-B162))</f>
        <v>132429.01177015511</v>
      </c>
      <c r="P162" s="51">
        <f t="shared" si="40"/>
        <v>149143.63160283005</v>
      </c>
      <c r="Q162" s="54"/>
      <c r="R162" s="54"/>
      <c r="S162" s="54"/>
      <c r="T162" s="54"/>
      <c r="U162" s="54"/>
      <c r="V162" s="63">
        <f t="shared" si="43"/>
        <v>5039.4282827189936</v>
      </c>
      <c r="W162" s="63">
        <f t="shared" si="44"/>
        <v>7680.8309538769663</v>
      </c>
      <c r="X162" s="63" t="str">
        <f t="shared" si="45"/>
        <v>MOC &gt; MIV</v>
      </c>
      <c r="Y162" s="65">
        <f xml:space="preserve"> (SUM($D$15:D161) + H162)/B162</f>
        <v>13.562585034013605</v>
      </c>
      <c r="Z162" s="65">
        <f xml:space="preserve"> 'Growth &amp; yield data'!F164 - 'Growth &amp; yield data'!O163</f>
        <v>14.100000000000023</v>
      </c>
      <c r="AA162" s="117"/>
    </row>
    <row r="163" spans="1:27" x14ac:dyDescent="0.3">
      <c r="A163" s="31">
        <v>150</v>
      </c>
      <c r="B163" s="31">
        <v>148</v>
      </c>
      <c r="C163" s="43">
        <f xml:space="preserve"> 'Growth &amp; yield data'!G164</f>
        <v>76.8</v>
      </c>
      <c r="D163" s="43">
        <f xml:space="preserve"> 'Growth &amp; yield data'!J164</f>
        <v>164.7</v>
      </c>
      <c r="E163" s="43">
        <f xml:space="preserve">  $F$10*(C163^4) + $F$9*(C163^3) + $F$8*(C163^2) + $F$7*C163 + $F$6</f>
        <v>435.43663649279995</v>
      </c>
      <c r="F163" s="43">
        <f t="shared" si="38"/>
        <v>71716.414030364147</v>
      </c>
      <c r="G163" s="44">
        <f xml:space="preserve"> 'Growth &amp; yield data'!C164</f>
        <v>79.2</v>
      </c>
      <c r="H163" s="44">
        <f xml:space="preserve"> 'Growth &amp; yield data'!F164</f>
        <v>853.5</v>
      </c>
      <c r="I163" s="43">
        <f t="shared" si="46"/>
        <v>431.19717050880007</v>
      </c>
      <c r="J163" s="44">
        <f t="shared" si="47"/>
        <v>368026.78502926085</v>
      </c>
      <c r="K163" s="43">
        <v>0</v>
      </c>
      <c r="L163" s="43">
        <f t="shared" si="41"/>
        <v>71716.414030364147</v>
      </c>
      <c r="M163" s="57">
        <f t="shared" si="39"/>
        <v>7918.5253779269933</v>
      </c>
      <c r="N163" s="44">
        <f t="shared" si="42"/>
        <v>368026.78502926085</v>
      </c>
      <c r="O163" s="51">
        <f xml:space="preserve"> SUM($M$15:M162) + N163*((1+$C$6)^(-B163))</f>
        <v>132392.72332723974</v>
      </c>
      <c r="P163" s="51">
        <f t="shared" si="40"/>
        <v>148825.16586826052</v>
      </c>
      <c r="Q163" s="54"/>
      <c r="R163" s="54"/>
      <c r="S163" s="54"/>
      <c r="T163" s="54"/>
      <c r="U163" s="54"/>
      <c r="V163" s="63">
        <f t="shared" si="43"/>
        <v>6037.1762629827572</v>
      </c>
      <c r="W163" s="63">
        <f t="shared" si="44"/>
        <v>7752.7792634628195</v>
      </c>
      <c r="X163" s="63" t="str">
        <f t="shared" si="45"/>
        <v>MOC &gt; MIV</v>
      </c>
      <c r="Y163" s="65">
        <f xml:space="preserve"> (SUM($D$15:D162) + H163)/B163</f>
        <v>13.566216216216215</v>
      </c>
      <c r="Z163" s="65">
        <f xml:space="preserve"> 'Growth &amp; yield data'!F165 - 'Growth &amp; yield data'!O164</f>
        <v>14.5</v>
      </c>
      <c r="AA163" s="117"/>
    </row>
    <row r="164" spans="1:27" x14ac:dyDescent="0.3">
      <c r="A164" s="31">
        <v>151</v>
      </c>
      <c r="B164" s="31">
        <v>149</v>
      </c>
      <c r="C164" s="43">
        <f xml:space="preserve"> 'Growth &amp; yield data'!G165</f>
        <v>0</v>
      </c>
      <c r="D164" s="43">
        <f xml:space="preserve"> 'Growth &amp; yield data'!J165</f>
        <v>0</v>
      </c>
      <c r="E164" s="43">
        <v>0</v>
      </c>
      <c r="F164" s="43">
        <f t="shared" si="38"/>
        <v>0</v>
      </c>
      <c r="G164" s="44">
        <f xml:space="preserve"> 'Growth &amp; yield data'!C165</f>
        <v>80.5</v>
      </c>
      <c r="H164" s="44">
        <f xml:space="preserve"> 'Growth &amp; yield data'!F165</f>
        <v>703.3</v>
      </c>
      <c r="I164" s="43">
        <f t="shared" si="46"/>
        <v>428.4975951875</v>
      </c>
      <c r="J164" s="44">
        <f t="shared" si="47"/>
        <v>301362.35869536875</v>
      </c>
      <c r="K164" s="43">
        <v>0</v>
      </c>
      <c r="L164" s="43">
        <f t="shared" si="41"/>
        <v>0</v>
      </c>
      <c r="M164" s="57">
        <f t="shared" si="39"/>
        <v>0</v>
      </c>
      <c r="N164" s="44">
        <f t="shared" si="42"/>
        <v>301362.35869536875</v>
      </c>
      <c r="O164" s="51">
        <f xml:space="preserve"> SUM($M$15:M163) + N164*((1+$C$6)^(-B164))</f>
        <v>132458.79053667706</v>
      </c>
      <c r="P164" s="51">
        <f t="shared" si="40"/>
        <v>148626.81159193238</v>
      </c>
      <c r="Q164" s="54"/>
      <c r="R164" s="54"/>
      <c r="S164" s="54"/>
      <c r="T164" s="54"/>
      <c r="U164" s="54"/>
      <c r="V164" s="63">
        <f t="shared" si="43"/>
        <v>4545.7919827927362</v>
      </c>
      <c r="W164" s="63">
        <f t="shared" si="44"/>
        <v>6749.8375543095162</v>
      </c>
      <c r="X164" s="63" t="str">
        <f t="shared" si="45"/>
        <v>MOC &gt; MIV</v>
      </c>
      <c r="Y164" s="65">
        <f xml:space="preserve"> (SUM($D$15:D163) + H164)/B164</f>
        <v>13.57248322147651</v>
      </c>
      <c r="Z164" s="65">
        <f xml:space="preserve"> 'Growth &amp; yield data'!F166 - 'Growth &amp; yield data'!O165</f>
        <v>13.400000000000091</v>
      </c>
      <c r="AA164" s="117"/>
    </row>
    <row r="165" spans="1:27" x14ac:dyDescent="0.3">
      <c r="A165" s="31">
        <v>152</v>
      </c>
      <c r="B165" s="31">
        <v>150</v>
      </c>
      <c r="C165" s="43">
        <f xml:space="preserve"> 'Growth &amp; yield data'!G166</f>
        <v>0</v>
      </c>
      <c r="D165" s="43">
        <f xml:space="preserve"> 'Growth &amp; yield data'!J166</f>
        <v>0</v>
      </c>
      <c r="E165" s="43">
        <v>0</v>
      </c>
      <c r="F165" s="43">
        <f t="shared" si="38"/>
        <v>0</v>
      </c>
      <c r="G165" s="44">
        <f xml:space="preserve"> 'Growth &amp; yield data'!C166</f>
        <v>81.2</v>
      </c>
      <c r="H165" s="44">
        <f xml:space="preserve"> 'Growth &amp; yield data'!F166</f>
        <v>716.7</v>
      </c>
      <c r="I165" s="43">
        <f t="shared" si="46"/>
        <v>426.92386990080001</v>
      </c>
      <c r="J165" s="44">
        <f t="shared" si="47"/>
        <v>305976.33755790337</v>
      </c>
      <c r="K165" s="43">
        <v>0</v>
      </c>
      <c r="L165" s="43">
        <f t="shared" si="41"/>
        <v>0</v>
      </c>
      <c r="M165" s="57">
        <f t="shared" si="39"/>
        <v>0</v>
      </c>
      <c r="N165" s="44">
        <f t="shared" si="42"/>
        <v>305976.33755790337</v>
      </c>
      <c r="O165" s="51">
        <f xml:space="preserve"> SUM($M$15:M164) + N165*((1+$C$6)^(-B165))</f>
        <v>132468.81606330595</v>
      </c>
      <c r="P165" s="51">
        <f t="shared" si="40"/>
        <v>148370.42231530233</v>
      </c>
      <c r="Q165" s="54"/>
      <c r="R165" s="54"/>
      <c r="S165" s="54"/>
      <c r="T165" s="54"/>
      <c r="U165" s="54"/>
      <c r="V165" s="63">
        <f t="shared" si="43"/>
        <v>4484.8396423870927</v>
      </c>
      <c r="W165" s="63">
        <f t="shared" si="44"/>
        <v>6815.2013980980846</v>
      </c>
      <c r="X165" s="63" t="str">
        <f t="shared" si="45"/>
        <v>MOC &gt; MIV</v>
      </c>
      <c r="Y165" s="65">
        <f xml:space="preserve"> (SUM($D$15:D164) + H165)/B165</f>
        <v>13.571333333333333</v>
      </c>
      <c r="Z165" s="65">
        <f xml:space="preserve"> 'Growth &amp; yield data'!F167 - 'Growth &amp; yield data'!O166</f>
        <v>13.5</v>
      </c>
      <c r="AA165" s="117"/>
    </row>
    <row r="166" spans="1:27" x14ac:dyDescent="0.3">
      <c r="A166" s="31">
        <v>153</v>
      </c>
      <c r="B166" s="31">
        <v>151</v>
      </c>
      <c r="C166" s="43">
        <f xml:space="preserve"> 'Growth &amp; yield data'!G167</f>
        <v>0</v>
      </c>
      <c r="D166" s="43">
        <f xml:space="preserve"> 'Growth &amp; yield data'!J167</f>
        <v>0</v>
      </c>
      <c r="E166" s="43">
        <v>0</v>
      </c>
      <c r="F166" s="43">
        <f t="shared" si="38"/>
        <v>0</v>
      </c>
      <c r="G166" s="44">
        <f xml:space="preserve"> 'Growth &amp; yield data'!C167</f>
        <v>81.900000000000006</v>
      </c>
      <c r="H166" s="44">
        <f xml:space="preserve"> 'Growth &amp; yield data'!F167</f>
        <v>730.2</v>
      </c>
      <c r="I166" s="43">
        <f t="shared" si="46"/>
        <v>425.2649271363</v>
      </c>
      <c r="J166" s="44">
        <f t="shared" si="47"/>
        <v>310528.44979492627</v>
      </c>
      <c r="K166" s="43">
        <v>0</v>
      </c>
      <c r="L166" s="43">
        <f t="shared" si="41"/>
        <v>0</v>
      </c>
      <c r="M166" s="57">
        <f t="shared" si="39"/>
        <v>0</v>
      </c>
      <c r="N166" s="44">
        <f t="shared" si="42"/>
        <v>310528.44979492627</v>
      </c>
      <c r="O166" s="51">
        <f xml:space="preserve"> SUM($M$15:M165) + N166*((1+$C$6)^(-B166))</f>
        <v>132464.85292809195</v>
      </c>
      <c r="P166" s="51">
        <f t="shared" si="40"/>
        <v>148103.24892036468</v>
      </c>
      <c r="Q166" s="54"/>
      <c r="R166" s="54"/>
      <c r="S166" s="54"/>
      <c r="T166" s="54"/>
      <c r="U166" s="54"/>
      <c r="V166" s="63">
        <f t="shared" si="43"/>
        <v>4377.6350510946659</v>
      </c>
      <c r="W166" s="63">
        <f t="shared" si="44"/>
        <v>6879.4754807293648</v>
      </c>
      <c r="X166" s="63" t="str">
        <f t="shared" si="45"/>
        <v>MOC &gt; MIV</v>
      </c>
      <c r="Y166" s="65">
        <f xml:space="preserve"> (SUM($D$15:D165) + H166)/B166</f>
        <v>13.570860927152317</v>
      </c>
      <c r="Z166" s="65">
        <f xml:space="preserve"> 'Growth &amp; yield data'!F168 - 'Growth &amp; yield data'!O167</f>
        <v>13.5</v>
      </c>
      <c r="AA166" s="117"/>
    </row>
    <row r="167" spans="1:27" x14ac:dyDescent="0.3">
      <c r="A167" s="31">
        <v>154</v>
      </c>
      <c r="B167" s="31">
        <v>152</v>
      </c>
      <c r="C167" s="43">
        <f xml:space="preserve"> 'Growth &amp; yield data'!G168</f>
        <v>0</v>
      </c>
      <c r="D167" s="43">
        <f xml:space="preserve"> 'Growth &amp; yield data'!J168</f>
        <v>0</v>
      </c>
      <c r="E167" s="43">
        <v>0</v>
      </c>
      <c r="F167" s="43">
        <f t="shared" si="38"/>
        <v>0</v>
      </c>
      <c r="G167" s="44">
        <f xml:space="preserve"> 'Growth &amp; yield data'!C168</f>
        <v>82.6</v>
      </c>
      <c r="H167" s="44">
        <f xml:space="preserve"> 'Growth &amp; yield data'!F168</f>
        <v>743.7</v>
      </c>
      <c r="I167" s="43">
        <f t="shared" si="46"/>
        <v>423.51989965279995</v>
      </c>
      <c r="J167" s="44">
        <f t="shared" si="47"/>
        <v>314971.74937178736</v>
      </c>
      <c r="K167" s="43">
        <v>0</v>
      </c>
      <c r="L167" s="43">
        <f t="shared" si="41"/>
        <v>0</v>
      </c>
      <c r="M167" s="57">
        <f t="shared" si="39"/>
        <v>0</v>
      </c>
      <c r="N167" s="44">
        <f t="shared" si="42"/>
        <v>314971.74937178736</v>
      </c>
      <c r="O167" s="51">
        <f xml:space="preserve"> SUM($M$15:M166) + N167*((1+$C$6)^(-B167))</f>
        <v>132442.52511040305</v>
      </c>
      <c r="P167" s="51">
        <f t="shared" si="40"/>
        <v>147820.38529774625</v>
      </c>
      <c r="Q167" s="54"/>
      <c r="R167" s="54"/>
      <c r="S167" s="54"/>
      <c r="T167" s="54"/>
      <c r="U167" s="54"/>
      <c r="V167" s="63">
        <f t="shared" si="43"/>
        <v>4307.9070878430193</v>
      </c>
      <c r="W167" s="63">
        <f t="shared" si="44"/>
        <v>6941.8820200430036</v>
      </c>
      <c r="X167" s="63" t="str">
        <f t="shared" si="45"/>
        <v>MOC &gt; MIV</v>
      </c>
      <c r="Y167" s="65">
        <f xml:space="preserve"> (SUM($D$15:D166) + H167)/B167</f>
        <v>13.570394736842104</v>
      </c>
      <c r="Z167" s="65">
        <f xml:space="preserve"> 'Growth &amp; yield data'!F169 - 'Growth &amp; yield data'!O168</f>
        <v>13.599999999999909</v>
      </c>
      <c r="AA167" s="117"/>
    </row>
    <row r="168" spans="1:27" x14ac:dyDescent="0.3">
      <c r="A168" s="31">
        <v>155</v>
      </c>
      <c r="B168" s="31">
        <v>153</v>
      </c>
      <c r="C168" s="43">
        <f xml:space="preserve"> 'Growth &amp; yield data'!G169</f>
        <v>0</v>
      </c>
      <c r="D168" s="43">
        <f xml:space="preserve"> 'Growth &amp; yield data'!J169</f>
        <v>0</v>
      </c>
      <c r="E168" s="43">
        <v>0</v>
      </c>
      <c r="F168" s="43">
        <f t="shared" si="38"/>
        <v>0</v>
      </c>
      <c r="G168" s="44">
        <f xml:space="preserve"> 'Growth &amp; yield data'!C169</f>
        <v>83.3</v>
      </c>
      <c r="H168" s="44">
        <f xml:space="preserve"> 'Growth &amp; yield data'!F169</f>
        <v>757.3</v>
      </c>
      <c r="I168" s="43">
        <f t="shared" si="46"/>
        <v>421.68793749630004</v>
      </c>
      <c r="J168" s="44">
        <f t="shared" si="47"/>
        <v>319344.27506594802</v>
      </c>
      <c r="K168" s="43">
        <v>0</v>
      </c>
      <c r="L168" s="43">
        <f t="shared" si="41"/>
        <v>0</v>
      </c>
      <c r="M168" s="57">
        <f t="shared" si="39"/>
        <v>0</v>
      </c>
      <c r="N168" s="44">
        <f t="shared" si="42"/>
        <v>319344.27506594802</v>
      </c>
      <c r="O168" s="51">
        <f xml:space="preserve"> SUM($M$15:M167) + N168*((1+$C$6)^(-B168))</f>
        <v>132406.44228319611</v>
      </c>
      <c r="P168" s="51">
        <f t="shared" si="40"/>
        <v>147526.9703863374</v>
      </c>
      <c r="Q168" s="54"/>
      <c r="R168" s="54"/>
      <c r="S168" s="54"/>
      <c r="T168" s="54"/>
      <c r="U168" s="54"/>
      <c r="V168" s="63">
        <f t="shared" si="43"/>
        <v>4233.5106424156929</v>
      </c>
      <c r="W168" s="63">
        <f t="shared" si="44"/>
        <v>7003.0686817842807</v>
      </c>
      <c r="X168" s="63" t="str">
        <f t="shared" si="45"/>
        <v>MOC &gt; MIV</v>
      </c>
      <c r="Y168" s="65">
        <f xml:space="preserve"> (SUM($D$15:D167) + H168)/B168</f>
        <v>13.570588235294119</v>
      </c>
      <c r="Z168" s="65">
        <f xml:space="preserve"> 'Growth &amp; yield data'!F170 - 'Growth &amp; yield data'!O169</f>
        <v>13.700000000000045</v>
      </c>
      <c r="AA168" s="117"/>
    </row>
    <row r="169" spans="1:27" x14ac:dyDescent="0.3">
      <c r="A169" s="31">
        <v>156</v>
      </c>
      <c r="B169" s="31">
        <v>154</v>
      </c>
      <c r="C169" s="43">
        <f xml:space="preserve"> 'Growth &amp; yield data'!G170</f>
        <v>0</v>
      </c>
      <c r="D169" s="43">
        <f xml:space="preserve"> 'Growth &amp; yield data'!J170</f>
        <v>0</v>
      </c>
      <c r="E169" s="43">
        <v>0</v>
      </c>
      <c r="F169" s="43">
        <f t="shared" si="38"/>
        <v>0</v>
      </c>
      <c r="G169" s="44">
        <f xml:space="preserve"> 'Growth &amp; yield data'!C170</f>
        <v>84</v>
      </c>
      <c r="H169" s="44">
        <f xml:space="preserve"> 'Growth &amp; yield data'!F170</f>
        <v>771</v>
      </c>
      <c r="I169" s="43">
        <f t="shared" si="46"/>
        <v>419.7682079999999</v>
      </c>
      <c r="J169" s="44">
        <f t="shared" si="47"/>
        <v>323641.28836799995</v>
      </c>
      <c r="K169" s="43">
        <v>0</v>
      </c>
      <c r="L169" s="43">
        <f t="shared" si="41"/>
        <v>0</v>
      </c>
      <c r="M169" s="57">
        <f t="shared" si="39"/>
        <v>0</v>
      </c>
      <c r="N169" s="44">
        <f t="shared" si="42"/>
        <v>323641.28836799995</v>
      </c>
      <c r="O169" s="51">
        <f xml:space="preserve"> SUM($M$15:M168) + N169*((1+$C$6)^(-B169))</f>
        <v>132356.64458638817</v>
      </c>
      <c r="P169" s="51">
        <f t="shared" si="40"/>
        <v>147223.02457632811</v>
      </c>
      <c r="Q169" s="54"/>
      <c r="R169" s="54"/>
      <c r="S169" s="54"/>
      <c r="T169" s="54"/>
      <c r="U169" s="54"/>
      <c r="V169" s="63">
        <f t="shared" si="43"/>
        <v>4154.3624074074442</v>
      </c>
      <c r="W169" s="63">
        <f t="shared" si="44"/>
        <v>7062.9646941649207</v>
      </c>
      <c r="X169" s="63" t="str">
        <f t="shared" si="45"/>
        <v>MOC &gt; MIV</v>
      </c>
      <c r="Y169" s="65">
        <f xml:space="preserve"> (SUM($D$15:D168) + H169)/B169</f>
        <v>13.571428571428571</v>
      </c>
      <c r="Z169" s="65">
        <f xml:space="preserve"> 'Growth &amp; yield data'!F171 - 'Growth &amp; yield data'!O170</f>
        <v>13.799999999999955</v>
      </c>
      <c r="AA169" s="117"/>
    </row>
    <row r="170" spans="1:27" x14ac:dyDescent="0.3">
      <c r="A170" s="31">
        <v>157</v>
      </c>
      <c r="B170" s="31">
        <v>155</v>
      </c>
      <c r="C170" s="43">
        <f xml:space="preserve"> 'Growth &amp; yield data'!G171</f>
        <v>0</v>
      </c>
      <c r="D170" s="43">
        <f xml:space="preserve"> 'Growth &amp; yield data'!J171</f>
        <v>0</v>
      </c>
      <c r="E170" s="43">
        <v>0</v>
      </c>
      <c r="F170" s="43">
        <f t="shared" si="38"/>
        <v>0</v>
      </c>
      <c r="G170" s="44">
        <f xml:space="preserve"> 'Growth &amp; yield data'!C171</f>
        <v>84.7</v>
      </c>
      <c r="H170" s="44">
        <f xml:space="preserve"> 'Growth &amp; yield data'!F171</f>
        <v>784.8</v>
      </c>
      <c r="I170" s="43">
        <f t="shared" si="46"/>
        <v>417.75989578429983</v>
      </c>
      <c r="J170" s="44">
        <f t="shared" si="47"/>
        <v>327857.96621151851</v>
      </c>
      <c r="K170" s="43">
        <v>0</v>
      </c>
      <c r="L170" s="43">
        <f t="shared" si="41"/>
        <v>0</v>
      </c>
      <c r="M170" s="57">
        <f t="shared" si="39"/>
        <v>0</v>
      </c>
      <c r="N170" s="44">
        <f t="shared" si="42"/>
        <v>327857.96621151851</v>
      </c>
      <c r="O170" s="51">
        <f xml:space="preserve"> SUM($M$15:M169) + N170*((1+$C$6)^(-B170))</f>
        <v>132293.1781235814</v>
      </c>
      <c r="P170" s="51">
        <f t="shared" si="40"/>
        <v>146908.57442182495</v>
      </c>
      <c r="Q170" s="54"/>
      <c r="R170" s="54"/>
      <c r="S170" s="54"/>
      <c r="T170" s="54"/>
      <c r="U170" s="54"/>
      <c r="V170" s="63">
        <f t="shared" si="43"/>
        <v>4029.4274975979829</v>
      </c>
      <c r="W170" s="63">
        <f t="shared" si="44"/>
        <v>7121.4981095001513</v>
      </c>
      <c r="X170" s="63" t="str">
        <f t="shared" si="45"/>
        <v>MOC &gt; MIV</v>
      </c>
      <c r="Y170" s="65">
        <f xml:space="preserve"> (SUM($D$15:D169) + H170)/B170</f>
        <v>13.572903225806453</v>
      </c>
      <c r="Z170" s="65">
        <f xml:space="preserve"> 'Growth &amp; yield data'!F172 - 'Growth &amp; yield data'!O171</f>
        <v>13.800000000000068</v>
      </c>
      <c r="AA170" s="117"/>
    </row>
    <row r="171" spans="1:27" x14ac:dyDescent="0.3">
      <c r="A171" s="31">
        <v>158</v>
      </c>
      <c r="B171" s="31">
        <v>156</v>
      </c>
      <c r="C171" s="43">
        <f xml:space="preserve"> 'Growth &amp; yield data'!G172</f>
        <v>0</v>
      </c>
      <c r="D171" s="43">
        <f xml:space="preserve"> 'Growth &amp; yield data'!J172</f>
        <v>0</v>
      </c>
      <c r="E171" s="43">
        <v>0</v>
      </c>
      <c r="F171" s="43">
        <f t="shared" si="38"/>
        <v>0</v>
      </c>
      <c r="G171" s="44">
        <f xml:space="preserve"> 'Growth &amp; yield data'!C172</f>
        <v>85.4</v>
      </c>
      <c r="H171" s="44">
        <f xml:space="preserve"> 'Growth &amp; yield data'!F172</f>
        <v>798.6</v>
      </c>
      <c r="I171" s="43">
        <f t="shared" si="46"/>
        <v>415.66220275679996</v>
      </c>
      <c r="J171" s="44">
        <f t="shared" si="47"/>
        <v>331947.83512158046</v>
      </c>
      <c r="K171" s="43">
        <v>0</v>
      </c>
      <c r="L171" s="43">
        <f t="shared" si="41"/>
        <v>0</v>
      </c>
      <c r="M171" s="57">
        <f t="shared" si="39"/>
        <v>0</v>
      </c>
      <c r="N171" s="44">
        <f t="shared" si="42"/>
        <v>331947.83512158046</v>
      </c>
      <c r="O171" s="51">
        <f xml:space="preserve"> SUM($M$15:M170) + N171*((1+$C$6)^(-B171))</f>
        <v>132212.02073732612</v>
      </c>
      <c r="P171" s="51">
        <f t="shared" si="40"/>
        <v>146579.13565481541</v>
      </c>
      <c r="Q171" s="54"/>
      <c r="R171" s="54"/>
      <c r="S171" s="54"/>
      <c r="T171" s="54"/>
      <c r="U171" s="54"/>
      <c r="V171" s="63">
        <f t="shared" si="43"/>
        <v>3900.221955519241</v>
      </c>
      <c r="W171" s="63">
        <f t="shared" si="44"/>
        <v>7177.904561645938</v>
      </c>
      <c r="X171" s="63" t="str">
        <f t="shared" si="45"/>
        <v>MOC &gt; MIV</v>
      </c>
      <c r="Y171" s="65">
        <f xml:space="preserve"> (SUM($D$15:D170) + H171)/B171</f>
        <v>13.574358974358974</v>
      </c>
      <c r="Z171" s="65">
        <f xml:space="preserve"> 'Growth &amp; yield data'!F173 - 'Growth &amp; yield data'!O172</f>
        <v>13.799999999999955</v>
      </c>
      <c r="AA171" s="117"/>
    </row>
    <row r="172" spans="1:27" x14ac:dyDescent="0.3">
      <c r="A172" s="31">
        <v>159</v>
      </c>
      <c r="B172" s="31">
        <v>157</v>
      </c>
      <c r="C172" s="43">
        <f xml:space="preserve"> 'Growth &amp; yield data'!G173</f>
        <v>0</v>
      </c>
      <c r="D172" s="43">
        <f xml:space="preserve"> 'Growth &amp; yield data'!J173</f>
        <v>0</v>
      </c>
      <c r="E172" s="43">
        <v>0</v>
      </c>
      <c r="F172" s="43">
        <f t="shared" si="38"/>
        <v>0</v>
      </c>
      <c r="G172" s="44">
        <f xml:space="preserve"> 'Growth &amp; yield data'!C173</f>
        <v>86.1</v>
      </c>
      <c r="H172" s="44">
        <f xml:space="preserve"> 'Growth &amp; yield data'!F173</f>
        <v>812.4</v>
      </c>
      <c r="I172" s="43">
        <f t="shared" si="46"/>
        <v>413.47434811229994</v>
      </c>
      <c r="J172" s="44">
        <f t="shared" si="47"/>
        <v>335906.56040643249</v>
      </c>
      <c r="K172" s="43">
        <v>0</v>
      </c>
      <c r="L172" s="43">
        <f t="shared" si="41"/>
        <v>0</v>
      </c>
      <c r="M172" s="57">
        <f t="shared" si="39"/>
        <v>0</v>
      </c>
      <c r="N172" s="44">
        <f t="shared" si="42"/>
        <v>335906.56040643249</v>
      </c>
      <c r="O172" s="51">
        <f xml:space="preserve"> SUM($M$15:M171) + N172*((1+$C$6)^(-B172))</f>
        <v>132113.47426683907</v>
      </c>
      <c r="P172" s="51">
        <f t="shared" si="40"/>
        <v>146235.03867492228</v>
      </c>
      <c r="Q172" s="54"/>
      <c r="R172" s="54"/>
      <c r="S172" s="54"/>
      <c r="T172" s="54"/>
      <c r="U172" s="54"/>
      <c r="V172" s="63">
        <f t="shared" si="43"/>
        <v>3807.2292679409256</v>
      </c>
      <c r="W172" s="63">
        <f t="shared" si="44"/>
        <v>7232.123986220322</v>
      </c>
      <c r="X172" s="63" t="str">
        <f t="shared" si="45"/>
        <v>MOC &gt; MIV</v>
      </c>
      <c r="Y172" s="65">
        <f xml:space="preserve"> (SUM($D$15:D171) + H172)/B172</f>
        <v>13.57579617834395</v>
      </c>
      <c r="Z172" s="65">
        <f xml:space="preserve"> 'Growth &amp; yield data'!F174 - 'Growth &amp; yield data'!O173</f>
        <v>13.899999999999977</v>
      </c>
      <c r="AA172" s="117"/>
    </row>
    <row r="173" spans="1:27" x14ac:dyDescent="0.3">
      <c r="A173" s="31">
        <v>160</v>
      </c>
      <c r="B173" s="31">
        <v>158</v>
      </c>
      <c r="C173" s="43">
        <f xml:space="preserve"> 'Growth &amp; yield data'!G174</f>
        <v>0</v>
      </c>
      <c r="D173" s="43">
        <f xml:space="preserve"> 'Growth &amp; yield data'!J174</f>
        <v>0</v>
      </c>
      <c r="E173" s="43">
        <v>0</v>
      </c>
      <c r="F173" s="43">
        <f t="shared" si="38"/>
        <v>0</v>
      </c>
      <c r="G173" s="44">
        <f xml:space="preserve"> 'Growth &amp; yield data'!C174</f>
        <v>86.8</v>
      </c>
      <c r="H173" s="44">
        <f xml:space="preserve"> 'Growth &amp; yield data'!F174</f>
        <v>826.3</v>
      </c>
      <c r="I173" s="43">
        <f t="shared" si="46"/>
        <v>411.19556833279989</v>
      </c>
      <c r="J173" s="44">
        <f t="shared" si="47"/>
        <v>339770.89811339253</v>
      </c>
      <c r="K173" s="43">
        <v>0</v>
      </c>
      <c r="L173" s="43">
        <f t="shared" si="41"/>
        <v>0</v>
      </c>
      <c r="M173" s="57">
        <f t="shared" si="39"/>
        <v>0</v>
      </c>
      <c r="N173" s="44">
        <f t="shared" si="42"/>
        <v>339770.89811339253</v>
      </c>
      <c r="O173" s="51">
        <f xml:space="preserve"> SUM($M$15:M172) + N173*((1+$C$6)^(-B173))</f>
        <v>132001.7545437658</v>
      </c>
      <c r="P173" s="51">
        <f t="shared" si="40"/>
        <v>145880.93642478323</v>
      </c>
      <c r="Q173" s="54"/>
      <c r="R173" s="54"/>
      <c r="S173" s="54"/>
      <c r="T173" s="54"/>
      <c r="U173" s="54"/>
      <c r="V173" s="63">
        <f t="shared" si="43"/>
        <v>3994.229725500732</v>
      </c>
      <c r="W173" s="63">
        <f t="shared" si="44"/>
        <v>7284.7775180726358</v>
      </c>
      <c r="X173" s="63" t="str">
        <f t="shared" si="45"/>
        <v>MOC &gt; MIV</v>
      </c>
      <c r="Y173" s="65">
        <f xml:space="preserve"> (SUM($D$15:D172) + H173)/B173</f>
        <v>13.577848101265824</v>
      </c>
      <c r="Z173" s="65">
        <f xml:space="preserve"> 'Growth &amp; yield data'!F175 - 'Growth &amp; yield data'!O174</f>
        <v>14</v>
      </c>
      <c r="AA173" s="117"/>
    </row>
    <row r="174" spans="1:27" x14ac:dyDescent="0.3">
      <c r="A174" s="31">
        <v>161</v>
      </c>
      <c r="B174" s="31">
        <v>159</v>
      </c>
      <c r="C174" s="43">
        <f xml:space="preserve"> 'Growth &amp; yield data'!G175</f>
        <v>0</v>
      </c>
      <c r="D174" s="43">
        <f xml:space="preserve"> 'Growth &amp; yield data'!J175</f>
        <v>0</v>
      </c>
      <c r="E174" s="43">
        <v>0</v>
      </c>
      <c r="F174" s="43">
        <f t="shared" si="38"/>
        <v>0</v>
      </c>
      <c r="G174" s="44">
        <f xml:space="preserve"> 'Growth &amp; yield data'!C175</f>
        <v>87.4</v>
      </c>
      <c r="H174" s="44">
        <f xml:space="preserve"> 'Growth &amp; yield data'!F175</f>
        <v>840.3</v>
      </c>
      <c r="I174" s="43">
        <f t="shared" si="46"/>
        <v>409.16939341279993</v>
      </c>
      <c r="J174" s="44">
        <f t="shared" si="47"/>
        <v>343825.04128477577</v>
      </c>
      <c r="K174" s="43">
        <v>0</v>
      </c>
      <c r="L174" s="43">
        <f t="shared" si="41"/>
        <v>0</v>
      </c>
      <c r="M174" s="57">
        <f t="shared" si="39"/>
        <v>0</v>
      </c>
      <c r="N174" s="44">
        <f t="shared" si="42"/>
        <v>343825.04128477577</v>
      </c>
      <c r="O174" s="51">
        <f xml:space="preserve"> SUM($M$15:M173) + N174*((1+$C$6)^(-B174))</f>
        <v>131904.04383968911</v>
      </c>
      <c r="P174" s="51">
        <f t="shared" si="40"/>
        <v>145546.79399849116</v>
      </c>
      <c r="Q174" s="54"/>
      <c r="R174" s="54"/>
      <c r="S174" s="54"/>
      <c r="T174" s="54"/>
      <c r="U174" s="54"/>
      <c r="V174" s="63">
        <f t="shared" si="43"/>
        <v>3581.942733770737</v>
      </c>
      <c r="W174" s="63">
        <f t="shared" si="44"/>
        <v>7340.5775292490043</v>
      </c>
      <c r="X174" s="63" t="str">
        <f t="shared" si="45"/>
        <v>MOC &gt; MIV</v>
      </c>
      <c r="Y174" s="65">
        <f xml:space="preserve"> (SUM($D$15:D173) + H174)/B174</f>
        <v>13.58050314465409</v>
      </c>
      <c r="Z174" s="65">
        <f xml:space="preserve"> 'Growth &amp; yield data'!F176 - 'Growth &amp; yield data'!O175</f>
        <v>14</v>
      </c>
      <c r="AA174" s="117"/>
    </row>
    <row r="175" spans="1:27" x14ac:dyDescent="0.3">
      <c r="A175" s="31">
        <v>162</v>
      </c>
      <c r="B175" s="31">
        <v>160</v>
      </c>
      <c r="C175" s="43">
        <f xml:space="preserve"> 'Growth &amp; yield data'!G176</f>
        <v>0</v>
      </c>
      <c r="D175" s="43">
        <f xml:space="preserve"> 'Growth &amp; yield data'!J176</f>
        <v>0</v>
      </c>
      <c r="E175" s="43">
        <v>0</v>
      </c>
      <c r="F175" s="43">
        <f t="shared" ref="F175:F206" si="48" xml:space="preserve"> D175*E175</f>
        <v>0</v>
      </c>
      <c r="G175" s="44">
        <f xml:space="preserve"> 'Growth &amp; yield data'!C176</f>
        <v>88.1</v>
      </c>
      <c r="H175" s="44">
        <f xml:space="preserve"> 'Growth &amp; yield data'!F176</f>
        <v>854.3</v>
      </c>
      <c r="I175" s="43">
        <f t="shared" si="46"/>
        <v>406.71978597629999</v>
      </c>
      <c r="J175" s="44">
        <f t="shared" si="47"/>
        <v>347460.71315955307</v>
      </c>
      <c r="K175" s="43">
        <v>0</v>
      </c>
      <c r="L175" s="43">
        <f t="shared" si="41"/>
        <v>0</v>
      </c>
      <c r="M175" s="57">
        <f t="shared" ref="M175:M206" si="49">L175*((1+$C$6)^(-B175))</f>
        <v>0</v>
      </c>
      <c r="N175" s="44">
        <f t="shared" si="42"/>
        <v>347460.71315955307</v>
      </c>
      <c r="O175" s="51">
        <f xml:space="preserve"> SUM($M$15:M174) + N175*((1+$C$6)^(-B175))</f>
        <v>131763.51568307352</v>
      </c>
      <c r="P175" s="51">
        <f t="shared" ref="P175:P206" si="50" xml:space="preserve"> O175/(1-((1+$C$6)^(-B175)))</f>
        <v>145169.83717516848</v>
      </c>
      <c r="Q175" s="54"/>
      <c r="R175" s="54"/>
      <c r="S175" s="54"/>
      <c r="T175" s="54"/>
      <c r="U175" s="54"/>
      <c r="V175" s="63">
        <f t="shared" si="43"/>
        <v>3434.7991167837208</v>
      </c>
      <c r="W175" s="63">
        <f t="shared" si="44"/>
        <v>7389.4582550208233</v>
      </c>
      <c r="X175" s="63" t="str">
        <f t="shared" si="45"/>
        <v>MOC &gt; MIV</v>
      </c>
      <c r="Y175" s="65">
        <f xml:space="preserve"> (SUM($D$15:D174) + H175)/B175</f>
        <v>13.583125000000001</v>
      </c>
      <c r="Z175" s="65">
        <f xml:space="preserve"> 'Growth &amp; yield data'!F177 - 'Growth &amp; yield data'!O176</f>
        <v>14</v>
      </c>
      <c r="AA175" s="117"/>
    </row>
    <row r="176" spans="1:27" x14ac:dyDescent="0.3">
      <c r="A176" s="31">
        <v>163</v>
      </c>
      <c r="B176" s="31">
        <v>161</v>
      </c>
      <c r="C176" s="43">
        <f xml:space="preserve"> 'Growth &amp; yield data'!G177</f>
        <v>0</v>
      </c>
      <c r="D176" s="43">
        <f xml:space="preserve"> 'Growth &amp; yield data'!J177</f>
        <v>0</v>
      </c>
      <c r="E176" s="43">
        <v>0</v>
      </c>
      <c r="F176" s="43">
        <f t="shared" si="48"/>
        <v>0</v>
      </c>
      <c r="G176" s="44">
        <f xml:space="preserve"> 'Growth &amp; yield data'!C177</f>
        <v>88.8</v>
      </c>
      <c r="H176" s="44">
        <f xml:space="preserve"> 'Growth &amp; yield data'!F177</f>
        <v>868.3</v>
      </c>
      <c r="I176" s="43">
        <f t="shared" si="46"/>
        <v>404.17716718079993</v>
      </c>
      <c r="J176" s="44">
        <f t="shared" si="47"/>
        <v>350947.03426308854</v>
      </c>
      <c r="K176" s="43">
        <v>0</v>
      </c>
      <c r="L176" s="43">
        <f t="shared" si="41"/>
        <v>0</v>
      </c>
      <c r="M176" s="57">
        <f t="shared" si="49"/>
        <v>0</v>
      </c>
      <c r="N176" s="44">
        <f t="shared" si="42"/>
        <v>350947.03426308854</v>
      </c>
      <c r="O176" s="51">
        <f xml:space="preserve"> SUM($M$15:M175) + N176*((1+$C$6)^(-B176))</f>
        <v>131606.51385436361</v>
      </c>
      <c r="P176" s="51">
        <f t="shared" si="50"/>
        <v>144779.16750139921</v>
      </c>
      <c r="Q176" s="54"/>
      <c r="R176" s="54"/>
      <c r="S176" s="54"/>
      <c r="T176" s="54"/>
      <c r="U176" s="54"/>
      <c r="V176" s="63">
        <f t="shared" si="43"/>
        <v>3655.1885677600776</v>
      </c>
      <c r="W176" s="63">
        <f t="shared" si="44"/>
        <v>7435.8930264673163</v>
      </c>
      <c r="X176" s="63" t="str">
        <f t="shared" si="45"/>
        <v>MOC &gt; MIV</v>
      </c>
      <c r="Y176" s="65">
        <f xml:space="preserve"> (SUM($D$15:D175) + H176)/B176</f>
        <v>13.585714285714287</v>
      </c>
      <c r="Z176" s="65">
        <f xml:space="preserve"> 'Growth &amp; yield data'!F178 - 'Growth &amp; yield data'!O177</f>
        <v>14.100000000000023</v>
      </c>
      <c r="AA176" s="117"/>
    </row>
    <row r="177" spans="1:27" x14ac:dyDescent="0.3">
      <c r="A177" s="31">
        <v>164</v>
      </c>
      <c r="B177" s="31">
        <v>162</v>
      </c>
      <c r="C177" s="43">
        <f xml:space="preserve"> 'Growth &amp; yield data'!G178</f>
        <v>0</v>
      </c>
      <c r="D177" s="43">
        <f xml:space="preserve"> 'Growth &amp; yield data'!J178</f>
        <v>0</v>
      </c>
      <c r="E177" s="43">
        <v>0</v>
      </c>
      <c r="F177" s="43">
        <f t="shared" si="48"/>
        <v>0</v>
      </c>
      <c r="G177" s="44">
        <f xml:space="preserve"> 'Growth &amp; yield data'!C178</f>
        <v>89.4</v>
      </c>
      <c r="H177" s="44">
        <f xml:space="preserve"> 'Growth &amp; yield data'!F178</f>
        <v>882.4</v>
      </c>
      <c r="I177" s="43">
        <f t="shared" si="46"/>
        <v>401.92322150879988</v>
      </c>
      <c r="J177" s="44">
        <f t="shared" si="47"/>
        <v>354657.05065936502</v>
      </c>
      <c r="K177" s="43">
        <v>0</v>
      </c>
      <c r="L177" s="43">
        <f t="shared" si="41"/>
        <v>0</v>
      </c>
      <c r="M177" s="57">
        <f t="shared" si="49"/>
        <v>0</v>
      </c>
      <c r="N177" s="44">
        <f t="shared" si="42"/>
        <v>354657.05065936502</v>
      </c>
      <c r="O177" s="51">
        <f xml:space="preserve"> SUM($M$15:M176) + N177*((1+$C$6)^(-B177))</f>
        <v>131467.19656391902</v>
      </c>
      <c r="P177" s="51">
        <f t="shared" si="50"/>
        <v>144412.29396087007</v>
      </c>
      <c r="Q177" s="54"/>
      <c r="R177" s="54"/>
      <c r="S177" s="54"/>
      <c r="T177" s="54"/>
      <c r="U177" s="54"/>
      <c r="V177" s="63">
        <f t="shared" si="43"/>
        <v>3222.7363006816836</v>
      </c>
      <c r="W177" s="63">
        <f t="shared" si="44"/>
        <v>7486.0401693035265</v>
      </c>
      <c r="X177" s="63" t="str">
        <f t="shared" si="45"/>
        <v>MOC &gt; MIV</v>
      </c>
      <c r="Y177" s="65">
        <f xml:space="preserve"> (SUM($D$15:D176) + H177)/B177</f>
        <v>13.588888888888889</v>
      </c>
      <c r="Z177" s="65">
        <f xml:space="preserve"> 'Growth &amp; yield data'!F179 - 'Growth &amp; yield data'!O178</f>
        <v>14.200000000000045</v>
      </c>
      <c r="AA177" s="117"/>
    </row>
    <row r="178" spans="1:27" x14ac:dyDescent="0.3">
      <c r="A178" s="31">
        <v>165</v>
      </c>
      <c r="B178" s="31">
        <v>163</v>
      </c>
      <c r="C178" s="43">
        <f xml:space="preserve"> 'Growth &amp; yield data'!G179</f>
        <v>87.4</v>
      </c>
      <c r="D178" s="43">
        <f xml:space="preserve"> 'Growth &amp; yield data'!J179</f>
        <v>165.1</v>
      </c>
      <c r="E178" s="43">
        <f xml:space="preserve">  $F$10*(C178^4) + $F$9*(C178^3) + $F$8*(C178^2) + $F$7*C178 + $F$6</f>
        <v>409.16939341279993</v>
      </c>
      <c r="F178" s="43">
        <f t="shared" si="48"/>
        <v>67553.86685245327</v>
      </c>
      <c r="G178" s="44">
        <f xml:space="preserve"> 'Growth &amp; yield data'!C179</f>
        <v>90.1</v>
      </c>
      <c r="H178" s="44">
        <f xml:space="preserve"> 'Growth &amp; yield data'!F179</f>
        <v>896.6</v>
      </c>
      <c r="I178" s="43">
        <f t="shared" si="46"/>
        <v>399.20603168029993</v>
      </c>
      <c r="J178" s="44">
        <f t="shared" si="47"/>
        <v>357928.12800455693</v>
      </c>
      <c r="K178" s="43">
        <v>0</v>
      </c>
      <c r="L178" s="43">
        <f t="shared" si="41"/>
        <v>67553.86685245327</v>
      </c>
      <c r="M178" s="57">
        <f t="shared" si="49"/>
        <v>5966.0285443580024</v>
      </c>
      <c r="N178" s="44">
        <f t="shared" si="42"/>
        <v>357928.12800455693</v>
      </c>
      <c r="O178" s="51">
        <f xml:space="preserve"> SUM($M$15:M177) + N178*((1+$C$6)^(-B178))</f>
        <v>131286.25843154159</v>
      </c>
      <c r="P178" s="51">
        <f t="shared" si="50"/>
        <v>144003.9895096526</v>
      </c>
      <c r="Q178" s="54"/>
      <c r="R178" s="54"/>
      <c r="S178" s="54"/>
      <c r="T178" s="54"/>
      <c r="U178" s="54"/>
      <c r="V178" s="63">
        <f t="shared" si="43"/>
        <v>4156.701787267928</v>
      </c>
      <c r="W178" s="63">
        <f t="shared" si="44"/>
        <v>7528.9817627131424</v>
      </c>
      <c r="X178" s="63" t="str">
        <f t="shared" si="45"/>
        <v>MOC &gt; MIV</v>
      </c>
      <c r="Y178" s="65">
        <f xml:space="preserve"> (SUM($D$15:D177) + H178)/B178</f>
        <v>13.592638036809815</v>
      </c>
      <c r="Z178" s="65">
        <f xml:space="preserve"> 'Growth &amp; yield data'!F180 - 'Growth &amp; yield data'!O179</f>
        <v>14.600000000000023</v>
      </c>
      <c r="AA178" s="117"/>
    </row>
    <row r="179" spans="1:27" x14ac:dyDescent="0.3">
      <c r="A179" s="31">
        <v>166</v>
      </c>
      <c r="B179" s="31">
        <v>164</v>
      </c>
      <c r="C179" s="43">
        <f xml:space="preserve"> 'Growth &amp; yield data'!G180</f>
        <v>0</v>
      </c>
      <c r="D179" s="43">
        <f xml:space="preserve"> 'Growth &amp; yield data'!J180</f>
        <v>0</v>
      </c>
      <c r="E179" s="43">
        <v>0</v>
      </c>
      <c r="F179" s="43">
        <f t="shared" si="48"/>
        <v>0</v>
      </c>
      <c r="G179" s="44">
        <f xml:space="preserve"> 'Growth &amp; yield data'!C180</f>
        <v>91.5</v>
      </c>
      <c r="H179" s="44">
        <f xml:space="preserve"> 'Growth &amp; yield data'!F180</f>
        <v>746.1</v>
      </c>
      <c r="I179" s="43">
        <f t="shared" si="46"/>
        <v>393.48613518750011</v>
      </c>
      <c r="J179" s="44">
        <f t="shared" si="47"/>
        <v>293580.00546339381</v>
      </c>
      <c r="K179" s="43">
        <v>0</v>
      </c>
      <c r="L179" s="43">
        <f t="shared" si="41"/>
        <v>0</v>
      </c>
      <c r="M179" s="57">
        <f t="shared" si="49"/>
        <v>0</v>
      </c>
      <c r="N179" s="44">
        <f t="shared" si="42"/>
        <v>293580.00546339381</v>
      </c>
      <c r="O179" s="51">
        <f xml:space="preserve"> SUM($M$15:M178) + N179*((1+$C$6)^(-B179))</f>
        <v>131186.20829959263</v>
      </c>
      <c r="P179" s="51">
        <f t="shared" si="50"/>
        <v>143688.54586789708</v>
      </c>
      <c r="Q179" s="54"/>
      <c r="R179" s="54"/>
      <c r="S179" s="54"/>
      <c r="T179" s="54"/>
      <c r="U179" s="54"/>
      <c r="V179" s="63">
        <f t="shared" si="43"/>
        <v>2696.8187885718503</v>
      </c>
      <c r="W179" s="63">
        <f t="shared" si="44"/>
        <v>6559.0282699693626</v>
      </c>
      <c r="X179" s="63" t="str">
        <f t="shared" si="45"/>
        <v>MOC &gt; MIV</v>
      </c>
      <c r="Y179" s="65">
        <f xml:space="preserve"> (SUM($D$15:D178) + H179)/B179</f>
        <v>13.598780487804877</v>
      </c>
      <c r="Z179" s="65">
        <f xml:space="preserve"> 'Growth &amp; yield data'!F181 - 'Growth &amp; yield data'!O180</f>
        <v>13.600000000000023</v>
      </c>
      <c r="AA179" s="117"/>
    </row>
    <row r="180" spans="1:27" x14ac:dyDescent="0.3">
      <c r="A180" s="31">
        <v>167</v>
      </c>
      <c r="B180" s="31">
        <v>165</v>
      </c>
      <c r="C180" s="43">
        <f xml:space="preserve"> 'Growth &amp; yield data'!G181</f>
        <v>0</v>
      </c>
      <c r="D180" s="43">
        <f xml:space="preserve"> 'Growth &amp; yield data'!J181</f>
        <v>0</v>
      </c>
      <c r="E180" s="43">
        <v>0</v>
      </c>
      <c r="F180" s="43">
        <f t="shared" si="48"/>
        <v>0</v>
      </c>
      <c r="G180" s="44">
        <f xml:space="preserve"> 'Growth &amp; yield data'!C181</f>
        <v>92.3</v>
      </c>
      <c r="H180" s="44">
        <f xml:space="preserve"> 'Growth &amp; yield data'!F181</f>
        <v>759.7</v>
      </c>
      <c r="I180" s="43">
        <f t="shared" si="46"/>
        <v>390.04511851229989</v>
      </c>
      <c r="J180" s="44">
        <f t="shared" si="47"/>
        <v>296317.27653379424</v>
      </c>
      <c r="K180" s="43">
        <v>0</v>
      </c>
      <c r="L180" s="43">
        <f t="shared" si="41"/>
        <v>0</v>
      </c>
      <c r="M180" s="57">
        <f t="shared" si="49"/>
        <v>0</v>
      </c>
      <c r="N180" s="44">
        <f t="shared" si="42"/>
        <v>296317.27653379424</v>
      </c>
      <c r="O180" s="51">
        <f xml:space="preserve"> SUM($M$15:M179) + N180*((1+$C$6)^(-B180))</f>
        <v>131043.35514123488</v>
      </c>
      <c r="P180" s="51">
        <f t="shared" si="50"/>
        <v>143330.21117435957</v>
      </c>
      <c r="Q180" s="54"/>
      <c r="R180" s="54"/>
      <c r="S180" s="54"/>
      <c r="T180" s="54"/>
      <c r="U180" s="54"/>
      <c r="V180" s="63">
        <f t="shared" si="43"/>
        <v>2815.0847938973252</v>
      </c>
      <c r="W180" s="63">
        <f t="shared" si="44"/>
        <v>6594.712315622307</v>
      </c>
      <c r="X180" s="63" t="str">
        <f t="shared" si="45"/>
        <v>MOC &gt; MIV</v>
      </c>
      <c r="Y180" s="65">
        <f xml:space="preserve"> (SUM($D$15:D179) + H180)/B180</f>
        <v>13.59878787878788</v>
      </c>
      <c r="Z180" s="65">
        <f xml:space="preserve"> 'Growth &amp; yield data'!F182 - 'Growth &amp; yield data'!O181</f>
        <v>13.5</v>
      </c>
      <c r="AA180" s="117"/>
    </row>
    <row r="181" spans="1:27" x14ac:dyDescent="0.3">
      <c r="A181" s="31">
        <v>168</v>
      </c>
      <c r="B181" s="31">
        <v>166</v>
      </c>
      <c r="C181" s="43">
        <f xml:space="preserve"> 'Growth &amp; yield data'!G182</f>
        <v>0</v>
      </c>
      <c r="D181" s="43">
        <f xml:space="preserve"> 'Growth &amp; yield data'!J182</f>
        <v>0</v>
      </c>
      <c r="E181" s="43">
        <v>0</v>
      </c>
      <c r="F181" s="43">
        <f t="shared" si="48"/>
        <v>0</v>
      </c>
      <c r="G181" s="44">
        <f xml:space="preserve"> 'Growth &amp; yield data'!C182</f>
        <v>93</v>
      </c>
      <c r="H181" s="44">
        <f xml:space="preserve"> 'Growth &amp; yield data'!F182</f>
        <v>773.2</v>
      </c>
      <c r="I181" s="43">
        <f t="shared" si="46"/>
        <v>386.93040300000001</v>
      </c>
      <c r="J181" s="44">
        <f t="shared" si="47"/>
        <v>299174.58759960002</v>
      </c>
      <c r="K181" s="43">
        <v>0</v>
      </c>
      <c r="L181" s="43">
        <f t="shared" si="41"/>
        <v>0</v>
      </c>
      <c r="M181" s="57">
        <f t="shared" si="49"/>
        <v>0</v>
      </c>
      <c r="N181" s="44">
        <f t="shared" si="42"/>
        <v>299174.58759960002</v>
      </c>
      <c r="O181" s="51">
        <f xml:space="preserve"> SUM($M$15:M180) + N181*((1+$C$6)^(-B181))</f>
        <v>130909.28362616416</v>
      </c>
      <c r="P181" s="51">
        <f t="shared" si="50"/>
        <v>142985.44226909272</v>
      </c>
      <c r="Q181" s="54"/>
      <c r="R181" s="54"/>
      <c r="S181" s="54"/>
      <c r="T181" s="54"/>
      <c r="U181" s="54"/>
      <c r="V181" s="63">
        <f t="shared" si="43"/>
        <v>2370.2860148565669</v>
      </c>
      <c r="W181" s="63">
        <f t="shared" si="44"/>
        <v>6632.4004480303911</v>
      </c>
      <c r="X181" s="63" t="str">
        <f t="shared" si="45"/>
        <v>MOC &gt; MIV</v>
      </c>
      <c r="Y181" s="65">
        <f xml:space="preserve"> (SUM($D$15:D180) + H181)/B181</f>
        <v>13.598192771084339</v>
      </c>
      <c r="Z181" s="65">
        <f xml:space="preserve"> 'Growth &amp; yield data'!F183 - 'Growth &amp; yield data'!O182</f>
        <v>13.699999999999932</v>
      </c>
      <c r="AA181" s="117"/>
    </row>
    <row r="182" spans="1:27" x14ac:dyDescent="0.3">
      <c r="A182" s="31">
        <v>169</v>
      </c>
      <c r="B182" s="31">
        <v>167</v>
      </c>
      <c r="C182" s="43">
        <f xml:space="preserve"> 'Growth &amp; yield data'!G183</f>
        <v>0</v>
      </c>
      <c r="D182" s="43">
        <f xml:space="preserve"> 'Growth &amp; yield data'!J183</f>
        <v>0</v>
      </c>
      <c r="E182" s="43">
        <v>0</v>
      </c>
      <c r="F182" s="43">
        <f t="shared" si="48"/>
        <v>0</v>
      </c>
      <c r="G182" s="44">
        <f xml:space="preserve"> 'Growth &amp; yield data'!C183</f>
        <v>93.8</v>
      </c>
      <c r="H182" s="44">
        <f xml:space="preserve"> 'Growth &amp; yield data'!F183</f>
        <v>786.9</v>
      </c>
      <c r="I182" s="43">
        <f t="shared" si="46"/>
        <v>383.25127450079992</v>
      </c>
      <c r="J182" s="44">
        <f t="shared" si="47"/>
        <v>301580.42790467944</v>
      </c>
      <c r="K182" s="43">
        <v>0</v>
      </c>
      <c r="L182" s="43">
        <f t="shared" si="41"/>
        <v>0</v>
      </c>
      <c r="M182" s="57">
        <f t="shared" si="49"/>
        <v>0</v>
      </c>
      <c r="N182" s="44">
        <f t="shared" si="42"/>
        <v>301580.42790467944</v>
      </c>
      <c r="O182" s="51">
        <f xml:space="preserve"> SUM($M$15:M181) + N182*((1+$C$6)^(-B182))</f>
        <v>130736.060662284</v>
      </c>
      <c r="P182" s="51">
        <f t="shared" si="50"/>
        <v>142601.83421697991</v>
      </c>
      <c r="Q182" s="54"/>
      <c r="R182" s="54"/>
      <c r="S182" s="54"/>
      <c r="T182" s="54"/>
      <c r="U182" s="54"/>
      <c r="V182" s="63">
        <f t="shared" si="43"/>
        <v>2550.7629235793515</v>
      </c>
      <c r="W182" s="63">
        <f t="shared" si="44"/>
        <v>6662.7339318248896</v>
      </c>
      <c r="X182" s="63" t="str">
        <f t="shared" si="45"/>
        <v>MOC &gt; MIV</v>
      </c>
      <c r="Y182" s="65">
        <f xml:space="preserve"> (SUM($D$15:D181) + H182)/B182</f>
        <v>13.598802395209582</v>
      </c>
      <c r="Z182" s="65">
        <f xml:space="preserve"> 'Growth &amp; yield data'!F184 - 'Growth &amp; yield data'!O183</f>
        <v>13.700000000000045</v>
      </c>
      <c r="AA182" s="117"/>
    </row>
    <row r="183" spans="1:27" x14ac:dyDescent="0.3">
      <c r="A183" s="31">
        <v>170</v>
      </c>
      <c r="B183" s="31">
        <v>168</v>
      </c>
      <c r="C183" s="43">
        <f xml:space="preserve"> 'Growth &amp; yield data'!G184</f>
        <v>0</v>
      </c>
      <c r="D183" s="43">
        <f xml:space="preserve"> 'Growth &amp; yield data'!J184</f>
        <v>0</v>
      </c>
      <c r="E183" s="43">
        <v>0</v>
      </c>
      <c r="F183" s="43">
        <f t="shared" si="48"/>
        <v>0</v>
      </c>
      <c r="G183" s="44">
        <f xml:space="preserve"> 'Growth &amp; yield data'!C184</f>
        <v>94.5</v>
      </c>
      <c r="H183" s="44">
        <f xml:space="preserve"> 'Growth &amp; yield data'!F184</f>
        <v>800.6</v>
      </c>
      <c r="I183" s="43">
        <f t="shared" si="46"/>
        <v>379.92687018749996</v>
      </c>
      <c r="J183" s="44">
        <f t="shared" si="47"/>
        <v>304169.45227211248</v>
      </c>
      <c r="K183" s="43">
        <v>0</v>
      </c>
      <c r="L183" s="43">
        <f t="shared" si="41"/>
        <v>0</v>
      </c>
      <c r="M183" s="57">
        <f t="shared" si="49"/>
        <v>0</v>
      </c>
      <c r="N183" s="44">
        <f t="shared" si="42"/>
        <v>304169.45227211248</v>
      </c>
      <c r="O183" s="51">
        <f xml:space="preserve"> SUM($M$15:M182) + N183*((1+$C$6)^(-B183))</f>
        <v>130577.45652766226</v>
      </c>
      <c r="P183" s="51">
        <f t="shared" si="50"/>
        <v>142238.05108891294</v>
      </c>
      <c r="Q183" s="54"/>
      <c r="R183" s="54"/>
      <c r="S183" s="54"/>
      <c r="T183" s="54"/>
      <c r="U183" s="54"/>
      <c r="V183" s="63">
        <f t="shared" si="43"/>
        <v>2020.0340691520928</v>
      </c>
      <c r="W183" s="63">
        <f t="shared" si="44"/>
        <v>6696.1125504153806</v>
      </c>
      <c r="X183" s="63" t="str">
        <f t="shared" si="45"/>
        <v>MOC &gt; MIV</v>
      </c>
      <c r="Y183" s="65">
        <f xml:space="preserve"> (SUM($D$15:D182) + H183)/B183</f>
        <v>13.599404761904761</v>
      </c>
      <c r="Z183" s="65">
        <f xml:space="preserve"> 'Growth &amp; yield data'!F185 - 'Growth &amp; yield data'!O184</f>
        <v>13.799999999999955</v>
      </c>
      <c r="AA183" s="117"/>
    </row>
    <row r="184" spans="1:27" x14ac:dyDescent="0.3">
      <c r="A184" s="31">
        <v>171</v>
      </c>
      <c r="B184" s="31">
        <v>169</v>
      </c>
      <c r="C184" s="43">
        <f xml:space="preserve"> 'Growth &amp; yield data'!G185</f>
        <v>0</v>
      </c>
      <c r="D184" s="43">
        <f xml:space="preserve"> 'Growth &amp; yield data'!J185</f>
        <v>0</v>
      </c>
      <c r="E184" s="43">
        <v>0</v>
      </c>
      <c r="F184" s="43">
        <f t="shared" si="48"/>
        <v>0</v>
      </c>
      <c r="G184" s="44">
        <f xml:space="preserve"> 'Growth &amp; yield data'!C185</f>
        <v>95.3</v>
      </c>
      <c r="H184" s="44">
        <f xml:space="preserve"> 'Growth &amp; yield data'!F185</f>
        <v>814.4</v>
      </c>
      <c r="I184" s="43">
        <f t="shared" si="46"/>
        <v>376.00661450429993</v>
      </c>
      <c r="J184" s="44">
        <f t="shared" si="47"/>
        <v>306219.78685230186</v>
      </c>
      <c r="K184" s="43">
        <v>0</v>
      </c>
      <c r="L184" s="43">
        <f t="shared" si="41"/>
        <v>0</v>
      </c>
      <c r="M184" s="57">
        <f t="shared" si="49"/>
        <v>0</v>
      </c>
      <c r="N184" s="44">
        <f t="shared" si="42"/>
        <v>306219.78685230186</v>
      </c>
      <c r="O184" s="51">
        <f xml:space="preserve"> SUM($M$15:M183) + N184*((1+$C$6)^(-B184))</f>
        <v>130374.5507953445</v>
      </c>
      <c r="P184" s="51">
        <f t="shared" si="50"/>
        <v>141829.8519027791</v>
      </c>
      <c r="Q184" s="54"/>
      <c r="R184" s="54"/>
      <c r="S184" s="54"/>
      <c r="T184" s="54"/>
      <c r="U184" s="54"/>
      <c r="V184" s="63">
        <f t="shared" si="43"/>
        <v>2226.4439855152837</v>
      </c>
      <c r="W184" s="63">
        <f t="shared" si="44"/>
        <v>6720.7445813262148</v>
      </c>
      <c r="X184" s="63" t="str">
        <f t="shared" si="45"/>
        <v>MOC &gt; MIV</v>
      </c>
      <c r="Y184" s="65">
        <f xml:space="preserve"> (SUM($D$15:D183) + H184)/B184</f>
        <v>13.600591715976332</v>
      </c>
      <c r="Z184" s="65">
        <f xml:space="preserve"> 'Growth &amp; yield data'!F186 - 'Growth &amp; yield data'!O185</f>
        <v>13.800000000000068</v>
      </c>
      <c r="AA184" s="117"/>
    </row>
    <row r="185" spans="1:27" x14ac:dyDescent="0.3">
      <c r="A185" s="31">
        <v>172</v>
      </c>
      <c r="B185" s="31">
        <v>170</v>
      </c>
      <c r="C185" s="43">
        <f xml:space="preserve"> 'Growth &amp; yield data'!G186</f>
        <v>0</v>
      </c>
      <c r="D185" s="43">
        <f xml:space="preserve"> 'Growth &amp; yield data'!J186</f>
        <v>0</v>
      </c>
      <c r="E185" s="43">
        <v>0</v>
      </c>
      <c r="F185" s="43">
        <f t="shared" si="48"/>
        <v>0</v>
      </c>
      <c r="G185" s="44">
        <f xml:space="preserve"> 'Growth &amp; yield data'!C186</f>
        <v>96</v>
      </c>
      <c r="H185" s="44">
        <f xml:space="preserve"> 'Growth &amp; yield data'!F186</f>
        <v>828.2</v>
      </c>
      <c r="I185" s="43">
        <f t="shared" si="46"/>
        <v>372.46996799999982</v>
      </c>
      <c r="J185" s="44">
        <f t="shared" si="47"/>
        <v>308479.62749759987</v>
      </c>
      <c r="K185" s="43">
        <v>0</v>
      </c>
      <c r="L185" s="43">
        <f t="shared" si="41"/>
        <v>0</v>
      </c>
      <c r="M185" s="57">
        <f t="shared" si="49"/>
        <v>0</v>
      </c>
      <c r="N185" s="44">
        <f t="shared" si="42"/>
        <v>308479.62749759987</v>
      </c>
      <c r="O185" s="51">
        <f xml:space="preserve"> SUM($M$15:M184) + N185*((1+$C$6)^(-B185))</f>
        <v>130188.86765899659</v>
      </c>
      <c r="P185" s="51">
        <f t="shared" si="50"/>
        <v>141444.18981202922</v>
      </c>
      <c r="Q185" s="54"/>
      <c r="R185" s="54"/>
      <c r="S185" s="54"/>
      <c r="T185" s="54"/>
      <c r="U185" s="54"/>
      <c r="V185" s="63">
        <f t="shared" si="43"/>
        <v>1645.9670072069321</v>
      </c>
      <c r="W185" s="63">
        <f t="shared" si="44"/>
        <v>6748.8572596444355</v>
      </c>
      <c r="X185" s="63" t="str">
        <f t="shared" si="45"/>
        <v>MOC &gt; MIV</v>
      </c>
      <c r="Y185" s="65">
        <f xml:space="preserve"> (SUM($D$15:D184) + H185)/B185</f>
        <v>13.601764705882355</v>
      </c>
      <c r="Z185" s="65">
        <f xml:space="preserve"> 'Growth &amp; yield data'!F187 - 'Growth &amp; yield data'!O186</f>
        <v>13.899999999999977</v>
      </c>
      <c r="AA185" s="117"/>
    </row>
    <row r="186" spans="1:27" x14ac:dyDescent="0.3">
      <c r="A186" s="31">
        <v>173</v>
      </c>
      <c r="B186" s="31">
        <v>171</v>
      </c>
      <c r="C186" s="43">
        <f xml:space="preserve"> 'Growth &amp; yield data'!G187</f>
        <v>0</v>
      </c>
      <c r="D186" s="43">
        <f xml:space="preserve"> 'Growth &amp; yield data'!J187</f>
        <v>0</v>
      </c>
      <c r="E186" s="43">
        <v>0</v>
      </c>
      <c r="F186" s="43">
        <f t="shared" si="48"/>
        <v>0</v>
      </c>
      <c r="G186" s="44">
        <f xml:space="preserve"> 'Growth &amp; yield data'!C187</f>
        <v>96.8</v>
      </c>
      <c r="H186" s="44">
        <f xml:space="preserve"> 'Growth &amp; yield data'!F187</f>
        <v>842.1</v>
      </c>
      <c r="I186" s="43">
        <f t="shared" si="46"/>
        <v>368.30576417280002</v>
      </c>
      <c r="J186" s="44">
        <f t="shared" si="47"/>
        <v>310150.2840099149</v>
      </c>
      <c r="K186" s="43">
        <v>0</v>
      </c>
      <c r="L186" s="43">
        <f t="shared" si="41"/>
        <v>0</v>
      </c>
      <c r="M186" s="57">
        <f t="shared" si="49"/>
        <v>0</v>
      </c>
      <c r="N186" s="44">
        <f t="shared" si="42"/>
        <v>310150.2840099149</v>
      </c>
      <c r="O186" s="51">
        <f xml:space="preserve"> SUM($M$15:M185) + N186*((1+$C$6)^(-B186))</f>
        <v>129957.08004441098</v>
      </c>
      <c r="P186" s="51">
        <f t="shared" si="50"/>
        <v>141012.20011967214</v>
      </c>
      <c r="Q186" s="54"/>
      <c r="R186" s="54"/>
      <c r="S186" s="54"/>
      <c r="T186" s="54"/>
      <c r="U186" s="54"/>
      <c r="V186" s="63">
        <f t="shared" si="43"/>
        <v>1916.0756175406279</v>
      </c>
      <c r="W186" s="63">
        <f t="shared" si="44"/>
        <v>6767.4372619438054</v>
      </c>
      <c r="X186" s="63" t="str">
        <f t="shared" si="45"/>
        <v>MOC &gt; MIV</v>
      </c>
      <c r="Y186" s="65">
        <f xml:space="preserve"> (SUM($D$15:D185) + H186)/B186</f>
        <v>13.603508771929823</v>
      </c>
      <c r="Z186" s="65">
        <f xml:space="preserve"> 'Growth &amp; yield data'!F188 - 'Growth &amp; yield data'!O187</f>
        <v>14</v>
      </c>
      <c r="AA186" s="117"/>
    </row>
    <row r="187" spans="1:27" x14ac:dyDescent="0.3">
      <c r="A187" s="31">
        <v>174</v>
      </c>
      <c r="B187" s="31">
        <v>172</v>
      </c>
      <c r="C187" s="43">
        <f xml:space="preserve"> 'Growth &amp; yield data'!G188</f>
        <v>0</v>
      </c>
      <c r="D187" s="43">
        <f xml:space="preserve"> 'Growth &amp; yield data'!J188</f>
        <v>0</v>
      </c>
      <c r="E187" s="43">
        <v>0</v>
      </c>
      <c r="F187" s="43">
        <f t="shared" si="48"/>
        <v>0</v>
      </c>
      <c r="G187" s="44">
        <f xml:space="preserve"> 'Growth &amp; yield data'!C188</f>
        <v>97.5</v>
      </c>
      <c r="H187" s="44">
        <f xml:space="preserve"> 'Growth &amp; yield data'!F188</f>
        <v>856.1</v>
      </c>
      <c r="I187" s="43">
        <f t="shared" si="46"/>
        <v>364.55449218749987</v>
      </c>
      <c r="J187" s="44">
        <f t="shared" si="47"/>
        <v>312095.10076171864</v>
      </c>
      <c r="K187" s="43">
        <v>0</v>
      </c>
      <c r="L187" s="43">
        <f t="shared" si="41"/>
        <v>0</v>
      </c>
      <c r="M187" s="57">
        <f t="shared" si="49"/>
        <v>0</v>
      </c>
      <c r="N187" s="44">
        <f t="shared" si="42"/>
        <v>312095.10076171864</v>
      </c>
      <c r="O187" s="51">
        <f xml:space="preserve"> SUM($M$15:M186) + N187*((1+$C$6)^(-B187))</f>
        <v>129747.95830894532</v>
      </c>
      <c r="P187" s="51">
        <f t="shared" si="50"/>
        <v>140608.52225736156</v>
      </c>
      <c r="Q187" s="54"/>
      <c r="R187" s="54"/>
      <c r="S187" s="54"/>
      <c r="T187" s="54"/>
      <c r="U187" s="54"/>
      <c r="V187" s="63">
        <f t="shared" si="43"/>
        <v>1726.0740437501875</v>
      </c>
      <c r="W187" s="63">
        <f t="shared" si="44"/>
        <v>6790.554345286203</v>
      </c>
      <c r="X187" s="63" t="str">
        <f t="shared" si="45"/>
        <v>MOC &gt; MIV</v>
      </c>
      <c r="Y187" s="65">
        <f xml:space="preserve"> (SUM($D$15:D186) + H187)/B187</f>
        <v>13.60581395348837</v>
      </c>
      <c r="Z187" s="65">
        <f xml:space="preserve"> 'Growth &amp; yield data'!F189 - 'Growth &amp; yield data'!O188</f>
        <v>14</v>
      </c>
      <c r="AA187" s="117"/>
    </row>
    <row r="188" spans="1:27" x14ac:dyDescent="0.3">
      <c r="A188" s="31">
        <v>175</v>
      </c>
      <c r="B188" s="31">
        <v>173</v>
      </c>
      <c r="C188" s="43">
        <f xml:space="preserve"> 'Growth &amp; yield data'!G189</f>
        <v>0</v>
      </c>
      <c r="D188" s="43">
        <f xml:space="preserve"> 'Growth &amp; yield data'!J189</f>
        <v>0</v>
      </c>
      <c r="E188" s="43">
        <v>0</v>
      </c>
      <c r="F188" s="43">
        <f t="shared" si="48"/>
        <v>0</v>
      </c>
      <c r="G188" s="44">
        <f xml:space="preserve"> 'Growth &amp; yield data'!C189</f>
        <v>98.2</v>
      </c>
      <c r="H188" s="44">
        <f xml:space="preserve"> 'Growth &amp; yield data'!F189</f>
        <v>870.1</v>
      </c>
      <c r="I188" s="43">
        <f t="shared" si="46"/>
        <v>360.70229389279973</v>
      </c>
      <c r="J188" s="44">
        <f t="shared" si="47"/>
        <v>313847.06591612508</v>
      </c>
      <c r="K188" s="43">
        <v>0</v>
      </c>
      <c r="L188" s="43">
        <f t="shared" si="41"/>
        <v>0</v>
      </c>
      <c r="M188" s="57">
        <f t="shared" si="49"/>
        <v>0</v>
      </c>
      <c r="N188" s="44">
        <f t="shared" si="42"/>
        <v>313847.06591612508</v>
      </c>
      <c r="O188" s="51">
        <f xml:space="preserve"> SUM($M$15:M187) + N188*((1+$C$6)^(-B188))</f>
        <v>129525.03141530612</v>
      </c>
      <c r="P188" s="51">
        <f t="shared" si="50"/>
        <v>140193.51293387264</v>
      </c>
      <c r="Q188" s="54"/>
      <c r="R188" s="54"/>
      <c r="S188" s="54"/>
      <c r="T188" s="54"/>
      <c r="U188" s="54"/>
      <c r="V188" s="63">
        <f t="shared" si="43"/>
        <v>1067.3913856896027</v>
      </c>
      <c r="W188" s="63">
        <f t="shared" si="44"/>
        <v>6810.6086827499657</v>
      </c>
      <c r="X188" s="63" t="str">
        <f t="shared" si="45"/>
        <v>MOC &gt; MIV</v>
      </c>
      <c r="Y188" s="65">
        <f xml:space="preserve"> (SUM($D$15:D187) + H188)/B188</f>
        <v>13.608092485549133</v>
      </c>
      <c r="Z188" s="65">
        <f xml:space="preserve"> 'Growth &amp; yield data'!F190 - 'Growth &amp; yield data'!O189</f>
        <v>14.100000000000023</v>
      </c>
      <c r="AA188" s="117"/>
    </row>
    <row r="189" spans="1:27" x14ac:dyDescent="0.3">
      <c r="A189" s="31">
        <v>176</v>
      </c>
      <c r="B189" s="31">
        <v>174</v>
      </c>
      <c r="C189" s="43">
        <f xml:space="preserve"> 'Growth &amp; yield data'!G190</f>
        <v>0</v>
      </c>
      <c r="D189" s="43">
        <f xml:space="preserve"> 'Growth &amp; yield data'!J190</f>
        <v>0</v>
      </c>
      <c r="E189" s="43">
        <v>0</v>
      </c>
      <c r="F189" s="43">
        <f t="shared" si="48"/>
        <v>0</v>
      </c>
      <c r="G189" s="44">
        <f xml:space="preserve"> 'Growth &amp; yield data'!C190</f>
        <v>99</v>
      </c>
      <c r="H189" s="44">
        <f xml:space="preserve"> 'Growth &amp; yield data'!F190</f>
        <v>884.2</v>
      </c>
      <c r="I189" s="43">
        <f t="shared" ref="I189:I213" si="51" xml:space="preserve">  $F$10*(G189^4) + $F$9*(G189^3) + $F$8*(G189^2) + $F$7*G189 + $F$6</f>
        <v>356.17560300000002</v>
      </c>
      <c r="J189" s="44">
        <f t="shared" si="47"/>
        <v>314930.46817260003</v>
      </c>
      <c r="K189" s="43">
        <v>0</v>
      </c>
      <c r="L189" s="43">
        <f t="shared" si="41"/>
        <v>0</v>
      </c>
      <c r="M189" s="57">
        <f t="shared" si="49"/>
        <v>0</v>
      </c>
      <c r="N189" s="44">
        <f t="shared" si="42"/>
        <v>314930.46817260003</v>
      </c>
      <c r="O189" s="51">
        <f xml:space="preserve"> SUM($M$15:M188) + N189*((1+$C$6)^(-B189))</f>
        <v>129253.30413943098</v>
      </c>
      <c r="P189" s="51">
        <f t="shared" si="50"/>
        <v>139729.32122316034</v>
      </c>
      <c r="Q189" s="54"/>
      <c r="R189" s="54"/>
      <c r="S189" s="54"/>
      <c r="T189" s="54"/>
      <c r="U189" s="54"/>
      <c r="V189" s="63">
        <f t="shared" si="43"/>
        <v>1345.7976392597041</v>
      </c>
      <c r="W189" s="63">
        <f t="shared" si="44"/>
        <v>6819.8968409364061</v>
      </c>
      <c r="X189" s="63" t="str">
        <f t="shared" si="45"/>
        <v>MOC &gt; MIV</v>
      </c>
      <c r="Y189" s="65">
        <f xml:space="preserve"> (SUM($D$15:D188) + H189)/B189</f>
        <v>13.610919540229887</v>
      </c>
      <c r="Z189" s="65">
        <f xml:space="preserve"> 'Growth &amp; yield data'!F191 - 'Growth &amp; yield data'!O190</f>
        <v>14.099999999999909</v>
      </c>
      <c r="AA189" s="117"/>
    </row>
    <row r="190" spans="1:27" x14ac:dyDescent="0.3">
      <c r="A190" s="31">
        <v>177</v>
      </c>
      <c r="B190" s="31">
        <v>175</v>
      </c>
      <c r="C190" s="43">
        <f xml:space="preserve"> 'Growth &amp; yield data'!G191</f>
        <v>0</v>
      </c>
      <c r="D190" s="43">
        <f xml:space="preserve"> 'Growth &amp; yield data'!J191</f>
        <v>0</v>
      </c>
      <c r="E190" s="43">
        <v>0</v>
      </c>
      <c r="F190" s="43">
        <f t="shared" si="48"/>
        <v>0</v>
      </c>
      <c r="G190" s="44">
        <f xml:space="preserve"> 'Growth &amp; yield data'!C191</f>
        <v>99.7</v>
      </c>
      <c r="H190" s="44">
        <f xml:space="preserve"> 'Growth &amp; yield data'!F191</f>
        <v>898.3</v>
      </c>
      <c r="I190" s="43">
        <f t="shared" si="51"/>
        <v>352.10559142429992</v>
      </c>
      <c r="J190" s="44">
        <f t="shared" si="47"/>
        <v>316296.45277644863</v>
      </c>
      <c r="K190" s="43">
        <v>0</v>
      </c>
      <c r="L190" s="43">
        <f t="shared" si="41"/>
        <v>0</v>
      </c>
      <c r="M190" s="57">
        <f t="shared" si="49"/>
        <v>0</v>
      </c>
      <c r="N190" s="44">
        <f t="shared" si="42"/>
        <v>316296.45277644863</v>
      </c>
      <c r="O190" s="51">
        <f xml:space="preserve"> SUM($M$15:M189) + N190*((1+$C$6)^(-B190))</f>
        <v>129005.26527691043</v>
      </c>
      <c r="P190" s="51">
        <f t="shared" si="50"/>
        <v>139294.33373448276</v>
      </c>
      <c r="Q190" s="54"/>
      <c r="R190" s="54"/>
      <c r="S190" s="54"/>
      <c r="T190" s="54"/>
      <c r="U190" s="54"/>
      <c r="V190" s="63">
        <f t="shared" si="43"/>
        <v>1140.7346684766678</v>
      </c>
      <c r="W190" s="63">
        <f t="shared" si="44"/>
        <v>6833.8617976639707</v>
      </c>
      <c r="X190" s="63" t="str">
        <f t="shared" si="45"/>
        <v>MOC &gt; MIV</v>
      </c>
      <c r="Y190" s="65">
        <f xml:space="preserve"> (SUM($D$15:D189) + H190)/B190</f>
        <v>13.613714285714284</v>
      </c>
      <c r="Z190" s="65">
        <f xml:space="preserve"> 'Growth &amp; yield data'!F192 - 'Growth &amp; yield data'!O191</f>
        <v>14.100000000000023</v>
      </c>
      <c r="AA190" s="117"/>
    </row>
    <row r="191" spans="1:27" x14ac:dyDescent="0.3">
      <c r="A191" s="31">
        <v>178</v>
      </c>
      <c r="B191" s="31">
        <v>176</v>
      </c>
      <c r="C191" s="43">
        <f xml:space="preserve"> 'Growth &amp; yield data'!G192</f>
        <v>0</v>
      </c>
      <c r="D191" s="43">
        <f xml:space="preserve"> 'Growth &amp; yield data'!J192</f>
        <v>0</v>
      </c>
      <c r="E191" s="43">
        <v>0</v>
      </c>
      <c r="F191" s="43">
        <f t="shared" si="48"/>
        <v>0</v>
      </c>
      <c r="G191" s="44">
        <f xml:space="preserve"> 'Growth &amp; yield data'!C192</f>
        <v>100.4</v>
      </c>
      <c r="H191" s="44">
        <f xml:space="preserve"> 'Growth &amp; yield data'!F192</f>
        <v>912.4</v>
      </c>
      <c r="I191" s="43">
        <f t="shared" si="51"/>
        <v>347.93325127680015</v>
      </c>
      <c r="J191" s="44">
        <f t="shared" si="47"/>
        <v>317454.29846495244</v>
      </c>
      <c r="K191" s="43">
        <v>0</v>
      </c>
      <c r="L191" s="43">
        <f t="shared" si="41"/>
        <v>0</v>
      </c>
      <c r="M191" s="57">
        <f t="shared" si="49"/>
        <v>0</v>
      </c>
      <c r="N191" s="44">
        <f t="shared" si="42"/>
        <v>317454.29846495244</v>
      </c>
      <c r="O191" s="51">
        <f xml:space="preserve"> SUM($M$15:M190) + N191*((1+$C$6)^(-B191))</f>
        <v>128744.25377729337</v>
      </c>
      <c r="P191" s="51">
        <f t="shared" si="50"/>
        <v>138848.84717326312</v>
      </c>
      <c r="Q191" s="54"/>
      <c r="R191" s="54"/>
      <c r="S191" s="54"/>
      <c r="T191" s="54"/>
      <c r="U191" s="54"/>
      <c r="V191" s="63">
        <f t="shared" si="43"/>
        <v>998.74847847463695</v>
      </c>
      <c r="W191" s="63">
        <f t="shared" si="44"/>
        <v>6844.5471845732336</v>
      </c>
      <c r="X191" s="63" t="str">
        <f t="shared" si="45"/>
        <v>MOC &gt; MIV</v>
      </c>
      <c r="Y191" s="65">
        <f xml:space="preserve"> (SUM($D$15:D190) + H191)/B191</f>
        <v>13.616477272727273</v>
      </c>
      <c r="Z191" s="65">
        <f xml:space="preserve"> 'Growth &amp; yield data'!F193 - 'Growth &amp; yield data'!O192</f>
        <v>14.300000000000068</v>
      </c>
      <c r="AA191" s="117"/>
    </row>
    <row r="192" spans="1:27" x14ac:dyDescent="0.3">
      <c r="A192" s="31">
        <v>179</v>
      </c>
      <c r="B192" s="31">
        <v>177</v>
      </c>
      <c r="C192" s="43">
        <f xml:space="preserve"> 'Growth &amp; yield data'!G193</f>
        <v>0</v>
      </c>
      <c r="D192" s="43">
        <f xml:space="preserve"> 'Growth &amp; yield data'!J193</f>
        <v>0</v>
      </c>
      <c r="E192" s="43">
        <v>0</v>
      </c>
      <c r="F192" s="43">
        <f t="shared" si="48"/>
        <v>0</v>
      </c>
      <c r="G192" s="44">
        <f xml:space="preserve"> 'Growth &amp; yield data'!C193</f>
        <v>101.1</v>
      </c>
      <c r="H192" s="44">
        <f xml:space="preserve"> 'Growth &amp; yield data'!F193</f>
        <v>926.7</v>
      </c>
      <c r="I192" s="43">
        <f t="shared" si="51"/>
        <v>343.65817219229979</v>
      </c>
      <c r="J192" s="44">
        <f t="shared" si="47"/>
        <v>318468.0281706042</v>
      </c>
      <c r="K192" s="43">
        <v>0</v>
      </c>
      <c r="L192" s="43">
        <f t="shared" si="41"/>
        <v>0</v>
      </c>
      <c r="M192" s="57">
        <f t="shared" si="49"/>
        <v>0</v>
      </c>
      <c r="N192" s="44">
        <f t="shared" si="42"/>
        <v>318468.0281706042</v>
      </c>
      <c r="O192" s="51">
        <f xml:space="preserve"> SUM($M$15:M191) + N192*((1+$C$6)^(-B192))</f>
        <v>128475.52144164612</v>
      </c>
      <c r="P192" s="51">
        <f t="shared" si="50"/>
        <v>138398.49635976777</v>
      </c>
      <c r="Q192" s="54"/>
      <c r="R192" s="54"/>
      <c r="S192" s="54"/>
      <c r="T192" s="54"/>
      <c r="U192" s="54"/>
      <c r="V192" s="63">
        <f t="shared" si="43"/>
        <v>749.24849419839677</v>
      </c>
      <c r="W192" s="63">
        <f t="shared" si="44"/>
        <v>6852.9978679555797</v>
      </c>
      <c r="X192" s="63" t="str">
        <f t="shared" si="45"/>
        <v>MOC &gt; MIV</v>
      </c>
      <c r="Y192" s="65">
        <f xml:space="preserve"> (SUM($D$15:D191) + H192)/B192</f>
        <v>13.620338983050848</v>
      </c>
      <c r="Z192" s="65">
        <f xml:space="preserve"> 'Growth &amp; yield data'!F194 - 'Growth &amp; yield data'!O193</f>
        <v>14.199999999999932</v>
      </c>
      <c r="AA192" s="117"/>
    </row>
    <row r="193" spans="1:27" x14ac:dyDescent="0.3">
      <c r="A193" s="31">
        <v>180</v>
      </c>
      <c r="B193" s="31">
        <v>178</v>
      </c>
      <c r="C193" s="43">
        <f xml:space="preserve"> 'Growth &amp; yield data'!G194</f>
        <v>98.8</v>
      </c>
      <c r="D193" s="43">
        <f xml:space="preserve"> 'Growth &amp; yield data'!J194</f>
        <v>166.2</v>
      </c>
      <c r="E193" s="43">
        <f xml:space="preserve">  $F$10*(C193^4) + $F$9*(C193^3) + $F$8*(C193^2) + $F$7*C193 + $F$6</f>
        <v>357.31972782079959</v>
      </c>
      <c r="F193" s="43">
        <f t="shared" si="48"/>
        <v>59386.53876381689</v>
      </c>
      <c r="G193" s="44">
        <f xml:space="preserve"> 'Growth &amp; yield data'!C194</f>
        <v>101.8</v>
      </c>
      <c r="H193" s="44">
        <f xml:space="preserve"> 'Growth &amp; yield data'!F194</f>
        <v>940.9</v>
      </c>
      <c r="I193" s="43">
        <f t="shared" si="51"/>
        <v>339.27996109280008</v>
      </c>
      <c r="J193" s="44">
        <f t="shared" si="47"/>
        <v>319228.51539221557</v>
      </c>
      <c r="K193" s="43">
        <v>0</v>
      </c>
      <c r="L193" s="43">
        <f t="shared" si="41"/>
        <v>59386.53876381689</v>
      </c>
      <c r="M193" s="57">
        <f t="shared" si="49"/>
        <v>4195.0051042351724</v>
      </c>
      <c r="N193" s="44">
        <f t="shared" si="42"/>
        <v>319228.51539221557</v>
      </c>
      <c r="O193" s="51">
        <f xml:space="preserve"> SUM($M$15:M192) + N193*((1+$C$6)^(-B193))</f>
        <v>128191.79759395201</v>
      </c>
      <c r="P193" s="51">
        <f t="shared" si="50"/>
        <v>137935.41603631343</v>
      </c>
      <c r="Q193" s="54"/>
      <c r="R193" s="54"/>
      <c r="S193" s="54"/>
      <c r="T193" s="54"/>
      <c r="U193" s="54"/>
      <c r="V193" s="63">
        <f t="shared" si="43"/>
        <v>724.26181975373038</v>
      </c>
      <c r="W193" s="63">
        <f t="shared" si="44"/>
        <v>6857.4589714279346</v>
      </c>
      <c r="X193" s="63" t="str">
        <f t="shared" si="45"/>
        <v>MOC &gt; MIV</v>
      </c>
      <c r="Y193" s="65">
        <f xml:space="preserve"> (SUM($D$15:D192) + H193)/B193</f>
        <v>13.623595505617978</v>
      </c>
      <c r="Z193" s="65">
        <f xml:space="preserve"> 'Growth &amp; yield data'!F195 - 'Growth &amp; yield data'!O194</f>
        <v>14.899999999999977</v>
      </c>
      <c r="AA193" s="117"/>
    </row>
    <row r="194" spans="1:27" x14ac:dyDescent="0.3">
      <c r="A194" s="31">
        <v>181</v>
      </c>
      <c r="B194" s="31">
        <v>179</v>
      </c>
      <c r="C194" s="43">
        <f xml:space="preserve"> 'Growth &amp; yield data'!G195</f>
        <v>0</v>
      </c>
      <c r="D194" s="43">
        <f xml:space="preserve"> 'Growth &amp; yield data'!J195</f>
        <v>0</v>
      </c>
      <c r="E194" s="43">
        <v>0</v>
      </c>
      <c r="F194" s="43">
        <f t="shared" si="48"/>
        <v>0</v>
      </c>
      <c r="G194" s="44">
        <f xml:space="preserve"> 'Growth &amp; yield data'!C195</f>
        <v>103.4</v>
      </c>
      <c r="H194" s="44">
        <f xml:space="preserve"> 'Growth &amp; yield data'!F195</f>
        <v>789.6</v>
      </c>
      <c r="I194" s="43">
        <f t="shared" si="51"/>
        <v>328.88336410079972</v>
      </c>
      <c r="J194" s="44">
        <f t="shared" si="47"/>
        <v>259686.30429399147</v>
      </c>
      <c r="K194" s="43">
        <v>0</v>
      </c>
      <c r="L194" s="43">
        <f t="shared" si="41"/>
        <v>0</v>
      </c>
      <c r="M194" s="57">
        <f t="shared" si="49"/>
        <v>0</v>
      </c>
      <c r="N194" s="44">
        <f t="shared" si="42"/>
        <v>259686.30429399147</v>
      </c>
      <c r="O194" s="51">
        <f xml:space="preserve"> SUM($M$15:M193) + N194*((1+$C$6)^(-B194))</f>
        <v>127909.70778373306</v>
      </c>
      <c r="P194" s="51">
        <f t="shared" si="50"/>
        <v>137477.46041412768</v>
      </c>
      <c r="Q194" s="54"/>
      <c r="R194" s="54"/>
      <c r="S194" s="54"/>
      <c r="T194" s="54"/>
      <c r="U194" s="54"/>
      <c r="V194" s="63">
        <f t="shared" si="43"/>
        <v>131.63777650887346</v>
      </c>
      <c r="W194" s="63">
        <f t="shared" si="44"/>
        <v>5957.456470621787</v>
      </c>
      <c r="X194" s="63" t="str">
        <f t="shared" si="45"/>
        <v>MOC &gt; MIV</v>
      </c>
      <c r="Y194" s="65">
        <f xml:space="preserve"> (SUM($D$15:D193) + H194)/B194</f>
        <v>13.630726256983241</v>
      </c>
      <c r="Z194" s="65">
        <f xml:space="preserve"> 'Growth &amp; yield data'!F196 - 'Growth &amp; yield data'!O195</f>
        <v>13.600000000000023</v>
      </c>
      <c r="AA194" s="117"/>
    </row>
    <row r="195" spans="1:27" x14ac:dyDescent="0.3">
      <c r="A195" s="31">
        <v>182</v>
      </c>
      <c r="B195" s="31">
        <v>180</v>
      </c>
      <c r="C195" s="43">
        <f xml:space="preserve"> 'Growth &amp; yield data'!G196</f>
        <v>0</v>
      </c>
      <c r="D195" s="43">
        <f xml:space="preserve"> 'Growth &amp; yield data'!J196</f>
        <v>0</v>
      </c>
      <c r="E195" s="43">
        <v>0</v>
      </c>
      <c r="F195" s="43">
        <f t="shared" si="48"/>
        <v>0</v>
      </c>
      <c r="G195" s="44">
        <f xml:space="preserve"> 'Growth &amp; yield data'!C196</f>
        <v>104.2</v>
      </c>
      <c r="H195" s="44">
        <f xml:space="preserve"> 'Growth &amp; yield data'!F196</f>
        <v>803.2</v>
      </c>
      <c r="I195" s="43">
        <f t="shared" si="51"/>
        <v>323.48097190879975</v>
      </c>
      <c r="J195" s="44">
        <f t="shared" si="47"/>
        <v>259819.91663714798</v>
      </c>
      <c r="K195" s="43">
        <v>0</v>
      </c>
      <c r="L195" s="43">
        <f t="shared" si="41"/>
        <v>0</v>
      </c>
      <c r="M195" s="57">
        <f t="shared" si="49"/>
        <v>0</v>
      </c>
      <c r="N195" s="44">
        <f t="shared" si="42"/>
        <v>259819.91663714798</v>
      </c>
      <c r="O195" s="51">
        <f xml:space="preserve"> SUM($M$15:M194) + N195*((1+$C$6)^(-B195))</f>
        <v>127651.78215394684</v>
      </c>
      <c r="P195" s="51">
        <f t="shared" si="50"/>
        <v>137048.7437995057</v>
      </c>
      <c r="Q195" s="54"/>
      <c r="R195" s="54"/>
      <c r="S195" s="54"/>
      <c r="T195" s="54"/>
      <c r="U195" s="54"/>
      <c r="V195" s="63">
        <f t="shared" si="43"/>
        <v>-91.821625269003221</v>
      </c>
      <c r="W195" s="63">
        <f t="shared" si="44"/>
        <v>5953.0299065498048</v>
      </c>
      <c r="X195" s="63" t="str">
        <f t="shared" si="45"/>
        <v>MOC &gt; MIV</v>
      </c>
      <c r="Y195" s="65">
        <f xml:space="preserve"> (SUM($D$15:D194) + H195)/B195</f>
        <v>13.630555555555556</v>
      </c>
      <c r="Z195" s="65">
        <f xml:space="preserve"> 'Growth &amp; yield data'!F197 - 'Growth &amp; yield data'!O196</f>
        <v>13.699999999999932</v>
      </c>
      <c r="AA195" s="117"/>
    </row>
    <row r="196" spans="1:27" x14ac:dyDescent="0.3">
      <c r="A196" s="31">
        <v>183</v>
      </c>
      <c r="B196" s="31">
        <v>181</v>
      </c>
      <c r="C196" s="43">
        <f xml:space="preserve"> 'Growth &amp; yield data'!G197</f>
        <v>0</v>
      </c>
      <c r="D196" s="43">
        <f xml:space="preserve"> 'Growth &amp; yield data'!J197</f>
        <v>0</v>
      </c>
      <c r="E196" s="43">
        <v>0</v>
      </c>
      <c r="F196" s="43">
        <f t="shared" si="48"/>
        <v>0</v>
      </c>
      <c r="G196" s="44">
        <f xml:space="preserve"> 'Growth &amp; yield data'!C197</f>
        <v>105</v>
      </c>
      <c r="H196" s="44">
        <f xml:space="preserve"> 'Growth &amp; yield data'!F197</f>
        <v>816.9</v>
      </c>
      <c r="I196" s="43">
        <f t="shared" si="51"/>
        <v>317.94187499999992</v>
      </c>
      <c r="J196" s="44">
        <f t="shared" si="47"/>
        <v>259726.71768749994</v>
      </c>
      <c r="K196" s="43">
        <v>0</v>
      </c>
      <c r="L196" s="43">
        <f t="shared" si="41"/>
        <v>0</v>
      </c>
      <c r="M196" s="57">
        <f t="shared" si="49"/>
        <v>0</v>
      </c>
      <c r="N196" s="44">
        <f t="shared" si="42"/>
        <v>259726.71768749994</v>
      </c>
      <c r="O196" s="51">
        <f xml:space="preserve"> SUM($M$15:M195) + N196*((1+$C$6)^(-B196))</f>
        <v>127382.21100005083</v>
      </c>
      <c r="P196" s="51">
        <f t="shared" si="50"/>
        <v>136610.71072638864</v>
      </c>
      <c r="Q196" s="54"/>
      <c r="R196" s="54"/>
      <c r="S196" s="54"/>
      <c r="T196" s="54"/>
      <c r="U196" s="54"/>
      <c r="V196" s="63">
        <f t="shared" si="43"/>
        <v>-322.8177852333946</v>
      </c>
      <c r="W196" s="63">
        <f t="shared" si="44"/>
        <v>5945.0614262083282</v>
      </c>
      <c r="X196" s="63" t="str">
        <f t="shared" si="45"/>
        <v>MOC &gt; MIV</v>
      </c>
      <c r="Y196" s="65">
        <f xml:space="preserve"> (SUM($D$15:D195) + H196)/B196</f>
        <v>13.630939226519336</v>
      </c>
      <c r="Z196" s="65">
        <f xml:space="preserve"> 'Growth &amp; yield data'!F198 - 'Growth &amp; yield data'!O197</f>
        <v>13.800000000000068</v>
      </c>
      <c r="AA196" s="117"/>
    </row>
    <row r="197" spans="1:27" x14ac:dyDescent="0.3">
      <c r="A197" s="31">
        <v>184</v>
      </c>
      <c r="B197" s="31">
        <v>182</v>
      </c>
      <c r="C197" s="43">
        <f xml:space="preserve"> 'Growth &amp; yield data'!G198</f>
        <v>0</v>
      </c>
      <c r="D197" s="43">
        <f xml:space="preserve"> 'Growth &amp; yield data'!J198</f>
        <v>0</v>
      </c>
      <c r="E197" s="43">
        <v>0</v>
      </c>
      <c r="F197" s="43">
        <f t="shared" si="48"/>
        <v>0</v>
      </c>
      <c r="G197" s="44">
        <f xml:space="preserve"> 'Growth &amp; yield data'!C198</f>
        <v>105.8</v>
      </c>
      <c r="H197" s="44">
        <f xml:space="preserve"> 'Growth &amp; yield data'!F198</f>
        <v>830.7</v>
      </c>
      <c r="I197" s="43">
        <f t="shared" si="51"/>
        <v>312.26562854879984</v>
      </c>
      <c r="J197" s="44">
        <f t="shared" si="47"/>
        <v>259399.05763548805</v>
      </c>
      <c r="K197" s="43">
        <v>0</v>
      </c>
      <c r="L197" s="43">
        <f t="shared" si="41"/>
        <v>0</v>
      </c>
      <c r="M197" s="57">
        <f t="shared" si="49"/>
        <v>0</v>
      </c>
      <c r="N197" s="44">
        <f t="shared" si="42"/>
        <v>259399.05763548805</v>
      </c>
      <c r="O197" s="51">
        <f xml:space="preserve"> SUM($M$15:M196) + N197*((1+$C$6)^(-B197))</f>
        <v>127101.11215395438</v>
      </c>
      <c r="P197" s="51">
        <f t="shared" si="50"/>
        <v>136163.46360459513</v>
      </c>
      <c r="Q197" s="54"/>
      <c r="R197" s="54"/>
      <c r="S197" s="54"/>
      <c r="T197" s="54"/>
      <c r="U197" s="54"/>
      <c r="V197" s="63">
        <f t="shared" si="43"/>
        <v>-561.43134068970096</v>
      </c>
      <c r="W197" s="63">
        <f t="shared" si="44"/>
        <v>5933.4378186012473</v>
      </c>
      <c r="X197" s="63" t="str">
        <f t="shared" si="45"/>
        <v>MOC &gt; MIV</v>
      </c>
      <c r="Y197" s="65">
        <f xml:space="preserve"> (SUM($D$15:D196) + H197)/B197</f>
        <v>13.631868131868131</v>
      </c>
      <c r="Z197" s="65">
        <f xml:space="preserve"> 'Growth &amp; yield data'!F199 - 'Growth &amp; yield data'!O198</f>
        <v>13.899999999999977</v>
      </c>
      <c r="AA197" s="117"/>
    </row>
    <row r="198" spans="1:27" x14ac:dyDescent="0.3">
      <c r="A198" s="31">
        <v>185</v>
      </c>
      <c r="B198" s="31">
        <v>183</v>
      </c>
      <c r="C198" s="43">
        <f xml:space="preserve"> 'Growth &amp; yield data'!G199</f>
        <v>0</v>
      </c>
      <c r="D198" s="43">
        <f xml:space="preserve"> 'Growth &amp; yield data'!J199</f>
        <v>0</v>
      </c>
      <c r="E198" s="43">
        <v>0</v>
      </c>
      <c r="F198" s="43">
        <f t="shared" si="48"/>
        <v>0</v>
      </c>
      <c r="G198" s="44">
        <f xml:space="preserve"> 'Growth &amp; yield data'!C199</f>
        <v>106.6</v>
      </c>
      <c r="H198" s="44">
        <f xml:space="preserve"> 'Growth &amp; yield data'!F199</f>
        <v>844.6</v>
      </c>
      <c r="I198" s="43">
        <f t="shared" si="51"/>
        <v>306.45181722080036</v>
      </c>
      <c r="J198" s="44">
        <f t="shared" si="47"/>
        <v>258829.204824688</v>
      </c>
      <c r="K198" s="43">
        <v>0</v>
      </c>
      <c r="L198" s="43">
        <f t="shared" si="41"/>
        <v>0</v>
      </c>
      <c r="M198" s="57">
        <f t="shared" si="49"/>
        <v>0</v>
      </c>
      <c r="N198" s="44">
        <f t="shared" si="42"/>
        <v>258829.204824688</v>
      </c>
      <c r="O198" s="51">
        <f xml:space="preserve"> SUM($M$15:M197) + N198*((1+$C$6)^(-B198))</f>
        <v>126808.60884339013</v>
      </c>
      <c r="P198" s="51">
        <f t="shared" si="50"/>
        <v>135707.11019917109</v>
      </c>
      <c r="Q198" s="54"/>
      <c r="R198" s="54"/>
      <c r="S198" s="54"/>
      <c r="T198" s="54"/>
      <c r="U198" s="54"/>
      <c r="V198" s="63">
        <f t="shared" si="43"/>
        <v>-837.3472500882649</v>
      </c>
      <c r="W198" s="63">
        <f t="shared" si="44"/>
        <v>5918.0447253578859</v>
      </c>
      <c r="X198" s="63" t="str">
        <f t="shared" si="45"/>
        <v>MOC &gt; MIV</v>
      </c>
      <c r="Y198" s="65">
        <f xml:space="preserve"> (SUM($D$15:D197) + H198)/B198</f>
        <v>13.633333333333335</v>
      </c>
      <c r="Z198" s="65">
        <f xml:space="preserve"> 'Growth &amp; yield data'!F200 - 'Growth &amp; yield data'!O199</f>
        <v>13.899999999999977</v>
      </c>
      <c r="AA198" s="117"/>
    </row>
    <row r="199" spans="1:27" x14ac:dyDescent="0.3">
      <c r="A199" s="31">
        <v>186</v>
      </c>
      <c r="B199" s="31">
        <v>184</v>
      </c>
      <c r="C199" s="43">
        <f xml:space="preserve"> 'Growth &amp; yield data'!G200</f>
        <v>0</v>
      </c>
      <c r="D199" s="43">
        <f xml:space="preserve"> 'Growth &amp; yield data'!J200</f>
        <v>0</v>
      </c>
      <c r="E199" s="43">
        <v>0</v>
      </c>
      <c r="F199" s="43">
        <f t="shared" si="48"/>
        <v>0</v>
      </c>
      <c r="G199" s="44">
        <f xml:space="preserve"> 'Growth &amp; yield data'!C200</f>
        <v>107.4</v>
      </c>
      <c r="H199" s="44">
        <f xml:space="preserve"> 'Growth &amp; yield data'!F200</f>
        <v>858.5</v>
      </c>
      <c r="I199" s="43">
        <f t="shared" si="51"/>
        <v>300.50005517279953</v>
      </c>
      <c r="J199" s="44">
        <f t="shared" si="47"/>
        <v>257979.29736584841</v>
      </c>
      <c r="K199" s="43">
        <v>0</v>
      </c>
      <c r="L199" s="43">
        <f t="shared" si="41"/>
        <v>0</v>
      </c>
      <c r="M199" s="57">
        <f t="shared" si="49"/>
        <v>0</v>
      </c>
      <c r="N199" s="44">
        <f t="shared" si="42"/>
        <v>257979.29736584841</v>
      </c>
      <c r="O199" s="51">
        <f xml:space="preserve"> SUM($M$15:M198) + N199*((1+$C$6)^(-B199))</f>
        <v>126502.88826456132</v>
      </c>
      <c r="P199" s="51">
        <f t="shared" si="50"/>
        <v>135239.68811541729</v>
      </c>
      <c r="Q199" s="54"/>
      <c r="R199" s="54"/>
      <c r="S199" s="54"/>
      <c r="T199" s="54"/>
      <c r="U199" s="54"/>
      <c r="V199" s="63">
        <f t="shared" si="43"/>
        <v>-1119.236978705344</v>
      </c>
      <c r="W199" s="63">
        <f t="shared" si="44"/>
        <v>5898.2847822189851</v>
      </c>
      <c r="X199" s="63" t="str">
        <f t="shared" si="45"/>
        <v>MOC &gt; MIV</v>
      </c>
      <c r="Y199" s="65">
        <f xml:space="preserve"> (SUM($D$15:D198) + H199)/B199</f>
        <v>13.634782608695653</v>
      </c>
      <c r="Z199" s="65">
        <f xml:space="preserve"> 'Growth &amp; yield data'!F201 - 'Growth &amp; yield data'!O200</f>
        <v>13.899999999999977</v>
      </c>
      <c r="AA199" s="117"/>
    </row>
    <row r="200" spans="1:27" x14ac:dyDescent="0.3">
      <c r="A200" s="31">
        <v>187</v>
      </c>
      <c r="B200" s="31">
        <v>185</v>
      </c>
      <c r="C200" s="43">
        <f xml:space="preserve"> 'Growth &amp; yield data'!G201</f>
        <v>0</v>
      </c>
      <c r="D200" s="43">
        <f xml:space="preserve"> 'Growth &amp; yield data'!J201</f>
        <v>0</v>
      </c>
      <c r="E200" s="43">
        <v>0</v>
      </c>
      <c r="F200" s="43">
        <f t="shared" si="48"/>
        <v>0</v>
      </c>
      <c r="G200" s="44">
        <f xml:space="preserve"> 'Growth &amp; yield data'!C201</f>
        <v>108.2</v>
      </c>
      <c r="H200" s="44">
        <f xml:space="preserve"> 'Growth &amp; yield data'!F201</f>
        <v>872.4</v>
      </c>
      <c r="I200" s="43">
        <f t="shared" si="51"/>
        <v>294.40998605279975</v>
      </c>
      <c r="J200" s="44">
        <f t="shared" si="47"/>
        <v>256843.27183246249</v>
      </c>
      <c r="K200" s="43">
        <v>0</v>
      </c>
      <c r="L200" s="43">
        <f t="shared" si="41"/>
        <v>0</v>
      </c>
      <c r="M200" s="57">
        <f t="shared" si="49"/>
        <v>0</v>
      </c>
      <c r="N200" s="44">
        <f t="shared" si="42"/>
        <v>256843.27183246249</v>
      </c>
      <c r="O200" s="51">
        <f xml:space="preserve"> SUM($M$15:M199) + N200*((1+$C$6)^(-B200))</f>
        <v>126184.28640754949</v>
      </c>
      <c r="P200" s="51">
        <f t="shared" si="50"/>
        <v>134761.5378630319</v>
      </c>
      <c r="Q200" s="54"/>
      <c r="R200" s="54"/>
      <c r="S200" s="54"/>
      <c r="T200" s="54"/>
      <c r="U200" s="54"/>
      <c r="V200" s="63">
        <f t="shared" si="43"/>
        <v>-1378.702050504955</v>
      </c>
      <c r="W200" s="63">
        <f t="shared" si="44"/>
        <v>5874.0721454324148</v>
      </c>
      <c r="X200" s="63" t="str">
        <f t="shared" si="45"/>
        <v>MOC &gt; MIV</v>
      </c>
      <c r="Y200" s="65">
        <f xml:space="preserve"> (SUM($D$15:D199) + H200)/B200</f>
        <v>13.636216216216216</v>
      </c>
      <c r="Z200" s="65">
        <f xml:space="preserve"> 'Growth &amp; yield data'!F202 - 'Growth &amp; yield data'!O201</f>
        <v>14</v>
      </c>
      <c r="AA200" s="117"/>
    </row>
    <row r="201" spans="1:27" x14ac:dyDescent="0.3">
      <c r="A201" s="31">
        <v>188</v>
      </c>
      <c r="B201" s="31">
        <v>186</v>
      </c>
      <c r="C201" s="43">
        <f xml:space="preserve"> 'Growth &amp; yield data'!G202</f>
        <v>0</v>
      </c>
      <c r="D201" s="43">
        <f xml:space="preserve"> 'Growth &amp; yield data'!J202</f>
        <v>0</v>
      </c>
      <c r="E201" s="43">
        <v>0</v>
      </c>
      <c r="F201" s="43">
        <f t="shared" si="48"/>
        <v>0</v>
      </c>
      <c r="G201" s="44">
        <f xml:space="preserve"> 'Growth &amp; yield data'!C202</f>
        <v>109</v>
      </c>
      <c r="H201" s="44">
        <f xml:space="preserve"> 'Growth &amp; yield data'!F202</f>
        <v>886.4</v>
      </c>
      <c r="I201" s="43">
        <f t="shared" si="51"/>
        <v>288.18128299999995</v>
      </c>
      <c r="J201" s="44">
        <f t="shared" si="47"/>
        <v>255443.88925119996</v>
      </c>
      <c r="K201" s="43">
        <v>0</v>
      </c>
      <c r="L201" s="43">
        <f t="shared" si="41"/>
        <v>0</v>
      </c>
      <c r="M201" s="57">
        <f t="shared" si="49"/>
        <v>0</v>
      </c>
      <c r="N201" s="44">
        <f t="shared" si="42"/>
        <v>255443.88925119996</v>
      </c>
      <c r="O201" s="51">
        <f xml:space="preserve"> SUM($M$15:M200) + N201*((1+$C$6)^(-B201))</f>
        <v>125854.94716907533</v>
      </c>
      <c r="P201" s="51">
        <f t="shared" si="50"/>
        <v>134274.92731818053</v>
      </c>
      <c r="Q201" s="54"/>
      <c r="R201" s="54"/>
      <c r="S201" s="54"/>
      <c r="T201" s="54"/>
      <c r="U201" s="54"/>
      <c r="V201" s="63">
        <f t="shared" si="43"/>
        <v>-1646.008518775908</v>
      </c>
      <c r="W201" s="63">
        <f t="shared" si="44"/>
        <v>5845.7822485407069</v>
      </c>
      <c r="X201" s="63" t="str">
        <f t="shared" si="45"/>
        <v>MOC &gt; MIV</v>
      </c>
      <c r="Y201" s="65">
        <f xml:space="preserve"> (SUM($D$15:D200) + H201)/B201</f>
        <v>13.638172043010751</v>
      </c>
      <c r="Z201" s="65">
        <f xml:space="preserve"> 'Growth &amp; yield data'!F203 - 'Growth &amp; yield data'!O202</f>
        <v>14.100000000000023</v>
      </c>
      <c r="AA201" s="117"/>
    </row>
    <row r="202" spans="1:27" x14ac:dyDescent="0.3">
      <c r="A202" s="31">
        <v>189</v>
      </c>
      <c r="B202" s="31">
        <v>187</v>
      </c>
      <c r="C202" s="43">
        <f xml:space="preserve"> 'Growth &amp; yield data'!G203</f>
        <v>0</v>
      </c>
      <c r="D202" s="43">
        <f xml:space="preserve"> 'Growth &amp; yield data'!J203</f>
        <v>0</v>
      </c>
      <c r="E202" s="43">
        <v>0</v>
      </c>
      <c r="F202" s="43">
        <f t="shared" si="48"/>
        <v>0</v>
      </c>
      <c r="G202" s="44">
        <f xml:space="preserve"> 'Growth &amp; yield data'!C203</f>
        <v>109.8</v>
      </c>
      <c r="H202" s="44">
        <f xml:space="preserve"> 'Growth &amp; yield data'!F203</f>
        <v>900.5</v>
      </c>
      <c r="I202" s="43">
        <f t="shared" si="51"/>
        <v>281.81364864480003</v>
      </c>
      <c r="J202" s="44">
        <f t="shared" si="47"/>
        <v>253773.19060464241</v>
      </c>
      <c r="K202" s="43">
        <v>0</v>
      </c>
      <c r="L202" s="43">
        <f t="shared" si="41"/>
        <v>0</v>
      </c>
      <c r="M202" s="57">
        <f t="shared" si="49"/>
        <v>0</v>
      </c>
      <c r="N202" s="44">
        <f t="shared" si="42"/>
        <v>253773.19060464241</v>
      </c>
      <c r="O202" s="51">
        <f xml:space="preserve"> SUM($M$15:M201) + N202*((1+$C$6)^(-B202))</f>
        <v>125515.00983608853</v>
      </c>
      <c r="P202" s="51">
        <f t="shared" si="50"/>
        <v>133779.97870086532</v>
      </c>
      <c r="Q202" s="54"/>
      <c r="R202" s="54"/>
      <c r="S202" s="54"/>
      <c r="T202" s="54"/>
      <c r="U202" s="54"/>
      <c r="V202" s="63">
        <f t="shared" si="43"/>
        <v>-1921.2283986433081</v>
      </c>
      <c r="W202" s="63">
        <f t="shared" si="44"/>
        <v>5813.2975395826161</v>
      </c>
      <c r="X202" s="63" t="str">
        <f t="shared" si="45"/>
        <v>MOC &gt; MIV</v>
      </c>
      <c r="Y202" s="65">
        <f xml:space="preserve"> (SUM($D$15:D201) + H202)/B202</f>
        <v>13.640641711229948</v>
      </c>
      <c r="Z202" s="65">
        <f xml:space="preserve"> 'Growth &amp; yield data'!F204 - 'Growth &amp; yield data'!O203</f>
        <v>14.200000000000045</v>
      </c>
      <c r="AA202" s="117"/>
    </row>
    <row r="203" spans="1:27" x14ac:dyDescent="0.3">
      <c r="A203" s="31">
        <v>190</v>
      </c>
      <c r="B203" s="31">
        <v>188</v>
      </c>
      <c r="C203" s="43">
        <f xml:space="preserve"> 'Growth &amp; yield data'!G204</f>
        <v>0</v>
      </c>
      <c r="D203" s="43">
        <f xml:space="preserve"> 'Growth &amp; yield data'!J204</f>
        <v>0</v>
      </c>
      <c r="E203" s="43">
        <v>0</v>
      </c>
      <c r="F203" s="43">
        <f t="shared" si="48"/>
        <v>0</v>
      </c>
      <c r="G203" s="44">
        <f xml:space="preserve"> 'Growth &amp; yield data'!C204</f>
        <v>110.6</v>
      </c>
      <c r="H203" s="44">
        <f xml:space="preserve"> 'Growth &amp; yield data'!F204</f>
        <v>914.7</v>
      </c>
      <c r="I203" s="43">
        <f t="shared" si="51"/>
        <v>275.30681510880009</v>
      </c>
      <c r="J203" s="44">
        <f t="shared" si="47"/>
        <v>251823.14378001945</v>
      </c>
      <c r="K203" s="43">
        <v>0</v>
      </c>
      <c r="L203" s="43">
        <f t="shared" si="41"/>
        <v>0</v>
      </c>
      <c r="M203" s="57">
        <f t="shared" si="49"/>
        <v>0</v>
      </c>
      <c r="N203" s="44">
        <f t="shared" si="42"/>
        <v>251823.14378001945</v>
      </c>
      <c r="O203" s="51">
        <f xml:space="preserve"> SUM($M$15:M202) + N203*((1+$C$6)^(-B203))</f>
        <v>125164.61840120365</v>
      </c>
      <c r="P203" s="51">
        <f t="shared" si="50"/>
        <v>133276.8188883132</v>
      </c>
      <c r="Q203" s="54"/>
      <c r="R203" s="54"/>
      <c r="S203" s="54"/>
      <c r="T203" s="54"/>
      <c r="U203" s="54"/>
      <c r="V203" s="63">
        <f t="shared" si="43"/>
        <v>-2257.3699589766534</v>
      </c>
      <c r="W203" s="63">
        <f t="shared" si="44"/>
        <v>5776.4994400249889</v>
      </c>
      <c r="X203" s="63" t="str">
        <f t="shared" si="45"/>
        <v>MOC &gt; MIV</v>
      </c>
      <c r="Y203" s="65">
        <f xml:space="preserve"> (SUM($D$15:D202) + H203)/B203</f>
        <v>13.643617021276595</v>
      </c>
      <c r="Z203" s="65">
        <f xml:space="preserve"> 'Growth &amp; yield data'!F205 - 'Growth &amp; yield data'!O204</f>
        <v>14.099999999999909</v>
      </c>
      <c r="AA203" s="117"/>
    </row>
    <row r="204" spans="1:27" x14ac:dyDescent="0.3">
      <c r="A204" s="31">
        <v>191</v>
      </c>
      <c r="B204" s="31">
        <v>189</v>
      </c>
      <c r="C204" s="43">
        <f xml:space="preserve"> 'Growth &amp; yield data'!G205</f>
        <v>0</v>
      </c>
      <c r="D204" s="43">
        <f xml:space="preserve"> 'Growth &amp; yield data'!J205</f>
        <v>0</v>
      </c>
      <c r="E204" s="43">
        <v>0</v>
      </c>
      <c r="F204" s="43">
        <f t="shared" si="48"/>
        <v>0</v>
      </c>
      <c r="G204" s="44">
        <f xml:space="preserve"> 'Growth &amp; yield data'!C205</f>
        <v>111.4</v>
      </c>
      <c r="H204" s="44">
        <f xml:space="preserve"> 'Growth &amp; yield data'!F205</f>
        <v>928.8</v>
      </c>
      <c r="I204" s="43">
        <f t="shared" si="51"/>
        <v>268.66054400479993</v>
      </c>
      <c r="J204" s="44">
        <f t="shared" si="47"/>
        <v>249531.91327165815</v>
      </c>
      <c r="K204" s="43">
        <v>0</v>
      </c>
      <c r="L204" s="43">
        <f t="shared" si="41"/>
        <v>0</v>
      </c>
      <c r="M204" s="57">
        <f t="shared" si="49"/>
        <v>0</v>
      </c>
      <c r="N204" s="44">
        <f t="shared" si="42"/>
        <v>249531.91327165815</v>
      </c>
      <c r="O204" s="51">
        <f xml:space="preserve"> SUM($M$15:M203) + N204*((1+$C$6)^(-B204))</f>
        <v>124800.69923459784</v>
      </c>
      <c r="P204" s="51">
        <f t="shared" si="50"/>
        <v>132762.15152303406</v>
      </c>
      <c r="Q204" s="54"/>
      <c r="R204" s="54"/>
      <c r="S204" s="54"/>
      <c r="T204" s="54"/>
      <c r="U204" s="54"/>
      <c r="V204" s="63">
        <f t="shared" si="43"/>
        <v>-1724.8963506176628</v>
      </c>
      <c r="W204" s="63">
        <f t="shared" si="44"/>
        <v>5734.4109719203825</v>
      </c>
      <c r="X204" s="63" t="str">
        <f t="shared" si="45"/>
        <v>MOC &gt; MIV</v>
      </c>
      <c r="Y204" s="65">
        <f xml:space="preserve"> (SUM($D$15:D203) + H204)/B204</f>
        <v>13.646031746031746</v>
      </c>
      <c r="Z204" s="65">
        <f xml:space="preserve"> 'Growth &amp; yield data'!F206 - 'Growth &amp; yield data'!O205</f>
        <v>14.300000000000068</v>
      </c>
      <c r="AA204" s="117"/>
    </row>
    <row r="205" spans="1:27" x14ac:dyDescent="0.3">
      <c r="A205" s="31">
        <v>192</v>
      </c>
      <c r="B205" s="31">
        <v>190</v>
      </c>
      <c r="C205" s="43">
        <f xml:space="preserve"> 'Growth &amp; yield data'!G206</f>
        <v>0</v>
      </c>
      <c r="D205" s="43">
        <f xml:space="preserve"> 'Growth &amp; yield data'!J206</f>
        <v>0</v>
      </c>
      <c r="E205" s="43">
        <v>0</v>
      </c>
      <c r="F205" s="43">
        <f t="shared" si="48"/>
        <v>0</v>
      </c>
      <c r="G205" s="44">
        <f xml:space="preserve"> 'Growth &amp; yield data'!C206</f>
        <v>112.1</v>
      </c>
      <c r="H205" s="44">
        <f xml:space="preserve"> 'Growth &amp; yield data'!F206</f>
        <v>943.1</v>
      </c>
      <c r="I205" s="43">
        <f t="shared" si="51"/>
        <v>262.73050946429987</v>
      </c>
      <c r="J205" s="44">
        <f t="shared" si="47"/>
        <v>247781.14347578122</v>
      </c>
      <c r="K205" s="43">
        <v>0</v>
      </c>
      <c r="L205" s="43">
        <f t="shared" si="41"/>
        <v>0</v>
      </c>
      <c r="M205" s="57">
        <f t="shared" si="49"/>
        <v>0</v>
      </c>
      <c r="N205" s="44">
        <f t="shared" si="42"/>
        <v>247781.14347578122</v>
      </c>
      <c r="O205" s="51">
        <f xml:space="preserve"> SUM($M$15:M204) + N205*((1+$C$6)^(-B205))</f>
        <v>124476.11998931796</v>
      </c>
      <c r="P205" s="51">
        <f t="shared" si="50"/>
        <v>132292.14672979782</v>
      </c>
      <c r="Q205" s="54"/>
      <c r="R205" s="54"/>
      <c r="S205" s="54"/>
      <c r="T205" s="54"/>
      <c r="U205" s="54"/>
      <c r="V205" s="63">
        <f t="shared" si="43"/>
        <v>-2814.697923173032</v>
      </c>
      <c r="W205" s="63">
        <f t="shared" si="44"/>
        <v>5701.0993530836849</v>
      </c>
      <c r="X205" s="63" t="str">
        <f t="shared" si="45"/>
        <v>MOC &gt; MIV</v>
      </c>
      <c r="Y205" s="65">
        <f xml:space="preserve"> (SUM($D$15:D204) + H205)/B205</f>
        <v>13.649473684210527</v>
      </c>
      <c r="Z205" s="65">
        <f xml:space="preserve"> 'Growth &amp; yield data'!F207 - 'Growth &amp; yield data'!O206</f>
        <v>14.299999999999955</v>
      </c>
      <c r="AA205" s="117"/>
    </row>
    <row r="206" spans="1:27" x14ac:dyDescent="0.3">
      <c r="A206" s="31">
        <v>193</v>
      </c>
      <c r="B206" s="31">
        <v>191</v>
      </c>
      <c r="C206" s="43">
        <f xml:space="preserve"> 'Growth &amp; yield data'!G207</f>
        <v>0</v>
      </c>
      <c r="D206" s="43">
        <f xml:space="preserve"> 'Growth &amp; yield data'!J207</f>
        <v>0</v>
      </c>
      <c r="E206" s="43">
        <v>0</v>
      </c>
      <c r="F206" s="43">
        <f t="shared" si="48"/>
        <v>0</v>
      </c>
      <c r="G206" s="44">
        <f xml:space="preserve"> 'Growth &amp; yield data'!C207</f>
        <v>112.9</v>
      </c>
      <c r="H206" s="44">
        <f xml:space="preserve"> 'Growth &amp; yield data'!F207</f>
        <v>957.4</v>
      </c>
      <c r="I206" s="43">
        <f t="shared" si="51"/>
        <v>255.82225306429979</v>
      </c>
      <c r="J206" s="44">
        <f t="shared" si="47"/>
        <v>244924.2250837606</v>
      </c>
      <c r="K206" s="43">
        <v>0</v>
      </c>
      <c r="L206" s="43">
        <f t="shared" si="41"/>
        <v>0</v>
      </c>
      <c r="M206" s="57">
        <f t="shared" si="49"/>
        <v>0</v>
      </c>
      <c r="N206" s="44">
        <f t="shared" si="42"/>
        <v>244924.2250837606</v>
      </c>
      <c r="O206" s="51">
        <f xml:space="preserve"> SUM($M$15:M205) + N206*((1+$C$6)^(-B206))</f>
        <v>124093.47894546283</v>
      </c>
      <c r="P206" s="51">
        <f t="shared" si="50"/>
        <v>131763.20927990065</v>
      </c>
      <c r="Q206" s="54"/>
      <c r="R206" s="54"/>
      <c r="S206" s="54"/>
      <c r="T206" s="54"/>
      <c r="U206" s="54"/>
      <c r="V206" s="63">
        <f t="shared" si="43"/>
        <v>-3143.3422178281485</v>
      </c>
      <c r="W206" s="63">
        <f t="shared" si="44"/>
        <v>5650.3115154549178</v>
      </c>
      <c r="X206" s="63" t="str">
        <f t="shared" si="45"/>
        <v>MOC &gt; MIV</v>
      </c>
      <c r="Y206" s="65">
        <f xml:space="preserve"> (SUM($D$15:D205) + H206)/B206</f>
        <v>13.652879581151831</v>
      </c>
      <c r="Z206" s="65">
        <f xml:space="preserve"> 'Growth &amp; yield data'!F208 - 'Growth &amp; yield data'!O207</f>
        <v>14.300000000000068</v>
      </c>
      <c r="AA206" s="117"/>
    </row>
    <row r="207" spans="1:27" x14ac:dyDescent="0.3">
      <c r="A207" s="31">
        <v>194</v>
      </c>
      <c r="B207" s="31">
        <v>192</v>
      </c>
      <c r="C207" s="43">
        <f xml:space="preserve"> 'Growth &amp; yield data'!G208</f>
        <v>0</v>
      </c>
      <c r="D207" s="43">
        <f xml:space="preserve"> 'Growth &amp; yield data'!J208</f>
        <v>0</v>
      </c>
      <c r="E207" s="43">
        <v>0</v>
      </c>
      <c r="F207" s="43">
        <f t="shared" ref="F207:F213" si="52" xml:space="preserve"> D207*E207</f>
        <v>0</v>
      </c>
      <c r="G207" s="44">
        <f xml:space="preserve"> 'Growth &amp; yield data'!C208</f>
        <v>113.7</v>
      </c>
      <c r="H207" s="44">
        <f xml:space="preserve"> 'Growth &amp; yield data'!F208</f>
        <v>971.7</v>
      </c>
      <c r="I207" s="43">
        <f t="shared" si="51"/>
        <v>248.7740380082999</v>
      </c>
      <c r="J207" s="44">
        <f t="shared" si="47"/>
        <v>241733.73273266503</v>
      </c>
      <c r="K207" s="43">
        <v>0</v>
      </c>
      <c r="L207" s="43">
        <f t="shared" si="41"/>
        <v>0</v>
      </c>
      <c r="M207" s="57">
        <f t="shared" ref="M207:M213" si="53">L207*((1+$C$6)^(-B207))</f>
        <v>0</v>
      </c>
      <c r="N207" s="44">
        <f t="shared" si="42"/>
        <v>241733.73273266503</v>
      </c>
      <c r="O207" s="51">
        <f xml:space="preserve"> SUM($M$15:M206) + N207*((1+$C$6)^(-B207))</f>
        <v>123699.82041242605</v>
      </c>
      <c r="P207" s="51">
        <f t="shared" ref="P207:P213" si="54" xml:space="preserve"> O207/(1-((1+$C$6)^(-B207)))</f>
        <v>131225.36030065466</v>
      </c>
      <c r="Q207" s="54"/>
      <c r="R207" s="54"/>
      <c r="S207" s="54"/>
      <c r="T207" s="54"/>
      <c r="U207" s="54"/>
      <c r="V207" s="63">
        <f t="shared" si="43"/>
        <v>-3454.2210184938044</v>
      </c>
      <c r="W207" s="63">
        <f t="shared" si="44"/>
        <v>5594.3863954997951</v>
      </c>
      <c r="X207" s="63" t="str">
        <f t="shared" si="45"/>
        <v>MOC &gt; MIV</v>
      </c>
      <c r="Y207" s="65">
        <f xml:space="preserve"> (SUM($D$15:D206) + H207)/B207</f>
        <v>13.65625</v>
      </c>
      <c r="Z207" s="65">
        <f xml:space="preserve"> 'Growth &amp; yield data'!F209 - 'Growth &amp; yield data'!O208</f>
        <v>14.399999999999977</v>
      </c>
      <c r="AA207" s="117"/>
    </row>
    <row r="208" spans="1:27" x14ac:dyDescent="0.3">
      <c r="A208" s="31">
        <v>195</v>
      </c>
      <c r="B208" s="31">
        <v>193</v>
      </c>
      <c r="C208" s="43">
        <f xml:space="preserve"> 'Growth &amp; yield data'!G209</f>
        <v>111</v>
      </c>
      <c r="D208" s="43">
        <f xml:space="preserve"> 'Growth &amp; yield data'!J209</f>
        <v>167.8</v>
      </c>
      <c r="E208" s="43">
        <f xml:space="preserve">  $F$10*(C208^4) + $F$9*(C208^3) + $F$8*(C208^2) + $F$7*C208 + $F$6</f>
        <v>272.00112300000001</v>
      </c>
      <c r="F208" s="43">
        <f t="shared" si="52"/>
        <v>45641.788439400007</v>
      </c>
      <c r="G208" s="44">
        <f xml:space="preserve"> 'Growth &amp; yield data'!C209</f>
        <v>114.5</v>
      </c>
      <c r="H208" s="44">
        <f xml:space="preserve"> 'Growth &amp; yield data'!F209</f>
        <v>986.1</v>
      </c>
      <c r="I208" s="43">
        <f t="shared" si="51"/>
        <v>241.58574018750005</v>
      </c>
      <c r="J208" s="44">
        <f t="shared" si="47"/>
        <v>238227.69839889382</v>
      </c>
      <c r="K208" s="43">
        <v>0</v>
      </c>
      <c r="L208" s="43">
        <f t="shared" ref="L208:L213" si="55" xml:space="preserve"> F208 - K208</f>
        <v>45641.788439400007</v>
      </c>
      <c r="M208" s="57">
        <f t="shared" si="53"/>
        <v>2578.7930998282905</v>
      </c>
      <c r="N208" s="44">
        <f t="shared" ref="N208:N213" si="56" xml:space="preserve"> J208 - K208</f>
        <v>238227.69839889382</v>
      </c>
      <c r="O208" s="51">
        <f xml:space="preserve"> SUM($M$15:M207) + N208*((1+$C$6)^(-B208))</f>
        <v>123296.85512543668</v>
      </c>
      <c r="P208" s="51">
        <f t="shared" si="54"/>
        <v>130680.38886991415</v>
      </c>
      <c r="Q208" s="54"/>
      <c r="R208" s="54"/>
      <c r="S208" s="54"/>
      <c r="T208" s="54"/>
      <c r="U208" s="54"/>
      <c r="V208" s="63">
        <f t="shared" si="43"/>
        <v>-2852.9141243033664</v>
      </c>
      <c r="W208" s="63">
        <f t="shared" si="44"/>
        <v>5533.6213090321198</v>
      </c>
      <c r="X208" s="63" t="str">
        <f t="shared" si="45"/>
        <v>MOC &gt; MIV</v>
      </c>
      <c r="Y208" s="65">
        <f xml:space="preserve"> (SUM($D$15:D207) + H208)/B208</f>
        <v>13.660103626943005</v>
      </c>
      <c r="Z208" s="65">
        <f xml:space="preserve"> 'Growth &amp; yield data'!F210 - 'Growth &amp; yield data'!O209</f>
        <v>15.100000000000023</v>
      </c>
      <c r="AA208" s="117"/>
    </row>
    <row r="209" spans="1:27" x14ac:dyDescent="0.3">
      <c r="A209" s="31">
        <v>196</v>
      </c>
      <c r="B209" s="31">
        <v>194</v>
      </c>
      <c r="C209" s="43">
        <f xml:space="preserve"> 'Growth &amp; yield data'!G210</f>
        <v>0</v>
      </c>
      <c r="D209" s="43">
        <f xml:space="preserve"> 'Growth &amp; yield data'!J210</f>
        <v>0</v>
      </c>
      <c r="E209" s="43">
        <v>0</v>
      </c>
      <c r="F209" s="43">
        <f t="shared" si="52"/>
        <v>0</v>
      </c>
      <c r="G209" s="44">
        <f xml:space="preserve"> 'Growth &amp; yield data'!C210</f>
        <v>116.1</v>
      </c>
      <c r="H209" s="44">
        <f xml:space="preserve"> 'Growth &amp; yield data'!F210</f>
        <v>833.4</v>
      </c>
      <c r="I209" s="43">
        <f t="shared" si="51"/>
        <v>226.78854727230009</v>
      </c>
      <c r="J209" s="44">
        <f t="shared" si="47"/>
        <v>189005.5752967349</v>
      </c>
      <c r="K209" s="43">
        <v>0</v>
      </c>
      <c r="L209" s="43">
        <f t="shared" si="55"/>
        <v>0</v>
      </c>
      <c r="M209" s="57">
        <f t="shared" si="53"/>
        <v>0</v>
      </c>
      <c r="N209" s="44">
        <f t="shared" si="56"/>
        <v>189005.5752967349</v>
      </c>
      <c r="O209" s="51">
        <f xml:space="preserve"> SUM($M$15:M208) + N209*((1+$C$6)^(-B209))</f>
        <v>122936.7467409755</v>
      </c>
      <c r="P209" s="51">
        <f t="shared" si="54"/>
        <v>130183.50481634757</v>
      </c>
      <c r="Q209" s="54"/>
      <c r="R209" s="54"/>
      <c r="S209" s="54"/>
      <c r="T209" s="54"/>
      <c r="U209" s="54"/>
      <c r="V209" s="63">
        <f t="shared" ref="V209:V213" si="57" xml:space="preserve"> (J210-J209)*(1+$C$6)^(A209-A210) + L209</f>
        <v>-4048.2629229901008</v>
      </c>
      <c r="W209" s="63">
        <f t="shared" ref="W209:W213" si="58" xml:space="preserve"> (J209+P209)*$C$6</f>
        <v>4787.8362016962374</v>
      </c>
      <c r="X209" s="63" t="str">
        <f t="shared" ref="X209:X213" si="59" xml:space="preserve"> IF(V209&gt;W209, "MIV &gt; MOC", "MOC &gt; MIV")</f>
        <v>MOC &gt; MIV</v>
      </c>
      <c r="Y209" s="65">
        <f xml:space="preserve"> (SUM($D$15:D208) + H209)/B209</f>
        <v>13.667525773195877</v>
      </c>
      <c r="Z209" s="65">
        <f xml:space="preserve"> 'Growth &amp; yield data'!F211 - 'Growth &amp; yield data'!O210</f>
        <v>13.899999999999977</v>
      </c>
      <c r="AA209" s="117"/>
    </row>
    <row r="210" spans="1:27" x14ac:dyDescent="0.3">
      <c r="A210" s="31">
        <v>197</v>
      </c>
      <c r="B210" s="31">
        <v>195</v>
      </c>
      <c r="C210" s="43">
        <f xml:space="preserve"> 'Growth &amp; yield data'!G211</f>
        <v>0</v>
      </c>
      <c r="D210" s="43">
        <f xml:space="preserve"> 'Growth &amp; yield data'!J211</f>
        <v>0</v>
      </c>
      <c r="E210" s="43">
        <v>0</v>
      </c>
      <c r="F210" s="43">
        <f t="shared" si="52"/>
        <v>0</v>
      </c>
      <c r="G210" s="44">
        <f xml:space="preserve"> 'Growth &amp; yield data'!C211</f>
        <v>117</v>
      </c>
      <c r="H210" s="44">
        <f xml:space="preserve"> 'Growth &amp; yield data'!F211</f>
        <v>847.3</v>
      </c>
      <c r="I210" s="43">
        <f t="shared" si="51"/>
        <v>218.21856299999996</v>
      </c>
      <c r="J210" s="44">
        <f t="shared" si="47"/>
        <v>184896.58842989994</v>
      </c>
      <c r="K210" s="43">
        <v>0</v>
      </c>
      <c r="L210" s="43">
        <f t="shared" si="55"/>
        <v>0</v>
      </c>
      <c r="M210" s="57">
        <f t="shared" si="53"/>
        <v>0</v>
      </c>
      <c r="N210" s="44">
        <f t="shared" si="56"/>
        <v>184896.58842989994</v>
      </c>
      <c r="O210" s="51">
        <f xml:space="preserve"> SUM($M$15:M209) + N210*((1+$C$6)^(-B210))</f>
        <v>122555.91259341127</v>
      </c>
      <c r="P210" s="51">
        <f t="shared" si="54"/>
        <v>129667.26346081664</v>
      </c>
      <c r="Q210" s="54"/>
      <c r="R210" s="54"/>
      <c r="S210" s="54"/>
      <c r="T210" s="54"/>
      <c r="U210" s="54"/>
      <c r="V210" s="63">
        <f t="shared" si="57"/>
        <v>-3601.5199458360185</v>
      </c>
      <c r="W210" s="63">
        <f t="shared" si="58"/>
        <v>4718.4577783607483</v>
      </c>
      <c r="X210" s="63" t="str">
        <f t="shared" si="59"/>
        <v>MOC &gt; MIV</v>
      </c>
      <c r="Y210" s="65">
        <f xml:space="preserve"> (SUM($D$15:D209) + H210)/B210</f>
        <v>13.668717948717946</v>
      </c>
      <c r="Z210" s="65">
        <f xml:space="preserve"> 'Growth &amp; yield data'!F212 - 'Growth &amp; yield data'!O211</f>
        <v>13.900000000000091</v>
      </c>
      <c r="AA210" s="117"/>
    </row>
    <row r="211" spans="1:27" x14ac:dyDescent="0.3">
      <c r="A211" s="31">
        <v>198</v>
      </c>
      <c r="B211" s="31">
        <v>196</v>
      </c>
      <c r="C211" s="43">
        <f xml:space="preserve"> 'Growth &amp; yield data'!G212</f>
        <v>0</v>
      </c>
      <c r="D211" s="43">
        <f xml:space="preserve"> 'Growth &amp; yield data'!J212</f>
        <v>0</v>
      </c>
      <c r="E211" s="43">
        <v>0</v>
      </c>
      <c r="F211" s="43">
        <f t="shared" si="52"/>
        <v>0</v>
      </c>
      <c r="G211" s="44">
        <f xml:space="preserve"> 'Growth &amp; yield data'!C212</f>
        <v>117.8</v>
      </c>
      <c r="H211" s="44">
        <f xml:space="preserve"> 'Growth &amp; yield data'!F212</f>
        <v>861.2</v>
      </c>
      <c r="I211" s="43">
        <f t="shared" si="51"/>
        <v>210.45174835680024</v>
      </c>
      <c r="J211" s="44">
        <f t="shared" si="47"/>
        <v>181241.04568487639</v>
      </c>
      <c r="K211" s="43">
        <v>0</v>
      </c>
      <c r="L211" s="43">
        <f t="shared" si="55"/>
        <v>0</v>
      </c>
      <c r="M211" s="57">
        <f t="shared" si="53"/>
        <v>0</v>
      </c>
      <c r="N211" s="44">
        <f t="shared" si="56"/>
        <v>181241.04568487639</v>
      </c>
      <c r="O211" s="51">
        <f xml:space="preserve"> SUM($M$15:M210) + N211*((1+$C$6)^(-B211))</f>
        <v>122208.53758080638</v>
      </c>
      <c r="P211" s="51">
        <f t="shared" si="54"/>
        <v>129188.95008653418</v>
      </c>
      <c r="Q211" s="54"/>
      <c r="R211" s="54"/>
      <c r="S211" s="54"/>
      <c r="T211" s="54"/>
      <c r="U211" s="54"/>
      <c r="V211" s="63">
        <f t="shared" si="57"/>
        <v>-4775.9665474643434</v>
      </c>
      <c r="W211" s="63">
        <f t="shared" si="58"/>
        <v>4656.449936571159</v>
      </c>
      <c r="X211" s="63" t="str">
        <f t="shared" si="59"/>
        <v>MOC &gt; MIV</v>
      </c>
      <c r="Y211" s="65">
        <f xml:space="preserve"> (SUM($D$15:D210) + H211)/B211</f>
        <v>13.669897959183674</v>
      </c>
      <c r="Z211" s="65">
        <f xml:space="preserve"> 'Growth &amp; yield data'!F213 - 'Growth &amp; yield data'!O212</f>
        <v>14</v>
      </c>
      <c r="AA211" s="117"/>
    </row>
    <row r="212" spans="1:27" x14ac:dyDescent="0.3">
      <c r="A212" s="31">
        <v>199</v>
      </c>
      <c r="B212" s="31">
        <v>197</v>
      </c>
      <c r="C212" s="43">
        <f xml:space="preserve"> 'Growth &amp; yield data'!G213</f>
        <v>0</v>
      </c>
      <c r="D212" s="43">
        <f xml:space="preserve"> 'Growth &amp; yield data'!J213</f>
        <v>0</v>
      </c>
      <c r="E212" s="43">
        <v>0</v>
      </c>
      <c r="F212" s="43">
        <f t="shared" si="52"/>
        <v>0</v>
      </c>
      <c r="G212" s="44">
        <f xml:space="preserve"> 'Growth &amp; yield data'!C213</f>
        <v>118.7</v>
      </c>
      <c r="H212" s="44">
        <f xml:space="preserve"> 'Growth &amp; yield data'!F213</f>
        <v>875.2</v>
      </c>
      <c r="I212" s="43">
        <f t="shared" si="51"/>
        <v>201.54643468829988</v>
      </c>
      <c r="J212" s="44">
        <f t="shared" si="47"/>
        <v>176393.43963920008</v>
      </c>
      <c r="K212" s="43">
        <v>0</v>
      </c>
      <c r="L212" s="43">
        <f t="shared" si="55"/>
        <v>0</v>
      </c>
      <c r="M212" s="57">
        <f t="shared" si="53"/>
        <v>0</v>
      </c>
      <c r="N212" s="44">
        <f t="shared" si="56"/>
        <v>176393.43963920008</v>
      </c>
      <c r="O212" s="51">
        <f xml:space="preserve"> SUM($M$15:M211) + N212*((1+$C$6)^(-B212))</f>
        <v>121805.75679838624</v>
      </c>
      <c r="P212" s="51">
        <f t="shared" si="54"/>
        <v>128654.56289297738</v>
      </c>
      <c r="Q212" s="54"/>
      <c r="R212" s="54"/>
      <c r="S212" s="54"/>
      <c r="T212" s="54"/>
      <c r="U212" s="54"/>
      <c r="V212" s="63">
        <f t="shared" si="57"/>
        <v>-5177.0673537549446</v>
      </c>
      <c r="W212" s="63">
        <f t="shared" si="58"/>
        <v>4575.7200379826618</v>
      </c>
      <c r="X212" s="63" t="str">
        <f t="shared" si="59"/>
        <v>MOC &gt; MIV</v>
      </c>
      <c r="Y212" s="65">
        <f xml:space="preserve"> (SUM($D$15:D211) + H212)/B212</f>
        <v>13.671573604060915</v>
      </c>
      <c r="Z212" s="65">
        <f xml:space="preserve"> 'Growth &amp; yield data'!F214 - 'Growth &amp; yield data'!O213</f>
        <v>14</v>
      </c>
      <c r="AA212" s="117"/>
    </row>
    <row r="213" spans="1:27" x14ac:dyDescent="0.3">
      <c r="A213" s="31">
        <v>200</v>
      </c>
      <c r="B213" s="31">
        <v>198</v>
      </c>
      <c r="C213" s="43">
        <f xml:space="preserve"> 'Growth &amp; yield data'!G214</f>
        <v>0</v>
      </c>
      <c r="D213" s="43">
        <f xml:space="preserve"> 'Growth &amp; yield data'!J214</f>
        <v>0</v>
      </c>
      <c r="E213" s="43">
        <v>0</v>
      </c>
      <c r="F213" s="43">
        <f t="shared" si="52"/>
        <v>0</v>
      </c>
      <c r="G213" s="44">
        <f xml:space="preserve"> 'Growth &amp; yield data'!C214</f>
        <v>119.6</v>
      </c>
      <c r="H213" s="44">
        <f xml:space="preserve"> 'Growth &amp; yield data'!F214</f>
        <v>889.2</v>
      </c>
      <c r="I213" s="43">
        <f t="shared" si="51"/>
        <v>192.46369351680028</v>
      </c>
      <c r="J213" s="44">
        <f t="shared" si="47"/>
        <v>171138.71627513881</v>
      </c>
      <c r="K213" s="43">
        <v>0</v>
      </c>
      <c r="L213" s="43">
        <f t="shared" si="55"/>
        <v>0</v>
      </c>
      <c r="M213" s="57">
        <f t="shared" si="53"/>
        <v>0</v>
      </c>
      <c r="N213" s="44">
        <f t="shared" si="56"/>
        <v>171138.71627513881</v>
      </c>
      <c r="O213" s="51">
        <f xml:space="preserve"> SUM($M$15:M212) + N213*((1+$C$6)^(-B213))</f>
        <v>121391.38987476086</v>
      </c>
      <c r="P213" s="51">
        <f t="shared" si="54"/>
        <v>128110.44451349844</v>
      </c>
      <c r="Q213" s="54"/>
      <c r="R213" s="54"/>
      <c r="S213" s="54"/>
      <c r="T213" s="54"/>
      <c r="U213" s="54"/>
      <c r="V213" s="63"/>
      <c r="W213" s="63"/>
      <c r="X213" s="63"/>
      <c r="Y213" s="65"/>
      <c r="Z213" s="65"/>
    </row>
    <row r="214" spans="1:27" x14ac:dyDescent="0.3">
      <c r="O214" t="s">
        <v>198</v>
      </c>
      <c r="P214" s="51">
        <f xml:space="preserve"> AVERAGE(P30:P213)</f>
        <v>114098.33772081479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32"/>
  <sheetViews>
    <sheetView zoomScale="130" zoomScaleNormal="130" workbookViewId="0">
      <pane xSplit="2" ySplit="7" topLeftCell="G25" activePane="bottomRight" state="frozen"/>
      <selection pane="topRight" activeCell="C1" sqref="C1"/>
      <selection pane="bottomLeft" activeCell="A8" sqref="A8"/>
      <selection pane="bottomRight" activeCell="E39" sqref="E39"/>
    </sheetView>
  </sheetViews>
  <sheetFormatPr defaultRowHeight="14.4" x14ac:dyDescent="0.3"/>
  <cols>
    <col min="1" max="1" width="18.77734375" customWidth="1"/>
    <col min="24" max="24" width="15.44140625" bestFit="1" customWidth="1"/>
    <col min="25" max="25" width="28.21875" bestFit="1" customWidth="1"/>
    <col min="26" max="26" width="28.21875" customWidth="1"/>
  </cols>
  <sheetData>
    <row r="1" spans="1:27" x14ac:dyDescent="0.3">
      <c r="A1" t="s">
        <v>36</v>
      </c>
    </row>
    <row r="2" spans="1:27" x14ac:dyDescent="0.3">
      <c r="A2" t="s">
        <v>37</v>
      </c>
    </row>
    <row r="3" spans="1:27" x14ac:dyDescent="0.3">
      <c r="A3" t="s">
        <v>120</v>
      </c>
      <c r="B3" t="s">
        <v>121</v>
      </c>
    </row>
    <row r="5" spans="1:27" ht="18.600000000000001" thickBot="1" x14ac:dyDescent="0.4">
      <c r="A5" s="19" t="s">
        <v>38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</row>
    <row r="6" spans="1:27" x14ac:dyDescent="0.3">
      <c r="A6" s="21"/>
      <c r="B6" s="22"/>
      <c r="C6" s="22" t="s">
        <v>54</v>
      </c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111"/>
      <c r="X6" s="32" t="s">
        <v>67</v>
      </c>
      <c r="Y6" s="33" t="s">
        <v>65</v>
      </c>
      <c r="Z6" s="30" t="s">
        <v>195</v>
      </c>
      <c r="AA6" s="34" t="s">
        <v>66</v>
      </c>
    </row>
    <row r="7" spans="1:27" ht="15" thickBot="1" x14ac:dyDescent="0.35">
      <c r="A7" s="29" t="s">
        <v>39</v>
      </c>
      <c r="B7" s="23"/>
      <c r="C7" s="24">
        <v>2.5</v>
      </c>
      <c r="D7" s="24">
        <v>7.5</v>
      </c>
      <c r="E7" s="24">
        <v>12.5</v>
      </c>
      <c r="F7" s="24">
        <v>17.5</v>
      </c>
      <c r="G7" s="24">
        <v>22.5</v>
      </c>
      <c r="H7" s="24">
        <v>27.5</v>
      </c>
      <c r="I7" s="24">
        <v>32.5</v>
      </c>
      <c r="J7" s="24">
        <v>37.5</v>
      </c>
      <c r="K7" s="24">
        <v>42.5</v>
      </c>
      <c r="L7" s="24">
        <v>47.5</v>
      </c>
      <c r="M7" s="24">
        <v>52.5</v>
      </c>
      <c r="N7" s="24">
        <v>57.5</v>
      </c>
      <c r="O7" s="24">
        <v>62.5</v>
      </c>
      <c r="P7" s="24">
        <v>67.5</v>
      </c>
      <c r="Q7" s="24">
        <v>72.5</v>
      </c>
      <c r="R7" s="24">
        <v>77.5</v>
      </c>
      <c r="S7" s="24">
        <v>82.5</v>
      </c>
      <c r="T7" s="24">
        <v>87.5</v>
      </c>
      <c r="U7" s="24">
        <v>92.5</v>
      </c>
      <c r="V7" s="24">
        <v>97.5</v>
      </c>
      <c r="W7" s="112" t="s">
        <v>194</v>
      </c>
      <c r="X7" s="35" t="s">
        <v>64</v>
      </c>
      <c r="Y7" s="30" t="s">
        <v>64</v>
      </c>
      <c r="AA7" s="36" t="s">
        <v>64</v>
      </c>
    </row>
    <row r="8" spans="1:27" x14ac:dyDescent="0.3">
      <c r="A8" s="26" t="s">
        <v>40</v>
      </c>
      <c r="B8" s="25"/>
      <c r="C8" s="25" t="s">
        <v>35</v>
      </c>
      <c r="D8" s="25" t="s">
        <v>35</v>
      </c>
      <c r="E8" s="25" t="s">
        <v>35</v>
      </c>
      <c r="F8" s="25" t="s">
        <v>35</v>
      </c>
      <c r="G8" s="25" t="s">
        <v>35</v>
      </c>
      <c r="H8" s="25" t="s">
        <v>35</v>
      </c>
      <c r="I8" s="25" t="s">
        <v>35</v>
      </c>
      <c r="J8" s="25" t="s">
        <v>35</v>
      </c>
      <c r="K8" s="25" t="s">
        <v>35</v>
      </c>
      <c r="L8" s="25" t="s">
        <v>35</v>
      </c>
      <c r="M8" s="25" t="s">
        <v>35</v>
      </c>
      <c r="N8" s="25" t="s">
        <v>35</v>
      </c>
      <c r="O8" s="25" t="s">
        <v>35</v>
      </c>
      <c r="P8" s="25">
        <v>2.2702615750750266E-2</v>
      </c>
      <c r="Q8" s="25">
        <v>0.32451705092674038</v>
      </c>
      <c r="R8" s="25">
        <v>0.38725945162852971</v>
      </c>
      <c r="S8" s="25" t="s">
        <v>35</v>
      </c>
      <c r="T8" s="25" t="s">
        <v>35</v>
      </c>
      <c r="U8" s="25" t="s">
        <v>35</v>
      </c>
      <c r="V8" s="25" t="s">
        <v>35</v>
      </c>
      <c r="W8" s="25">
        <f xml:space="preserve"> SUM(C8:V8)</f>
        <v>0.73447911830602042</v>
      </c>
      <c r="X8" s="35">
        <v>491</v>
      </c>
      <c r="Y8" s="30">
        <v>105</v>
      </c>
      <c r="Z8" s="30">
        <f xml:space="preserve"> X8 - Y8</f>
        <v>386</v>
      </c>
      <c r="AA8" s="36">
        <f xml:space="preserve"> Z8*W8</f>
        <v>283.50893966612387</v>
      </c>
    </row>
    <row r="9" spans="1:27" x14ac:dyDescent="0.3">
      <c r="A9" s="26" t="s">
        <v>41</v>
      </c>
      <c r="B9" s="25"/>
      <c r="C9" s="25" t="s">
        <v>35</v>
      </c>
      <c r="D9" s="25">
        <v>3.9301701157743647</v>
      </c>
      <c r="E9" s="25">
        <v>7.0692135540280407</v>
      </c>
      <c r="F9" s="25">
        <v>13.29530835437305</v>
      </c>
      <c r="G9" s="25">
        <v>19.593494475903729</v>
      </c>
      <c r="H9" s="25">
        <v>18.96843450104938</v>
      </c>
      <c r="I9" s="25">
        <v>17.57490645800684</v>
      </c>
      <c r="J9" s="25">
        <v>14.416760442061642</v>
      </c>
      <c r="K9" s="25">
        <v>14.510533141274665</v>
      </c>
      <c r="L9" s="25">
        <v>14.703133260237111</v>
      </c>
      <c r="M9" s="25">
        <v>12.887914701081565</v>
      </c>
      <c r="N9" s="25">
        <v>13.091358590185823</v>
      </c>
      <c r="O9" s="25">
        <v>13.955587355297654</v>
      </c>
      <c r="P9" s="25">
        <v>10.880203884058215</v>
      </c>
      <c r="Q9" s="25">
        <v>9.235862614245681</v>
      </c>
      <c r="R9" s="25">
        <v>9.3743392883684429</v>
      </c>
      <c r="S9" s="25">
        <v>7.0670675799501481</v>
      </c>
      <c r="T9" s="25">
        <v>5.2228828570370025</v>
      </c>
      <c r="U9" s="25" t="s">
        <v>35</v>
      </c>
      <c r="V9" s="25" t="s">
        <v>35</v>
      </c>
      <c r="W9" s="25">
        <f t="shared" ref="W9:W21" si="0" xml:space="preserve"> SUM(C9:V9)</f>
        <v>205.77717117293338</v>
      </c>
      <c r="X9" s="35">
        <v>491</v>
      </c>
      <c r="Y9" s="30">
        <v>105</v>
      </c>
      <c r="Z9" s="30">
        <f t="shared" ref="Z9:Z21" si="1" xml:space="preserve"> X9 - Y9</f>
        <v>386</v>
      </c>
      <c r="AA9" s="36">
        <f t="shared" ref="AA9:AA21" si="2" xml:space="preserve"> Z9*W9</f>
        <v>79429.988072752283</v>
      </c>
    </row>
    <row r="10" spans="1:27" x14ac:dyDescent="0.3">
      <c r="A10" s="26" t="s">
        <v>42</v>
      </c>
      <c r="B10" s="25"/>
      <c r="C10" s="25" t="s">
        <v>35</v>
      </c>
      <c r="D10" s="25" t="s">
        <v>35</v>
      </c>
      <c r="E10" s="25" t="s">
        <v>35</v>
      </c>
      <c r="F10" s="25" t="s">
        <v>35</v>
      </c>
      <c r="G10" s="25" t="s">
        <v>35</v>
      </c>
      <c r="H10" s="25">
        <v>6.7434497961170375E-2</v>
      </c>
      <c r="I10" s="25">
        <v>0.327809126063699</v>
      </c>
      <c r="J10" s="25">
        <v>0.12751773013671053</v>
      </c>
      <c r="K10" s="25" t="s">
        <v>35</v>
      </c>
      <c r="L10" s="25" t="s">
        <v>35</v>
      </c>
      <c r="M10" s="25" t="s">
        <v>35</v>
      </c>
      <c r="N10" s="25" t="s">
        <v>35</v>
      </c>
      <c r="O10" s="25" t="s">
        <v>35</v>
      </c>
      <c r="P10" s="25" t="s">
        <v>35</v>
      </c>
      <c r="Q10" s="25" t="s">
        <v>35</v>
      </c>
      <c r="R10" s="25" t="s">
        <v>35</v>
      </c>
      <c r="S10" s="25" t="s">
        <v>35</v>
      </c>
      <c r="T10" s="25" t="s">
        <v>35</v>
      </c>
      <c r="U10" s="25" t="s">
        <v>35</v>
      </c>
      <c r="V10" s="25" t="s">
        <v>35</v>
      </c>
      <c r="W10" s="25">
        <f t="shared" si="0"/>
        <v>0.52276135416157987</v>
      </c>
      <c r="X10" s="35">
        <v>491</v>
      </c>
      <c r="Y10" s="30">
        <v>105</v>
      </c>
      <c r="Z10" s="30">
        <f t="shared" si="1"/>
        <v>386</v>
      </c>
      <c r="AA10" s="36">
        <f t="shared" si="2"/>
        <v>201.78588270636982</v>
      </c>
    </row>
    <row r="11" spans="1:27" x14ac:dyDescent="0.3">
      <c r="A11" s="26" t="s">
        <v>43</v>
      </c>
      <c r="B11" s="25"/>
      <c r="C11" s="25" t="s">
        <v>35</v>
      </c>
      <c r="D11" s="25">
        <v>2.6503698017620012</v>
      </c>
      <c r="E11" s="25">
        <v>3.8122189838451757</v>
      </c>
      <c r="F11" s="25">
        <v>3.4740382513414314</v>
      </c>
      <c r="G11" s="25">
        <v>3.5744354303879695</v>
      </c>
      <c r="H11" s="25">
        <v>2.6575206577656476</v>
      </c>
      <c r="I11" s="25">
        <v>2.8018167163046526</v>
      </c>
      <c r="J11" s="25">
        <v>2.6980544224039189</v>
      </c>
      <c r="K11" s="25">
        <v>2.0624763812743061</v>
      </c>
      <c r="L11" s="25">
        <v>3.6515462877102549</v>
      </c>
      <c r="M11" s="25">
        <v>2.9834295853248523</v>
      </c>
      <c r="N11" s="25">
        <v>2.6339273113084376</v>
      </c>
      <c r="O11" s="25">
        <v>2.7774923139773673</v>
      </c>
      <c r="P11" s="25">
        <v>2.6036949730111512</v>
      </c>
      <c r="Q11" s="25">
        <v>1.4234743740265676</v>
      </c>
      <c r="R11" s="25" t="s">
        <v>35</v>
      </c>
      <c r="S11" s="25" t="s">
        <v>35</v>
      </c>
      <c r="T11" s="25" t="s">
        <v>35</v>
      </c>
      <c r="U11" s="25" t="s">
        <v>35</v>
      </c>
      <c r="V11" s="25" t="s">
        <v>35</v>
      </c>
      <c r="W11" s="25">
        <f t="shared" si="0"/>
        <v>39.804495490443735</v>
      </c>
      <c r="X11" s="35">
        <v>491</v>
      </c>
      <c r="Y11" s="30">
        <v>105</v>
      </c>
      <c r="Z11" s="30">
        <f t="shared" si="1"/>
        <v>386</v>
      </c>
      <c r="AA11" s="36">
        <f t="shared" si="2"/>
        <v>15364.535259311282</v>
      </c>
    </row>
    <row r="12" spans="1:27" x14ac:dyDescent="0.3">
      <c r="A12" s="26" t="s">
        <v>44</v>
      </c>
      <c r="B12" s="25"/>
      <c r="C12" s="25">
        <v>99.472153625434373</v>
      </c>
      <c r="D12" s="25">
        <v>88.629442511375032</v>
      </c>
      <c r="E12" s="25">
        <v>78.561446304986092</v>
      </c>
      <c r="F12" s="25">
        <v>56.400532347137684</v>
      </c>
      <c r="G12" s="25">
        <v>36.530783265483038</v>
      </c>
      <c r="H12" s="25">
        <v>30.743987122806509</v>
      </c>
      <c r="I12" s="25">
        <v>31.1463416617703</v>
      </c>
      <c r="J12" s="25">
        <v>23.925780624308807</v>
      </c>
      <c r="K12" s="25">
        <v>17.813758976573027</v>
      </c>
      <c r="L12" s="25">
        <v>20.009230696810384</v>
      </c>
      <c r="M12" s="25">
        <v>18.347756920829084</v>
      </c>
      <c r="N12" s="25">
        <v>18.352422245475296</v>
      </c>
      <c r="O12" s="25">
        <v>18.738469932925721</v>
      </c>
      <c r="P12" s="25">
        <v>18.06041094820139</v>
      </c>
      <c r="Q12" s="25">
        <v>13.858130061333492</v>
      </c>
      <c r="R12" s="25">
        <v>6.8872818845521193</v>
      </c>
      <c r="S12" s="25">
        <v>2.5026822618306022</v>
      </c>
      <c r="T12" s="25">
        <v>0</v>
      </c>
      <c r="U12" s="25">
        <v>100</v>
      </c>
      <c r="V12" s="25">
        <v>100</v>
      </c>
      <c r="W12" s="25">
        <f t="shared" si="0"/>
        <v>779.98061139183278</v>
      </c>
      <c r="X12" s="35">
        <v>491</v>
      </c>
      <c r="Y12" s="30">
        <v>105</v>
      </c>
      <c r="Z12" s="30">
        <f t="shared" si="1"/>
        <v>386</v>
      </c>
      <c r="AA12" s="36">
        <f t="shared" si="2"/>
        <v>301072.51599724748</v>
      </c>
    </row>
    <row r="13" spans="1:27" x14ac:dyDescent="0.3">
      <c r="A13" s="26" t="s">
        <v>45</v>
      </c>
      <c r="B13" s="25"/>
      <c r="C13" s="25" t="s">
        <v>35</v>
      </c>
      <c r="D13" s="25">
        <v>1.1287990747414542</v>
      </c>
      <c r="E13" s="25">
        <v>3.2450430128514109</v>
      </c>
      <c r="F13" s="25">
        <v>11.75429187019316</v>
      </c>
      <c r="G13" s="25">
        <v>24.671102013114279</v>
      </c>
      <c r="H13" s="25">
        <v>33.343038984872265</v>
      </c>
      <c r="I13" s="25">
        <v>32.801051592579618</v>
      </c>
      <c r="J13" s="25">
        <v>30.404016541214375</v>
      </c>
      <c r="K13" s="25">
        <v>13.968486635150086</v>
      </c>
      <c r="L13" s="25">
        <v>11.099846263106485</v>
      </c>
      <c r="M13" s="25">
        <v>5.841610260309527</v>
      </c>
      <c r="N13" s="25">
        <v>3.313988114726016</v>
      </c>
      <c r="O13" s="25">
        <v>2.2719381369753688</v>
      </c>
      <c r="P13" s="25">
        <v>1.5631225246206053</v>
      </c>
      <c r="Q13" s="25">
        <v>0.78317502508764025</v>
      </c>
      <c r="R13" s="25">
        <v>8.4281792984522361E-2</v>
      </c>
      <c r="S13" s="25" t="s">
        <v>35</v>
      </c>
      <c r="T13" s="25" t="s">
        <v>35</v>
      </c>
      <c r="U13" s="25" t="s">
        <v>35</v>
      </c>
      <c r="V13" s="25" t="s">
        <v>35</v>
      </c>
      <c r="W13" s="25">
        <f t="shared" si="0"/>
        <v>176.2737918425268</v>
      </c>
      <c r="X13" s="35">
        <v>491</v>
      </c>
      <c r="Y13" s="30">
        <v>105</v>
      </c>
      <c r="Z13" s="30">
        <f t="shared" si="1"/>
        <v>386</v>
      </c>
      <c r="AA13" s="36">
        <f t="shared" si="2"/>
        <v>68041.683651215353</v>
      </c>
    </row>
    <row r="14" spans="1:27" x14ac:dyDescent="0.3">
      <c r="A14" s="26" t="s">
        <v>46</v>
      </c>
      <c r="B14" s="25"/>
      <c r="C14" s="25">
        <v>0.42508588529732166</v>
      </c>
      <c r="D14" s="25">
        <v>3.5655277119871855</v>
      </c>
      <c r="E14" s="25">
        <v>7.1359906839735352</v>
      </c>
      <c r="F14" s="25">
        <v>14.356240612138734</v>
      </c>
      <c r="G14" s="25">
        <v>13.703137104374838</v>
      </c>
      <c r="H14" s="25">
        <v>10.358501886884035</v>
      </c>
      <c r="I14" s="25">
        <v>8.0293493892761401</v>
      </c>
      <c r="J14" s="25">
        <v>12.959568681906736</v>
      </c>
      <c r="K14" s="25">
        <v>16.487003619265082</v>
      </c>
      <c r="L14" s="25">
        <v>15.822645043308309</v>
      </c>
      <c r="M14" s="25">
        <v>14.610340086812876</v>
      </c>
      <c r="N14" s="25">
        <v>14.553162425744693</v>
      </c>
      <c r="O14" s="25">
        <v>13.164484511991946</v>
      </c>
      <c r="P14" s="25">
        <v>12.850617494441908</v>
      </c>
      <c r="Q14" s="25">
        <v>14.886377463549371</v>
      </c>
      <c r="R14" s="25">
        <v>10.897566390459087</v>
      </c>
      <c r="S14" s="25">
        <v>1.6663428518745613</v>
      </c>
      <c r="T14" s="25" t="s">
        <v>35</v>
      </c>
      <c r="U14" s="25" t="s">
        <v>35</v>
      </c>
      <c r="V14" s="25" t="s">
        <v>35</v>
      </c>
      <c r="W14" s="25">
        <f t="shared" si="0"/>
        <v>185.47194184328634</v>
      </c>
      <c r="X14" s="35">
        <v>491</v>
      </c>
      <c r="Y14" s="30">
        <v>105</v>
      </c>
      <c r="Z14" s="30">
        <f t="shared" si="1"/>
        <v>386</v>
      </c>
      <c r="AA14" s="36">
        <f t="shared" si="2"/>
        <v>71592.16955150853</v>
      </c>
    </row>
    <row r="15" spans="1:27" x14ac:dyDescent="0.3">
      <c r="A15" s="26" t="s">
        <v>47</v>
      </c>
      <c r="B15" s="25"/>
      <c r="C15" s="25" t="s">
        <v>35</v>
      </c>
      <c r="D15" s="25" t="s">
        <v>35</v>
      </c>
      <c r="E15" s="25" t="s">
        <v>35</v>
      </c>
      <c r="F15" s="25">
        <v>8.0663099272059401E-4</v>
      </c>
      <c r="G15" s="25">
        <v>7.6195056011807245E-3</v>
      </c>
      <c r="H15" s="25">
        <v>3.0496550886360663E-2</v>
      </c>
      <c r="I15" s="25">
        <v>7.9121764887895088E-2</v>
      </c>
      <c r="J15" s="25">
        <v>0.28515849512009389</v>
      </c>
      <c r="K15" s="25">
        <v>0.78053021670023326</v>
      </c>
      <c r="L15" s="25">
        <v>1.0260855335129813</v>
      </c>
      <c r="M15" s="25">
        <v>1.8106754815249146</v>
      </c>
      <c r="N15" s="25">
        <v>1.9707307989013607</v>
      </c>
      <c r="O15" s="25">
        <v>2.1219262993979409</v>
      </c>
      <c r="P15" s="25">
        <v>1.808084971008997</v>
      </c>
      <c r="Q15" s="25">
        <v>1.576748572998061</v>
      </c>
      <c r="R15" s="25">
        <v>1.4197858695696572</v>
      </c>
      <c r="S15" s="25">
        <v>0.65302053199378729</v>
      </c>
      <c r="T15" s="25" t="s">
        <v>35</v>
      </c>
      <c r="U15" s="25" t="s">
        <v>35</v>
      </c>
      <c r="V15" s="25" t="s">
        <v>35</v>
      </c>
      <c r="W15" s="25">
        <f t="shared" si="0"/>
        <v>13.570791223096185</v>
      </c>
      <c r="X15" s="35">
        <v>822</v>
      </c>
      <c r="Y15" s="30">
        <v>105</v>
      </c>
      <c r="Z15" s="30">
        <f t="shared" si="1"/>
        <v>717</v>
      </c>
      <c r="AA15" s="36">
        <f t="shared" si="2"/>
        <v>9730.2573069599639</v>
      </c>
    </row>
    <row r="16" spans="1:27" x14ac:dyDescent="0.3">
      <c r="A16" s="26" t="s">
        <v>48</v>
      </c>
      <c r="B16" s="25"/>
      <c r="C16" s="25" t="s">
        <v>35</v>
      </c>
      <c r="D16" s="25">
        <v>7.7660340877213187E-3</v>
      </c>
      <c r="E16" s="25">
        <v>3.6485034129133183E-2</v>
      </c>
      <c r="F16" s="25">
        <v>0.13897037721360986</v>
      </c>
      <c r="G16" s="25">
        <v>0.52308774379404122</v>
      </c>
      <c r="H16" s="25">
        <v>2.0989256110092112</v>
      </c>
      <c r="I16" s="25">
        <v>4.4820736870577047</v>
      </c>
      <c r="J16" s="25">
        <v>8.4341938883001824</v>
      </c>
      <c r="K16" s="25">
        <v>18.878799301380475</v>
      </c>
      <c r="L16" s="25">
        <v>19.155444294398229</v>
      </c>
      <c r="M16" s="25">
        <v>28.605689967163272</v>
      </c>
      <c r="N16" s="25">
        <v>28.799065360547424</v>
      </c>
      <c r="O16" s="25">
        <v>28.436969891985722</v>
      </c>
      <c r="P16" s="25">
        <v>32.320697344273526</v>
      </c>
      <c r="Q16" s="25">
        <v>36.707133534706642</v>
      </c>
      <c r="R16" s="25">
        <v>39.655030322502149</v>
      </c>
      <c r="S16" s="25">
        <v>21.193177342985955</v>
      </c>
      <c r="T16" s="25" t="s">
        <v>35</v>
      </c>
      <c r="U16" s="25" t="s">
        <v>35</v>
      </c>
      <c r="V16" s="25" t="s">
        <v>35</v>
      </c>
      <c r="W16" s="25">
        <f t="shared" si="0"/>
        <v>269.47350973553495</v>
      </c>
      <c r="X16" s="35">
        <v>647</v>
      </c>
      <c r="Y16" s="30">
        <v>105</v>
      </c>
      <c r="Z16" s="30">
        <f t="shared" si="1"/>
        <v>542</v>
      </c>
      <c r="AA16" s="36">
        <f t="shared" si="2"/>
        <v>146054.64227665993</v>
      </c>
    </row>
    <row r="17" spans="1:27" x14ac:dyDescent="0.3">
      <c r="A17" s="26" t="s">
        <v>49</v>
      </c>
      <c r="B17" s="25"/>
      <c r="C17" s="25" t="s">
        <v>35</v>
      </c>
      <c r="D17" s="25">
        <v>7.5553277365040727E-3</v>
      </c>
      <c r="E17" s="25">
        <v>9.6863749083233759E-3</v>
      </c>
      <c r="F17" s="25">
        <v>9.8400307660377832E-3</v>
      </c>
      <c r="G17" s="25">
        <v>8.7643193267892466E-2</v>
      </c>
      <c r="H17" s="25">
        <v>0.35069379334519452</v>
      </c>
      <c r="I17" s="25">
        <v>0.75811589115132028</v>
      </c>
      <c r="J17" s="25">
        <v>2.3585806281399293</v>
      </c>
      <c r="K17" s="25">
        <v>5.6205774014873535</v>
      </c>
      <c r="L17" s="25">
        <v>4.3970503937152756</v>
      </c>
      <c r="M17" s="25">
        <v>6.4055055943485737</v>
      </c>
      <c r="N17" s="25">
        <v>7.058458753010993</v>
      </c>
      <c r="O17" s="25">
        <v>7.8225742462821266</v>
      </c>
      <c r="P17" s="25">
        <v>10.708261085480455</v>
      </c>
      <c r="Q17" s="25">
        <v>12.929022183538338</v>
      </c>
      <c r="R17" s="25">
        <v>14.313708934109924</v>
      </c>
      <c r="S17" s="25">
        <v>7.9937992030934177</v>
      </c>
      <c r="T17" s="25" t="s">
        <v>35</v>
      </c>
      <c r="U17" s="25" t="s">
        <v>35</v>
      </c>
      <c r="V17" s="25" t="s">
        <v>35</v>
      </c>
      <c r="W17" s="25">
        <f t="shared" si="0"/>
        <v>80.83107303438166</v>
      </c>
      <c r="X17" s="35">
        <v>556</v>
      </c>
      <c r="Y17" s="30">
        <v>105</v>
      </c>
      <c r="Z17" s="30">
        <f t="shared" si="1"/>
        <v>451</v>
      </c>
      <c r="AA17" s="36">
        <f t="shared" si="2"/>
        <v>36454.813938506129</v>
      </c>
    </row>
    <row r="18" spans="1:27" x14ac:dyDescent="0.3">
      <c r="A18" s="26" t="s">
        <v>50</v>
      </c>
      <c r="B18" s="25"/>
      <c r="C18" s="25" t="s">
        <v>35</v>
      </c>
      <c r="D18" s="25" t="s">
        <v>35</v>
      </c>
      <c r="E18" s="25" t="s">
        <v>35</v>
      </c>
      <c r="F18" s="25" t="s">
        <v>35</v>
      </c>
      <c r="G18" s="25" t="s">
        <v>35</v>
      </c>
      <c r="H18" s="25">
        <v>5.8525058058116735E-3</v>
      </c>
      <c r="I18" s="25">
        <v>3.1240211046239381E-2</v>
      </c>
      <c r="J18" s="25">
        <v>0.15872306837699704</v>
      </c>
      <c r="K18" s="25">
        <v>0.47607847585710766</v>
      </c>
      <c r="L18" s="25">
        <v>0.18129140913469485</v>
      </c>
      <c r="M18" s="25">
        <v>0.15637550156513616</v>
      </c>
      <c r="N18" s="25">
        <v>0.14589335647999041</v>
      </c>
      <c r="O18" s="25">
        <v>0.15016799751348714</v>
      </c>
      <c r="P18" s="25">
        <v>0.11932113066845239</v>
      </c>
      <c r="Q18" s="25">
        <v>5.6526361472627538E-2</v>
      </c>
      <c r="R18" s="25" t="s">
        <v>35</v>
      </c>
      <c r="S18" s="25" t="s">
        <v>35</v>
      </c>
      <c r="T18" s="25" t="s">
        <v>35</v>
      </c>
      <c r="U18" s="25" t="s">
        <v>35</v>
      </c>
      <c r="V18" s="25" t="s">
        <v>35</v>
      </c>
      <c r="W18" s="25">
        <f t="shared" si="0"/>
        <v>1.4814700179205442</v>
      </c>
      <c r="X18" s="35">
        <v>491</v>
      </c>
      <c r="Y18" s="30">
        <v>105</v>
      </c>
      <c r="Z18" s="30">
        <f t="shared" si="1"/>
        <v>386</v>
      </c>
      <c r="AA18" s="36">
        <f t="shared" si="2"/>
        <v>571.84742691733004</v>
      </c>
    </row>
    <row r="19" spans="1:27" x14ac:dyDescent="0.3">
      <c r="A19" s="26" t="s">
        <v>51</v>
      </c>
      <c r="B19" s="25"/>
      <c r="C19" s="25" t="s">
        <v>35</v>
      </c>
      <c r="D19" s="25" t="s">
        <v>35</v>
      </c>
      <c r="E19" s="25">
        <v>2.2814822023146077E-2</v>
      </c>
      <c r="F19" s="25">
        <v>0.33728884138528337</v>
      </c>
      <c r="G19" s="25">
        <v>1.1383118320870034</v>
      </c>
      <c r="H19" s="25">
        <v>1.3124996847422794</v>
      </c>
      <c r="I19" s="25">
        <v>1.84969791641167</v>
      </c>
      <c r="J19" s="25">
        <v>3.8176179397995673</v>
      </c>
      <c r="K19" s="25">
        <v>7.9922843113125639</v>
      </c>
      <c r="L19" s="25">
        <v>8.9459949290541694</v>
      </c>
      <c r="M19" s="25">
        <v>7.645759903730335</v>
      </c>
      <c r="N19" s="25">
        <v>9.9049562513929885</v>
      </c>
      <c r="O19" s="25">
        <v>10.464457658438244</v>
      </c>
      <c r="P19" s="25">
        <v>8.9675390262053902</v>
      </c>
      <c r="Q19" s="25">
        <v>7.8405265848985692</v>
      </c>
      <c r="R19" s="25">
        <v>16.191534930104783</v>
      </c>
      <c r="S19" s="25">
        <v>58.501516611199214</v>
      </c>
      <c r="T19" s="25">
        <v>94.777117142962993</v>
      </c>
      <c r="U19" s="25" t="s">
        <v>35</v>
      </c>
      <c r="V19" s="25" t="s">
        <v>35</v>
      </c>
      <c r="W19" s="25">
        <f t="shared" si="0"/>
        <v>239.70991838574818</v>
      </c>
      <c r="X19" s="35">
        <v>491</v>
      </c>
      <c r="Y19" s="30">
        <v>105</v>
      </c>
      <c r="Z19" s="30">
        <f t="shared" si="1"/>
        <v>386</v>
      </c>
      <c r="AA19" s="36">
        <f t="shared" si="2"/>
        <v>92528.028496898798</v>
      </c>
    </row>
    <row r="20" spans="1:27" x14ac:dyDescent="0.3">
      <c r="A20" s="26" t="s">
        <v>52</v>
      </c>
      <c r="B20" s="25"/>
      <c r="C20" s="25">
        <v>0.10276048926831918</v>
      </c>
      <c r="D20" s="25">
        <v>5.7793742048158653E-2</v>
      </c>
      <c r="E20" s="25">
        <v>6.4171066171824109E-2</v>
      </c>
      <c r="F20" s="25">
        <v>0.17080628107146945</v>
      </c>
      <c r="G20" s="25">
        <v>0.158333175361701</v>
      </c>
      <c r="H20" s="25">
        <v>6.261420287212649E-2</v>
      </c>
      <c r="I20" s="25">
        <v>0.11847558544395569</v>
      </c>
      <c r="J20" s="25">
        <v>0.39509037630414623</v>
      </c>
      <c r="K20" s="25">
        <v>1.3409159663881074</v>
      </c>
      <c r="L20" s="25">
        <v>0.98941455185951299</v>
      </c>
      <c r="M20" s="25">
        <v>0.70494199730985452</v>
      </c>
      <c r="N20" s="25">
        <v>0.1730519155464518</v>
      </c>
      <c r="O20" s="25">
        <v>8.2790003908723556E-2</v>
      </c>
      <c r="P20" s="25">
        <v>8.8977260244352943E-2</v>
      </c>
      <c r="Q20" s="25">
        <v>0.37850617321626984</v>
      </c>
      <c r="R20" s="25">
        <v>0.78921113572079238</v>
      </c>
      <c r="S20" s="25">
        <v>0.42239361707230744</v>
      </c>
      <c r="T20" s="25" t="s">
        <v>35</v>
      </c>
      <c r="U20" s="25" t="s">
        <v>35</v>
      </c>
      <c r="V20" s="25" t="s">
        <v>35</v>
      </c>
      <c r="W20" s="25">
        <f t="shared" si="0"/>
        <v>6.1002475398080742</v>
      </c>
      <c r="X20" s="35">
        <v>479</v>
      </c>
      <c r="Y20" s="30">
        <v>105</v>
      </c>
      <c r="Z20" s="30">
        <f t="shared" si="1"/>
        <v>374</v>
      </c>
      <c r="AA20" s="36">
        <f t="shared" si="2"/>
        <v>2281.4925798882196</v>
      </c>
    </row>
    <row r="21" spans="1:27" ht="15" thickBot="1" x14ac:dyDescent="0.35">
      <c r="A21" s="26" t="s">
        <v>53</v>
      </c>
      <c r="B21" s="25"/>
      <c r="C21" s="25" t="s">
        <v>35</v>
      </c>
      <c r="D21" s="25">
        <v>2.2575680487561974E-2</v>
      </c>
      <c r="E21" s="25">
        <v>4.293016308331702E-2</v>
      </c>
      <c r="F21" s="25">
        <v>6.187640338682595E-2</v>
      </c>
      <c r="G21" s="25">
        <v>1.2052260624343369E-2</v>
      </c>
      <c r="H21" s="25" t="s">
        <v>35</v>
      </c>
      <c r="I21" s="25" t="s">
        <v>35</v>
      </c>
      <c r="J21" s="25">
        <v>1.893716192687267E-2</v>
      </c>
      <c r="K21" s="25">
        <v>6.8555573337005515E-2</v>
      </c>
      <c r="L21" s="25">
        <v>1.8317337152570775E-2</v>
      </c>
      <c r="M21" s="25" t="s">
        <v>35</v>
      </c>
      <c r="N21" s="25">
        <v>2.9848766805353933E-3</v>
      </c>
      <c r="O21" s="25">
        <v>1.3141651305711464E-2</v>
      </c>
      <c r="P21" s="25">
        <v>6.3667420348143891E-3</v>
      </c>
      <c r="Q21" s="25" t="s">
        <v>35</v>
      </c>
      <c r="R21" s="25" t="s">
        <v>35</v>
      </c>
      <c r="S21" s="25" t="s">
        <v>35</v>
      </c>
      <c r="T21" s="25" t="s">
        <v>35</v>
      </c>
      <c r="U21" s="25" t="s">
        <v>35</v>
      </c>
      <c r="V21" s="25" t="s">
        <v>35</v>
      </c>
      <c r="W21" s="25">
        <f t="shared" si="0"/>
        <v>0.26773785001955858</v>
      </c>
      <c r="X21" s="35">
        <v>491</v>
      </c>
      <c r="Y21" s="30">
        <v>105</v>
      </c>
      <c r="Z21" s="30">
        <f t="shared" si="1"/>
        <v>386</v>
      </c>
      <c r="AA21" s="36">
        <f t="shared" si="2"/>
        <v>103.34681010754962</v>
      </c>
    </row>
    <row r="22" spans="1:27" ht="15" thickBot="1" x14ac:dyDescent="0.35">
      <c r="A22" s="27"/>
      <c r="B22" s="28"/>
      <c r="C22" s="28">
        <f>+SUM(C8:C21)</f>
        <v>100.00000000000001</v>
      </c>
      <c r="D22" s="28">
        <f t="shared" ref="D22:V22" si="3">+SUM(D8:D21)</f>
        <v>99.999999999999986</v>
      </c>
      <c r="E22" s="28">
        <f t="shared" si="3"/>
        <v>99.999999999999986</v>
      </c>
      <c r="F22" s="28">
        <f t="shared" si="3"/>
        <v>100.00000000000001</v>
      </c>
      <c r="G22" s="28">
        <f t="shared" si="3"/>
        <v>100</v>
      </c>
      <c r="H22" s="28">
        <f t="shared" si="3"/>
        <v>99.999999999999972</v>
      </c>
      <c r="I22" s="28">
        <f t="shared" si="3"/>
        <v>100.00000000000004</v>
      </c>
      <c r="J22" s="28">
        <f t="shared" si="3"/>
        <v>99.999999999999972</v>
      </c>
      <c r="K22" s="28">
        <f t="shared" si="3"/>
        <v>100</v>
      </c>
      <c r="L22" s="28">
        <f t="shared" si="3"/>
        <v>99.999999999999972</v>
      </c>
      <c r="M22" s="28">
        <f t="shared" si="3"/>
        <v>100</v>
      </c>
      <c r="N22" s="28">
        <f t="shared" si="3"/>
        <v>100.00000000000001</v>
      </c>
      <c r="O22" s="28">
        <f t="shared" si="3"/>
        <v>100.00000000000003</v>
      </c>
      <c r="P22" s="28">
        <f t="shared" si="3"/>
        <v>100</v>
      </c>
      <c r="Q22" s="28">
        <f t="shared" si="3"/>
        <v>99.999999999999986</v>
      </c>
      <c r="R22" s="28">
        <f t="shared" si="3"/>
        <v>100.00000000000001</v>
      </c>
      <c r="S22" s="28">
        <f t="shared" si="3"/>
        <v>99.999999999999986</v>
      </c>
      <c r="T22" s="28">
        <f t="shared" si="3"/>
        <v>100</v>
      </c>
      <c r="U22" s="28">
        <f t="shared" si="3"/>
        <v>100</v>
      </c>
      <c r="V22" s="28">
        <f t="shared" si="3"/>
        <v>100</v>
      </c>
      <c r="W22" s="113"/>
      <c r="X22" s="37"/>
      <c r="Y22" s="38"/>
      <c r="Z22" s="38"/>
      <c r="AA22" s="39"/>
    </row>
    <row r="23" spans="1:27" x14ac:dyDescent="0.3">
      <c r="A23" s="40" t="s">
        <v>61</v>
      </c>
      <c r="B23" s="30"/>
      <c r="C23" s="30">
        <f xml:space="preserve"> (SUMPRODUCT(C8:C21, $Z$8:$Z$21))/100</f>
        <v>385.98766874128779</v>
      </c>
      <c r="D23" s="30">
        <f t="shared" ref="D23:V23" si="4" xml:space="preserve"> (SUMPRODUCT(D8:D21, $Z$8:$Z$21))/100</f>
        <v>386.01009072715971</v>
      </c>
      <c r="E23" s="30">
        <f t="shared" si="4"/>
        <v>386.05551226899121</v>
      </c>
      <c r="F23" s="30">
        <f t="shared" si="4"/>
        <v>386.20536300330843</v>
      </c>
      <c r="G23" s="30">
        <f t="shared" si="4"/>
        <v>386.87920553843929</v>
      </c>
      <c r="H23" s="30">
        <f t="shared" si="4"/>
        <v>389.59570479793786</v>
      </c>
      <c r="I23" s="30">
        <f t="shared" si="4"/>
        <v>393.73248625258429</v>
      </c>
      <c r="J23" s="30">
        <f t="shared" si="4"/>
        <v>401.58688364773013</v>
      </c>
      <c r="K23" s="30">
        <f t="shared" si="4"/>
        <v>421.52694732243157</v>
      </c>
      <c r="L23" s="30">
        <f t="shared" si="4"/>
        <v>422.01818922488093</v>
      </c>
      <c r="M23" s="30">
        <f t="shared" si="4"/>
        <v>440.69719778927146</v>
      </c>
      <c r="N23" s="30">
        <f t="shared" si="4"/>
        <v>442.01689286640902</v>
      </c>
      <c r="O23" s="30">
        <f t="shared" si="4"/>
        <v>442.45998754211928</v>
      </c>
      <c r="P23" s="30">
        <f t="shared" si="4"/>
        <v>449.35474154543948</v>
      </c>
      <c r="Q23" s="30">
        <f t="shared" si="4"/>
        <v>456.84060976927992</v>
      </c>
      <c r="R23" s="30">
        <f t="shared" si="4"/>
        <v>461.77054400226393</v>
      </c>
      <c r="S23" s="30">
        <f t="shared" si="4"/>
        <v>426.36813686391957</v>
      </c>
      <c r="T23" s="30">
        <f t="shared" si="4"/>
        <v>386</v>
      </c>
      <c r="U23" s="30">
        <f t="shared" si="4"/>
        <v>386</v>
      </c>
      <c r="V23" s="30">
        <f t="shared" si="4"/>
        <v>386</v>
      </c>
      <c r="W23" s="30"/>
      <c r="X23" s="41"/>
      <c r="Y23" s="41"/>
      <c r="Z23" s="41"/>
      <c r="AA23" s="41"/>
    </row>
    <row r="24" spans="1:27" x14ac:dyDescent="0.3">
      <c r="A24" s="30" t="s">
        <v>68</v>
      </c>
      <c r="B24" s="30"/>
      <c r="C24" s="30">
        <f xml:space="preserve"> $E$32*C7^4 + $E$31*C7^3 + $E$30*C7^2 + $E$29*C7 + $E$28</f>
        <v>392.57949218749997</v>
      </c>
      <c r="D24" s="30">
        <f t="shared" ref="D24:U24" si="5" xml:space="preserve"> $E$32*D7^4 + $E$31*D7^3 + $E$30*D7^2 + $E$29*D7 + $E$28</f>
        <v>383.64011718749998</v>
      </c>
      <c r="E24" s="30">
        <f t="shared" si="5"/>
        <v>379.95011718749998</v>
      </c>
      <c r="F24" s="30">
        <f t="shared" si="5"/>
        <v>380.54949218749999</v>
      </c>
      <c r="G24" s="30">
        <f t="shared" si="5"/>
        <v>384.52324218749999</v>
      </c>
      <c r="H24" s="30">
        <f t="shared" si="5"/>
        <v>391.00136718750002</v>
      </c>
      <c r="I24" s="30">
        <f t="shared" si="5"/>
        <v>399.15886718749994</v>
      </c>
      <c r="J24" s="30">
        <f t="shared" si="5"/>
        <v>408.21574218749998</v>
      </c>
      <c r="K24" s="30">
        <f t="shared" si="5"/>
        <v>417.43699218749998</v>
      </c>
      <c r="L24" s="30">
        <f t="shared" si="5"/>
        <v>426.13261718749993</v>
      </c>
      <c r="M24" s="30">
        <f t="shared" si="5"/>
        <v>433.65761718749997</v>
      </c>
      <c r="N24" s="30">
        <f t="shared" si="5"/>
        <v>439.4119921875</v>
      </c>
      <c r="O24" s="30">
        <f t="shared" si="5"/>
        <v>442.84074218749998</v>
      </c>
      <c r="P24" s="30">
        <f t="shared" si="5"/>
        <v>443.43386718749997</v>
      </c>
      <c r="Q24" s="30">
        <f t="shared" si="5"/>
        <v>440.72636718749993</v>
      </c>
      <c r="R24" s="30">
        <f t="shared" si="5"/>
        <v>434.29824218749991</v>
      </c>
      <c r="S24" s="30">
        <f t="shared" si="5"/>
        <v>423.77449218749996</v>
      </c>
      <c r="T24" s="30">
        <f t="shared" si="5"/>
        <v>408.82511718749998</v>
      </c>
      <c r="U24" s="30">
        <f t="shared" si="5"/>
        <v>389.16511718750002</v>
      </c>
      <c r="V24" s="30">
        <f xml:space="preserve"> $E$32*V7^4 + $E$31*V7^3 + $E$30*V7^2 + $E$29*V7 + $E$28</f>
        <v>364.55449218749987</v>
      </c>
      <c r="W24" s="30"/>
    </row>
    <row r="25" spans="1:27" x14ac:dyDescent="0.3">
      <c r="X25" s="42"/>
    </row>
    <row r="27" spans="1:27" x14ac:dyDescent="0.3">
      <c r="D27" s="31" t="s">
        <v>69</v>
      </c>
      <c r="E27" s="31"/>
    </row>
    <row r="28" spans="1:27" x14ac:dyDescent="0.3">
      <c r="D28" s="31" t="s">
        <v>70</v>
      </c>
      <c r="E28" s="31">
        <v>399.33</v>
      </c>
    </row>
    <row r="29" spans="1:27" x14ac:dyDescent="0.3">
      <c r="D29" s="31" t="s">
        <v>71</v>
      </c>
      <c r="E29" s="31">
        <v>-3.03</v>
      </c>
    </row>
    <row r="30" spans="1:27" x14ac:dyDescent="0.3">
      <c r="D30" s="31" t="s">
        <v>72</v>
      </c>
      <c r="E30" s="31">
        <v>0.13539999999999999</v>
      </c>
    </row>
    <row r="31" spans="1:27" x14ac:dyDescent="0.3">
      <c r="D31" s="31" t="s">
        <v>73</v>
      </c>
      <c r="E31" s="31">
        <v>-1.4E-3</v>
      </c>
    </row>
    <row r="32" spans="1:27" x14ac:dyDescent="0.3">
      <c r="D32" s="31" t="s">
        <v>74</v>
      </c>
      <c r="E32" s="31">
        <v>3.0000000000000001E-6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26"/>
  <sheetViews>
    <sheetView workbookViewId="0">
      <selection activeCell="G23" sqref="G23"/>
    </sheetView>
  </sheetViews>
  <sheetFormatPr defaultRowHeight="14.4" x14ac:dyDescent="0.3"/>
  <cols>
    <col min="2" max="2" width="19.21875" customWidth="1"/>
    <col min="4" max="4" width="14.109375" customWidth="1"/>
    <col min="8" max="8" width="9.109375" bestFit="1" customWidth="1"/>
    <col min="9" max="9" width="10.109375" bestFit="1" customWidth="1"/>
  </cols>
  <sheetData>
    <row r="1" spans="1:11" x14ac:dyDescent="0.3">
      <c r="A1" t="s">
        <v>92</v>
      </c>
    </row>
    <row r="2" spans="1:11" x14ac:dyDescent="0.3">
      <c r="A2" s="55" t="s">
        <v>91</v>
      </c>
      <c r="B2" s="3"/>
      <c r="C2" s="3"/>
      <c r="D2" s="3"/>
      <c r="E2" s="3"/>
      <c r="F2" s="3"/>
      <c r="G2" s="3" t="s">
        <v>93</v>
      </c>
      <c r="H2" s="3" t="s">
        <v>94</v>
      </c>
      <c r="I2" s="3" t="s">
        <v>95</v>
      </c>
      <c r="J2" s="3" t="s">
        <v>89</v>
      </c>
      <c r="K2" s="4" t="s">
        <v>96</v>
      </c>
    </row>
    <row r="3" spans="1:11" x14ac:dyDescent="0.3">
      <c r="A3" s="5" t="s">
        <v>196</v>
      </c>
      <c r="K3" s="6">
        <f>SUM(G3:J3)</f>
        <v>0</v>
      </c>
    </row>
    <row r="4" spans="1:11" x14ac:dyDescent="0.3">
      <c r="A4" s="5"/>
      <c r="K4" s="6"/>
    </row>
    <row r="5" spans="1:11" x14ac:dyDescent="0.3">
      <c r="A5" s="5" t="s">
        <v>197</v>
      </c>
      <c r="K5" s="6"/>
    </row>
    <row r="6" spans="1:11" x14ac:dyDescent="0.3">
      <c r="A6" s="5">
        <v>4500</v>
      </c>
      <c r="B6" t="s">
        <v>112</v>
      </c>
      <c r="C6">
        <v>3.8</v>
      </c>
      <c r="D6" t="s">
        <v>103</v>
      </c>
      <c r="G6">
        <f>C6*A6</f>
        <v>17100</v>
      </c>
      <c r="K6" s="6">
        <f>SUM(G6:J6)</f>
        <v>17100</v>
      </c>
    </row>
    <row r="7" spans="1:11" x14ac:dyDescent="0.3">
      <c r="A7" s="5" t="s">
        <v>97</v>
      </c>
      <c r="K7" s="6"/>
    </row>
    <row r="8" spans="1:11" x14ac:dyDescent="0.3">
      <c r="A8" s="5">
        <v>4500</v>
      </c>
      <c r="B8" t="s">
        <v>112</v>
      </c>
      <c r="C8">
        <v>2.5</v>
      </c>
      <c r="D8" t="s">
        <v>103</v>
      </c>
      <c r="G8">
        <f>C8*A8</f>
        <v>11250</v>
      </c>
      <c r="K8" s="6">
        <f>SUM(G8:J8)</f>
        <v>11250</v>
      </c>
    </row>
    <row r="9" spans="1:11" x14ac:dyDescent="0.3">
      <c r="A9" s="5" t="s">
        <v>98</v>
      </c>
      <c r="K9" s="6"/>
    </row>
    <row r="10" spans="1:11" x14ac:dyDescent="0.3">
      <c r="A10" s="5">
        <v>450</v>
      </c>
      <c r="B10" t="s">
        <v>113</v>
      </c>
      <c r="C10">
        <v>30</v>
      </c>
      <c r="D10" t="s">
        <v>99</v>
      </c>
      <c r="G10">
        <f>A10*C10</f>
        <v>13500</v>
      </c>
      <c r="K10" s="6">
        <f>SUM(G10:J10)</f>
        <v>13500</v>
      </c>
    </row>
    <row r="11" spans="1:11" x14ac:dyDescent="0.3">
      <c r="A11" s="5" t="s">
        <v>104</v>
      </c>
      <c r="K11" s="6"/>
    </row>
    <row r="12" spans="1:11" x14ac:dyDescent="0.3">
      <c r="A12" s="5">
        <v>7</v>
      </c>
      <c r="B12" t="s">
        <v>114</v>
      </c>
      <c r="C12">
        <v>400</v>
      </c>
      <c r="D12" t="s">
        <v>100</v>
      </c>
      <c r="G12">
        <f>C12*5</f>
        <v>2000</v>
      </c>
      <c r="H12">
        <f>C12*2</f>
        <v>800</v>
      </c>
      <c r="K12" s="6">
        <f>SUM(G12:J12)</f>
        <v>2800</v>
      </c>
    </row>
    <row r="13" spans="1:11" x14ac:dyDescent="0.3">
      <c r="A13" s="5" t="s">
        <v>101</v>
      </c>
      <c r="H13">
        <v>3000</v>
      </c>
      <c r="K13" s="6">
        <f>SUM(G13:J13)</f>
        <v>3000</v>
      </c>
    </row>
    <row r="14" spans="1:11" x14ac:dyDescent="0.3">
      <c r="A14" s="5" t="s">
        <v>102</v>
      </c>
      <c r="C14" s="56">
        <v>7.0000000000000007E-2</v>
      </c>
      <c r="K14" s="6"/>
    </row>
    <row r="15" spans="1:11" x14ac:dyDescent="0.3">
      <c r="A15" s="5">
        <f>A6*C14</f>
        <v>315.00000000000006</v>
      </c>
      <c r="B15" t="s">
        <v>112</v>
      </c>
      <c r="C15">
        <f>C6</f>
        <v>3.8</v>
      </c>
      <c r="D15" t="s">
        <v>103</v>
      </c>
      <c r="G15">
        <f>C15*A15</f>
        <v>1197.0000000000002</v>
      </c>
      <c r="K15" s="6">
        <f>SUM(G15:J15)</f>
        <v>1197.0000000000002</v>
      </c>
    </row>
    <row r="16" spans="1:11" x14ac:dyDescent="0.3">
      <c r="A16" s="5">
        <f>A15</f>
        <v>315.00000000000006</v>
      </c>
      <c r="B16" t="s">
        <v>115</v>
      </c>
      <c r="C16">
        <v>4</v>
      </c>
      <c r="D16" t="s">
        <v>103</v>
      </c>
      <c r="G16">
        <f>C16*A16</f>
        <v>1260.0000000000002</v>
      </c>
      <c r="K16" s="6">
        <f>SUM(G16:J16)</f>
        <v>1260.0000000000002</v>
      </c>
    </row>
    <row r="17" spans="1:11" x14ac:dyDescent="0.3">
      <c r="A17" s="5" t="s">
        <v>105</v>
      </c>
      <c r="K17" s="6"/>
    </row>
    <row r="18" spans="1:11" x14ac:dyDescent="0.3">
      <c r="A18" s="5" t="s">
        <v>106</v>
      </c>
      <c r="K18" s="6"/>
    </row>
    <row r="19" spans="1:11" x14ac:dyDescent="0.3">
      <c r="A19" s="5">
        <v>1</v>
      </c>
      <c r="B19" t="s">
        <v>116</v>
      </c>
      <c r="C19">
        <v>700</v>
      </c>
      <c r="D19" t="s">
        <v>107</v>
      </c>
      <c r="G19">
        <f>C19*A19</f>
        <v>700</v>
      </c>
      <c r="K19" s="6">
        <f>SUM(G19:J19)</f>
        <v>700</v>
      </c>
    </row>
    <row r="20" spans="1:11" x14ac:dyDescent="0.3">
      <c r="A20" s="5">
        <v>4</v>
      </c>
      <c r="B20" t="s">
        <v>117</v>
      </c>
      <c r="C20">
        <v>80</v>
      </c>
      <c r="D20" t="s">
        <v>108</v>
      </c>
      <c r="G20">
        <f>C20*A20</f>
        <v>320</v>
      </c>
      <c r="K20" s="6">
        <f>SUM(G20:J20)</f>
        <v>320</v>
      </c>
    </row>
    <row r="21" spans="1:11" x14ac:dyDescent="0.3">
      <c r="A21" s="5" t="s">
        <v>109</v>
      </c>
      <c r="K21" s="6"/>
    </row>
    <row r="22" spans="1:11" x14ac:dyDescent="0.3">
      <c r="A22" s="5">
        <v>2.5</v>
      </c>
      <c r="B22" t="s">
        <v>118</v>
      </c>
      <c r="C22">
        <v>8</v>
      </c>
      <c r="D22" t="s">
        <v>119</v>
      </c>
      <c r="E22">
        <v>300</v>
      </c>
      <c r="F22" t="s">
        <v>107</v>
      </c>
      <c r="G22">
        <f>A22*C22*E22</f>
        <v>6000</v>
      </c>
      <c r="K22" s="6">
        <f>SUM(G22:J22)</f>
        <v>6000</v>
      </c>
    </row>
    <row r="23" spans="1:11" x14ac:dyDescent="0.3">
      <c r="A23" s="5">
        <v>2.5</v>
      </c>
      <c r="B23" t="s">
        <v>118</v>
      </c>
      <c r="C23">
        <v>2</v>
      </c>
      <c r="D23" t="s">
        <v>117</v>
      </c>
      <c r="E23">
        <v>80</v>
      </c>
      <c r="F23" t="s">
        <v>90</v>
      </c>
      <c r="G23">
        <f>A23*C23*E23</f>
        <v>400</v>
      </c>
      <c r="K23" s="6">
        <f>SUM(G23:J23)</f>
        <v>400</v>
      </c>
    </row>
    <row r="24" spans="1:11" x14ac:dyDescent="0.3">
      <c r="A24" s="5" t="s">
        <v>110</v>
      </c>
      <c r="K24" s="6"/>
    </row>
    <row r="25" spans="1:11" x14ac:dyDescent="0.3">
      <c r="A25" s="5">
        <v>16</v>
      </c>
      <c r="B25" t="s">
        <v>119</v>
      </c>
      <c r="C25">
        <v>375</v>
      </c>
      <c r="D25" t="s">
        <v>107</v>
      </c>
      <c r="H25">
        <v>6000</v>
      </c>
      <c r="K25" s="6">
        <f>SUM(G25:J25)</f>
        <v>6000</v>
      </c>
    </row>
    <row r="26" spans="1:11" x14ac:dyDescent="0.3">
      <c r="A26" s="52" t="s">
        <v>111</v>
      </c>
      <c r="B26" s="8"/>
      <c r="C26" s="8"/>
      <c r="D26" s="8"/>
      <c r="E26" s="8"/>
      <c r="F26" s="8"/>
      <c r="G26" s="8">
        <f>SUM(G3:G25)</f>
        <v>53727</v>
      </c>
      <c r="H26" s="8">
        <f>SUM(H3:H25)</f>
        <v>9800</v>
      </c>
      <c r="I26" s="8">
        <f>SUM(I3:I25)</f>
        <v>0</v>
      </c>
      <c r="J26" s="8">
        <f>SUM(J3:J25)</f>
        <v>0</v>
      </c>
      <c r="K26" s="8">
        <f>SUM(K3:K25)</f>
        <v>63527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26"/>
  <sheetViews>
    <sheetView workbookViewId="0">
      <selection activeCell="F28" sqref="F28"/>
    </sheetView>
  </sheetViews>
  <sheetFormatPr defaultRowHeight="14.4" x14ac:dyDescent="0.3"/>
  <cols>
    <col min="1" max="1" width="17.77734375" customWidth="1"/>
  </cols>
  <sheetData>
    <row r="1" spans="1:18" x14ac:dyDescent="0.3">
      <c r="A1" s="99"/>
    </row>
    <row r="3" spans="1:18" x14ac:dyDescent="0.3">
      <c r="A3" t="s">
        <v>202</v>
      </c>
      <c r="C3" t="s">
        <v>204</v>
      </c>
      <c r="D3" t="s">
        <v>203</v>
      </c>
      <c r="E3" t="s">
        <v>205</v>
      </c>
      <c r="F3" t="s">
        <v>210</v>
      </c>
    </row>
    <row r="4" spans="1:18" x14ac:dyDescent="0.3">
      <c r="A4">
        <v>0.01</v>
      </c>
      <c r="C4">
        <v>268</v>
      </c>
      <c r="D4">
        <v>188</v>
      </c>
      <c r="E4">
        <f xml:space="preserve"> C4-D4</f>
        <v>80</v>
      </c>
      <c r="F4">
        <f xml:space="preserve"> E4*(1+$A$4)^(-$A$25)</f>
        <v>68.907957986270333</v>
      </c>
    </row>
    <row r="5" spans="1:18" x14ac:dyDescent="0.3">
      <c r="A5">
        <v>0.03</v>
      </c>
      <c r="F5">
        <f xml:space="preserve"> E4*(1+$A$5)^(-$A$25)</f>
        <v>51.34895579173741</v>
      </c>
    </row>
    <row r="6" spans="1:18" x14ac:dyDescent="0.3">
      <c r="A6">
        <v>0.05</v>
      </c>
      <c r="F6">
        <f xml:space="preserve"> E4*(1+$A$6)^(-$A$25)</f>
        <v>38.481367847277617</v>
      </c>
    </row>
    <row r="8" spans="1:18" x14ac:dyDescent="0.3">
      <c r="A8" t="s">
        <v>55</v>
      </c>
      <c r="B8" s="116" t="s">
        <v>209</v>
      </c>
      <c r="C8" s="116"/>
      <c r="D8" s="116"/>
    </row>
    <row r="9" spans="1:18" x14ac:dyDescent="0.3">
      <c r="B9" t="s">
        <v>206</v>
      </c>
      <c r="C9" t="s">
        <v>207</v>
      </c>
      <c r="D9" t="s">
        <v>208</v>
      </c>
    </row>
    <row r="10" spans="1:18" x14ac:dyDescent="0.3">
      <c r="A10">
        <v>0</v>
      </c>
      <c r="B10">
        <f xml:space="preserve"> F4/(1-(1+$A$4)^(-$A$25))</f>
        <v>496.99024147926173</v>
      </c>
      <c r="C10">
        <f xml:space="preserve"> F5/(1-(1+$A$5)^(-$A$25))</f>
        <v>143.37754789943477</v>
      </c>
      <c r="D10">
        <f xml:space="preserve"> F6/(1-(1+$A$6)^(-$A$25))</f>
        <v>74.147660174790985</v>
      </c>
    </row>
    <row r="11" spans="1:18" x14ac:dyDescent="0.3">
      <c r="A11">
        <v>1</v>
      </c>
      <c r="B11">
        <f xml:space="preserve"> B10*(1+$A$4)^(A11-A10)</f>
        <v>501.96014389405434</v>
      </c>
      <c r="C11">
        <f xml:space="preserve"> C10*(1+$A$5)^(A11-A10)</f>
        <v>147.67887433641783</v>
      </c>
      <c r="D11">
        <f xml:space="preserve"> D10*(1+$A$6)^(A11-A10)</f>
        <v>77.85504318353054</v>
      </c>
    </row>
    <row r="12" spans="1:18" x14ac:dyDescent="0.3">
      <c r="A12">
        <v>2</v>
      </c>
      <c r="B12">
        <f t="shared" ref="B12:B25" si="0" xml:space="preserve"> B11*(1+$A$4)^(A12-A11)</f>
        <v>506.97974533299487</v>
      </c>
      <c r="C12">
        <f t="shared" ref="C12:C25" si="1" xml:space="preserve"> C11*(1+$A$5)^(A12-A11)</f>
        <v>152.10924056651038</v>
      </c>
      <c r="D12">
        <f t="shared" ref="D12:D25" si="2" xml:space="preserve"> D11*(1+$A$6)^(A12-A11)</f>
        <v>81.747795342707064</v>
      </c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0"/>
      <c r="Q12" s="60"/>
      <c r="R12" s="60"/>
    </row>
    <row r="13" spans="1:18" x14ac:dyDescent="0.3">
      <c r="A13">
        <v>3</v>
      </c>
      <c r="B13">
        <f t="shared" si="0"/>
        <v>512.04954278632476</v>
      </c>
      <c r="C13">
        <f t="shared" si="1"/>
        <v>156.6725177835057</v>
      </c>
      <c r="D13">
        <f t="shared" si="2"/>
        <v>85.835185109842428</v>
      </c>
      <c r="E13" s="60"/>
      <c r="F13" s="60"/>
      <c r="G13" s="60"/>
      <c r="H13" s="60"/>
      <c r="I13" s="60"/>
      <c r="J13" s="60"/>
      <c r="K13" s="60"/>
      <c r="L13" s="60"/>
      <c r="M13" s="60"/>
      <c r="N13" s="60"/>
      <c r="O13" s="60"/>
      <c r="P13" s="60"/>
      <c r="Q13" s="60"/>
      <c r="R13" s="60"/>
    </row>
    <row r="14" spans="1:18" x14ac:dyDescent="0.3">
      <c r="A14">
        <v>4</v>
      </c>
      <c r="B14">
        <f t="shared" si="0"/>
        <v>517.17003821418803</v>
      </c>
      <c r="C14">
        <f t="shared" si="1"/>
        <v>161.37269331701089</v>
      </c>
      <c r="D14">
        <f t="shared" si="2"/>
        <v>90.126944365334552</v>
      </c>
      <c r="E14" s="60"/>
      <c r="F14" s="60"/>
      <c r="G14" s="60"/>
      <c r="H14" s="60"/>
      <c r="I14" s="60"/>
      <c r="J14" s="60"/>
      <c r="K14" s="60"/>
      <c r="L14" s="60"/>
      <c r="M14" s="60"/>
      <c r="N14" s="60"/>
      <c r="O14" s="60"/>
      <c r="P14" s="60"/>
      <c r="Q14" s="60"/>
      <c r="R14" s="60"/>
    </row>
    <row r="15" spans="1:18" x14ac:dyDescent="0.3">
      <c r="A15">
        <v>5</v>
      </c>
      <c r="B15">
        <f t="shared" si="0"/>
        <v>522.34173859632995</v>
      </c>
      <c r="C15">
        <f t="shared" si="1"/>
        <v>166.21387411652123</v>
      </c>
      <c r="D15">
        <f t="shared" si="2"/>
        <v>94.633291583601277</v>
      </c>
    </row>
    <row r="16" spans="1:18" x14ac:dyDescent="0.3">
      <c r="A16">
        <v>6</v>
      </c>
      <c r="B16">
        <f t="shared" si="0"/>
        <v>527.56515598229328</v>
      </c>
      <c r="C16">
        <f t="shared" si="1"/>
        <v>171.20029034001686</v>
      </c>
      <c r="D16">
        <f t="shared" si="2"/>
        <v>99.36495616278134</v>
      </c>
    </row>
    <row r="17" spans="1:4" x14ac:dyDescent="0.3">
      <c r="A17">
        <v>7</v>
      </c>
      <c r="B17">
        <f t="shared" si="0"/>
        <v>532.84080754211618</v>
      </c>
      <c r="C17">
        <f t="shared" si="1"/>
        <v>176.33629905021738</v>
      </c>
      <c r="D17">
        <f t="shared" si="2"/>
        <v>104.33320397092041</v>
      </c>
    </row>
    <row r="18" spans="1:4" x14ac:dyDescent="0.3">
      <c r="A18">
        <v>8</v>
      </c>
      <c r="B18">
        <f t="shared" si="0"/>
        <v>538.16921561753736</v>
      </c>
      <c r="C18">
        <f t="shared" si="1"/>
        <v>181.6263880217239</v>
      </c>
      <c r="D18">
        <f t="shared" si="2"/>
        <v>109.54986416946643</v>
      </c>
    </row>
    <row r="19" spans="1:4" x14ac:dyDescent="0.3">
      <c r="A19">
        <v>9</v>
      </c>
      <c r="B19">
        <f t="shared" si="0"/>
        <v>543.55090777371277</v>
      </c>
      <c r="C19">
        <f t="shared" si="1"/>
        <v>187.07517966237563</v>
      </c>
      <c r="D19">
        <f t="shared" si="2"/>
        <v>115.02735737793975</v>
      </c>
    </row>
    <row r="20" spans="1:4" x14ac:dyDescent="0.3">
      <c r="A20">
        <v>10</v>
      </c>
      <c r="B20">
        <f t="shared" si="0"/>
        <v>548.98641685144992</v>
      </c>
      <c r="C20">
        <f t="shared" si="1"/>
        <v>192.68743505224691</v>
      </c>
      <c r="D20">
        <f t="shared" si="2"/>
        <v>120.77872524683674</v>
      </c>
    </row>
    <row r="21" spans="1:4" x14ac:dyDescent="0.3">
      <c r="A21">
        <v>11</v>
      </c>
      <c r="B21">
        <f t="shared" si="0"/>
        <v>554.4762810199644</v>
      </c>
      <c r="C21">
        <f t="shared" si="1"/>
        <v>198.46805810381431</v>
      </c>
      <c r="D21">
        <f t="shared" si="2"/>
        <v>126.81766150917859</v>
      </c>
    </row>
    <row r="22" spans="1:4" x14ac:dyDescent="0.3">
      <c r="A22">
        <v>12</v>
      </c>
      <c r="B22">
        <f t="shared" si="0"/>
        <v>560.0210438301641</v>
      </c>
      <c r="C22">
        <f t="shared" si="1"/>
        <v>204.42209984692875</v>
      </c>
      <c r="D22">
        <f t="shared" si="2"/>
        <v>133.15854458463753</v>
      </c>
    </row>
    <row r="23" spans="1:4" x14ac:dyDescent="0.3">
      <c r="A23">
        <v>13</v>
      </c>
      <c r="B23">
        <f t="shared" si="0"/>
        <v>565.6212542684658</v>
      </c>
      <c r="C23">
        <f t="shared" si="1"/>
        <v>210.5547628423366</v>
      </c>
      <c r="D23">
        <f t="shared" si="2"/>
        <v>139.81647181386941</v>
      </c>
    </row>
    <row r="24" spans="1:4" x14ac:dyDescent="0.3">
      <c r="A24">
        <v>14</v>
      </c>
      <c r="B24">
        <f t="shared" si="0"/>
        <v>571.27746681115048</v>
      </c>
      <c r="C24">
        <f t="shared" si="1"/>
        <v>216.87140572760671</v>
      </c>
      <c r="D24">
        <f t="shared" si="2"/>
        <v>146.80729540456289</v>
      </c>
    </row>
    <row r="25" spans="1:4" x14ac:dyDescent="0.3">
      <c r="A25">
        <v>15</v>
      </c>
      <c r="B25">
        <f t="shared" si="0"/>
        <v>576.99024147926195</v>
      </c>
      <c r="C25">
        <f t="shared" si="1"/>
        <v>223.37754789943492</v>
      </c>
      <c r="D25">
        <f t="shared" si="2"/>
        <v>154.14766017479104</v>
      </c>
    </row>
    <row r="26" spans="1:4" x14ac:dyDescent="0.3">
      <c r="A26" t="s">
        <v>211</v>
      </c>
      <c r="B26">
        <f xml:space="preserve"> B25 - E4</f>
        <v>496.99024147926195</v>
      </c>
      <c r="C26">
        <f xml:space="preserve"> C25 - E4</f>
        <v>143.37754789943492</v>
      </c>
      <c r="D26">
        <f xml:space="preserve"> D25 - E4</f>
        <v>74.147660174791042</v>
      </c>
    </row>
  </sheetData>
  <mergeCells count="1">
    <mergeCell ref="B8:D8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Y202"/>
  <sheetViews>
    <sheetView tabSelected="1" topLeftCell="J1" zoomScale="70" zoomScaleNormal="70" workbookViewId="0">
      <selection activeCell="G22" sqref="G22"/>
    </sheetView>
  </sheetViews>
  <sheetFormatPr defaultRowHeight="14.4" x14ac:dyDescent="0.3"/>
  <cols>
    <col min="6" max="6" width="9.21875" bestFit="1" customWidth="1"/>
    <col min="7" max="7" width="10.77734375" bestFit="1" customWidth="1"/>
  </cols>
  <sheetData>
    <row r="1" spans="1:25" x14ac:dyDescent="0.3">
      <c r="B1" t="s">
        <v>129</v>
      </c>
    </row>
    <row r="2" spans="1:25" ht="43.2" x14ac:dyDescent="0.3">
      <c r="A2" s="66" t="s">
        <v>130</v>
      </c>
      <c r="B2" s="66" t="s">
        <v>215</v>
      </c>
      <c r="C2" s="66"/>
      <c r="D2" s="66"/>
      <c r="E2" s="66"/>
      <c r="F2" s="66"/>
      <c r="G2" s="66"/>
      <c r="H2" s="66"/>
      <c r="J2" s="66"/>
      <c r="K2" s="66"/>
      <c r="L2" s="66"/>
      <c r="M2" s="66"/>
    </row>
    <row r="3" spans="1:25" ht="17.399999999999999" x14ac:dyDescent="0.3">
      <c r="A3">
        <v>0</v>
      </c>
      <c r="B3" s="97">
        <f xml:space="preserve"> U9+U11</f>
        <v>20250</v>
      </c>
      <c r="C3" s="68"/>
      <c r="D3" s="68"/>
      <c r="E3" s="68"/>
      <c r="F3" s="67"/>
      <c r="G3" s="67"/>
      <c r="H3" s="67"/>
      <c r="M3" s="98"/>
      <c r="N3" s="69"/>
      <c r="O3" s="70"/>
      <c r="P3" s="69"/>
      <c r="Q3" s="69"/>
      <c r="R3" s="69"/>
      <c r="S3" s="69"/>
      <c r="T3" s="69"/>
      <c r="U3" s="69"/>
      <c r="V3" s="69"/>
      <c r="W3" s="69"/>
      <c r="X3" s="69"/>
      <c r="Y3" s="69"/>
    </row>
    <row r="4" spans="1:25" x14ac:dyDescent="0.3">
      <c r="A4">
        <v>1</v>
      </c>
      <c r="B4" s="97">
        <f xml:space="preserve"> U13/5 + U16 + U17 + U20/5 + U21/5</f>
        <v>4288</v>
      </c>
      <c r="C4" s="68"/>
      <c r="D4" s="68"/>
      <c r="E4" s="68"/>
      <c r="F4" s="67"/>
      <c r="G4" s="67"/>
      <c r="H4" s="67"/>
      <c r="M4" s="98"/>
      <c r="N4" s="69"/>
      <c r="O4" s="71" t="s">
        <v>136</v>
      </c>
      <c r="P4" s="69"/>
      <c r="Q4" s="69"/>
      <c r="R4" s="69"/>
      <c r="S4" s="69"/>
      <c r="T4" s="69"/>
      <c r="U4" s="69"/>
      <c r="V4" s="69"/>
      <c r="W4" s="69"/>
      <c r="X4" s="69"/>
      <c r="Y4" s="69"/>
    </row>
    <row r="5" spans="1:25" ht="15" thickBot="1" x14ac:dyDescent="0.35">
      <c r="A5">
        <v>2</v>
      </c>
      <c r="B5" s="67">
        <f xml:space="preserve"> $U$13/5 + $U$20/5 + $U$21/5</f>
        <v>1168</v>
      </c>
      <c r="C5" s="68"/>
      <c r="D5" s="68"/>
      <c r="E5" s="68"/>
      <c r="F5" s="67"/>
      <c r="G5" s="67"/>
      <c r="H5" s="67"/>
      <c r="M5" s="98"/>
      <c r="N5" s="69"/>
      <c r="O5" s="69"/>
      <c r="P5" s="69"/>
      <c r="Q5" s="69"/>
      <c r="R5" s="69"/>
      <c r="S5" s="69"/>
      <c r="T5" s="69"/>
      <c r="U5" s="69"/>
      <c r="V5" s="69"/>
      <c r="W5" s="69"/>
      <c r="X5" s="69"/>
      <c r="Y5" s="69"/>
    </row>
    <row r="6" spans="1:25" ht="15" thickBot="1" x14ac:dyDescent="0.35">
      <c r="A6">
        <v>3</v>
      </c>
      <c r="B6" s="67">
        <f t="shared" ref="B6:B8" si="0" xml:space="preserve"> $U$13/5 + $U$20/5 + $U$21/5</f>
        <v>1168</v>
      </c>
      <c r="C6" s="68"/>
      <c r="D6" s="68"/>
      <c r="E6" s="68"/>
      <c r="F6" s="67"/>
      <c r="G6" s="67"/>
      <c r="H6" s="67"/>
      <c r="M6" s="98"/>
      <c r="N6" s="69"/>
      <c r="O6" s="72" t="s">
        <v>137</v>
      </c>
      <c r="P6" s="73"/>
      <c r="Q6" s="73"/>
      <c r="R6" s="73"/>
      <c r="S6" s="73"/>
      <c r="T6" s="74"/>
      <c r="U6" s="73" t="s">
        <v>131</v>
      </c>
      <c r="V6" s="75" t="s">
        <v>132</v>
      </c>
      <c r="W6" s="73" t="s">
        <v>133</v>
      </c>
      <c r="X6" s="74" t="s">
        <v>89</v>
      </c>
      <c r="Y6" s="76" t="s">
        <v>134</v>
      </c>
    </row>
    <row r="7" spans="1:25" x14ac:dyDescent="0.3">
      <c r="A7">
        <v>4</v>
      </c>
      <c r="B7" s="67">
        <f t="shared" si="0"/>
        <v>1168</v>
      </c>
      <c r="C7" s="68"/>
      <c r="D7" s="68"/>
      <c r="E7" s="68"/>
      <c r="F7" s="67"/>
      <c r="G7" s="67"/>
      <c r="H7" s="67"/>
      <c r="M7" s="98"/>
      <c r="N7" s="69"/>
      <c r="O7" s="77" t="s">
        <v>138</v>
      </c>
      <c r="P7" s="69"/>
      <c r="Q7" s="69"/>
      <c r="R7" s="69"/>
      <c r="S7" s="69"/>
      <c r="T7" s="78"/>
      <c r="U7" s="79"/>
      <c r="V7" s="79"/>
      <c r="W7" s="79"/>
      <c r="X7" s="80"/>
      <c r="Y7" s="81">
        <f t="shared" ref="Y7:Y23" si="1">SUM(U7:X7)</f>
        <v>0</v>
      </c>
    </row>
    <row r="8" spans="1:25" x14ac:dyDescent="0.3">
      <c r="A8">
        <v>5</v>
      </c>
      <c r="B8" s="67">
        <f t="shared" si="0"/>
        <v>1168</v>
      </c>
      <c r="C8" s="68"/>
      <c r="D8" s="68"/>
      <c r="E8" s="68"/>
      <c r="F8" s="67"/>
      <c r="G8" s="67"/>
      <c r="H8" s="67"/>
      <c r="M8" s="98"/>
      <c r="N8" s="69"/>
      <c r="O8" s="82" t="s">
        <v>139</v>
      </c>
      <c r="P8" s="69"/>
      <c r="Q8" s="69"/>
      <c r="R8" s="69"/>
      <c r="S8" s="69"/>
      <c r="T8" s="78"/>
      <c r="U8" s="79"/>
      <c r="V8" s="79"/>
      <c r="W8" s="79"/>
      <c r="X8" s="80"/>
      <c r="Y8" s="81">
        <f t="shared" si="1"/>
        <v>0</v>
      </c>
    </row>
    <row r="9" spans="1:25" x14ac:dyDescent="0.3">
      <c r="A9">
        <v>6</v>
      </c>
      <c r="B9" s="67">
        <f xml:space="preserve"> $V$13/2 + $V$23/5</f>
        <v>1300</v>
      </c>
      <c r="C9" s="67"/>
      <c r="D9" s="67"/>
      <c r="E9" s="67"/>
      <c r="F9" s="67"/>
      <c r="G9" s="67"/>
      <c r="H9" s="67"/>
      <c r="M9" s="98"/>
      <c r="N9" s="69"/>
      <c r="O9" s="82">
        <v>10</v>
      </c>
      <c r="P9" s="83" t="s">
        <v>119</v>
      </c>
      <c r="Q9" s="83">
        <v>675</v>
      </c>
      <c r="R9" s="83" t="s">
        <v>145</v>
      </c>
      <c r="S9" s="83"/>
      <c r="T9" s="84"/>
      <c r="U9" s="79">
        <f>O9*Q9</f>
        <v>6750</v>
      </c>
      <c r="V9" s="79"/>
      <c r="W9" s="79"/>
      <c r="X9" s="80"/>
      <c r="Y9" s="81">
        <f t="shared" si="1"/>
        <v>6750</v>
      </c>
    </row>
    <row r="10" spans="1:25" x14ac:dyDescent="0.3">
      <c r="A10">
        <v>7</v>
      </c>
      <c r="B10" s="67">
        <f xml:space="preserve"> $V$13/2 + $V$23/5</f>
        <v>1300</v>
      </c>
      <c r="C10" s="67"/>
      <c r="D10" s="67"/>
      <c r="E10" s="67"/>
      <c r="F10" s="67"/>
      <c r="G10" s="67"/>
      <c r="H10" s="67"/>
      <c r="J10" s="98"/>
      <c r="M10" s="98"/>
      <c r="N10" s="69"/>
      <c r="O10" s="77" t="s">
        <v>98</v>
      </c>
      <c r="P10" s="83"/>
      <c r="Q10" s="85"/>
      <c r="R10" s="85"/>
      <c r="S10" s="85"/>
      <c r="T10" s="84"/>
      <c r="U10" s="79"/>
      <c r="V10" s="79"/>
      <c r="W10" s="79"/>
      <c r="X10" s="80"/>
      <c r="Y10" s="81">
        <f t="shared" si="1"/>
        <v>0</v>
      </c>
    </row>
    <row r="11" spans="1:25" x14ac:dyDescent="0.3">
      <c r="A11">
        <v>8</v>
      </c>
      <c r="B11" s="97">
        <f xml:space="preserve"> V14 + V23/5</f>
        <v>3900</v>
      </c>
      <c r="C11" s="67"/>
      <c r="D11" s="67"/>
      <c r="E11" s="67"/>
      <c r="F11" s="67"/>
      <c r="G11" s="67"/>
      <c r="H11" s="67"/>
      <c r="M11" s="98"/>
      <c r="N11" s="69"/>
      <c r="O11" s="82">
        <v>450</v>
      </c>
      <c r="P11" s="83" t="s">
        <v>113</v>
      </c>
      <c r="Q11" s="85">
        <v>30</v>
      </c>
      <c r="R11" s="83" t="s">
        <v>144</v>
      </c>
      <c r="S11" s="85"/>
      <c r="T11" s="84"/>
      <c r="U11" s="79">
        <f>O11*Q11</f>
        <v>13500</v>
      </c>
      <c r="V11" s="79"/>
      <c r="W11" s="79"/>
      <c r="X11" s="80"/>
      <c r="Y11" s="81">
        <f t="shared" si="1"/>
        <v>13500</v>
      </c>
    </row>
    <row r="12" spans="1:25" x14ac:dyDescent="0.3">
      <c r="A12">
        <v>9</v>
      </c>
      <c r="B12" s="68">
        <f xml:space="preserve"> $V$23/5</f>
        <v>900</v>
      </c>
      <c r="C12" s="67"/>
      <c r="D12" s="67"/>
      <c r="E12" s="67"/>
      <c r="F12" s="67"/>
      <c r="G12" s="67"/>
      <c r="H12" s="67"/>
      <c r="M12" s="98"/>
      <c r="N12" s="69"/>
      <c r="O12" s="77" t="s">
        <v>140</v>
      </c>
      <c r="P12" s="83"/>
      <c r="Q12" s="86"/>
      <c r="R12" s="83"/>
      <c r="S12" s="86"/>
      <c r="T12" s="84"/>
      <c r="U12" s="79"/>
      <c r="V12" s="79"/>
      <c r="W12" s="79"/>
      <c r="X12" s="80"/>
      <c r="Y12" s="81">
        <f t="shared" si="1"/>
        <v>0</v>
      </c>
    </row>
    <row r="13" spans="1:25" x14ac:dyDescent="0.3">
      <c r="A13">
        <v>10</v>
      </c>
      <c r="B13" s="68">
        <f xml:space="preserve"> $V$23/5</f>
        <v>900</v>
      </c>
      <c r="C13" s="67"/>
      <c r="D13" s="67"/>
      <c r="E13" s="67"/>
      <c r="F13" s="67"/>
      <c r="G13" s="67"/>
      <c r="H13" s="67"/>
      <c r="M13" s="98"/>
      <c r="N13" s="69"/>
      <c r="O13" s="82">
        <v>7</v>
      </c>
      <c r="P13" s="83" t="s">
        <v>114</v>
      </c>
      <c r="Q13" s="86">
        <v>400</v>
      </c>
      <c r="R13" s="83" t="s">
        <v>100</v>
      </c>
      <c r="S13" s="86"/>
      <c r="T13" s="84"/>
      <c r="U13" s="79">
        <f>5*Q13</f>
        <v>2000</v>
      </c>
      <c r="V13" s="79">
        <f>O13*Q13-U13</f>
        <v>800</v>
      </c>
      <c r="W13" s="79"/>
      <c r="X13" s="80"/>
      <c r="Y13" s="81">
        <f t="shared" si="1"/>
        <v>2800</v>
      </c>
    </row>
    <row r="14" spans="1:25" x14ac:dyDescent="0.3">
      <c r="A14">
        <v>11</v>
      </c>
      <c r="B14" s="68">
        <f xml:space="preserve"> $W$23/5</f>
        <v>900</v>
      </c>
      <c r="C14" s="67"/>
      <c r="D14" s="67"/>
      <c r="E14" s="67"/>
      <c r="F14" s="67"/>
      <c r="G14" s="67"/>
      <c r="H14" s="67"/>
      <c r="J14" s="98"/>
      <c r="M14" s="98"/>
      <c r="N14" s="69"/>
      <c r="O14" s="77" t="s">
        <v>141</v>
      </c>
      <c r="P14" s="83"/>
      <c r="Q14" s="85"/>
      <c r="R14" s="83"/>
      <c r="S14" s="85"/>
      <c r="T14" s="84"/>
      <c r="U14" s="79"/>
      <c r="V14" s="79">
        <v>3000</v>
      </c>
      <c r="W14" s="79"/>
      <c r="X14" s="80"/>
      <c r="Y14" s="81">
        <f t="shared" si="1"/>
        <v>3000</v>
      </c>
    </row>
    <row r="15" spans="1:25" x14ac:dyDescent="0.3">
      <c r="A15">
        <v>12</v>
      </c>
      <c r="B15" s="68">
        <f t="shared" ref="B15:B23" si="2" xml:space="preserve"> $W$23/5</f>
        <v>900</v>
      </c>
      <c r="C15" s="67"/>
      <c r="D15" s="67"/>
      <c r="E15" s="67"/>
      <c r="F15" s="67"/>
      <c r="G15" s="67"/>
      <c r="H15" s="67"/>
      <c r="J15" s="98"/>
      <c r="M15" s="98"/>
      <c r="N15" s="69"/>
      <c r="O15" s="77" t="s">
        <v>142</v>
      </c>
      <c r="P15" s="69"/>
      <c r="Q15" s="69"/>
      <c r="R15" s="69"/>
      <c r="S15" s="69"/>
      <c r="T15" s="78"/>
      <c r="U15" s="79"/>
      <c r="V15" s="79"/>
      <c r="W15" s="79"/>
      <c r="X15" s="80"/>
      <c r="Y15" s="81">
        <f t="shared" si="1"/>
        <v>0</v>
      </c>
    </row>
    <row r="16" spans="1:25" x14ac:dyDescent="0.3">
      <c r="A16">
        <v>13</v>
      </c>
      <c r="B16" s="68">
        <f t="shared" si="2"/>
        <v>900</v>
      </c>
      <c r="C16" s="67"/>
      <c r="D16" s="67"/>
      <c r="E16" s="67"/>
      <c r="F16" s="67"/>
      <c r="G16" s="67"/>
      <c r="H16" s="67"/>
      <c r="M16" s="98"/>
      <c r="N16" s="69"/>
      <c r="O16" s="87">
        <v>400</v>
      </c>
      <c r="P16" s="83" t="s">
        <v>112</v>
      </c>
      <c r="Q16" s="85">
        <v>3.8</v>
      </c>
      <c r="R16" s="83" t="s">
        <v>143</v>
      </c>
      <c r="S16" s="85"/>
      <c r="T16" s="84"/>
      <c r="U16" s="79">
        <f>O16*Q16</f>
        <v>1520</v>
      </c>
      <c r="V16" s="79"/>
      <c r="W16" s="79"/>
      <c r="X16" s="80"/>
      <c r="Y16" s="81">
        <f t="shared" si="1"/>
        <v>1520</v>
      </c>
    </row>
    <row r="17" spans="1:25" x14ac:dyDescent="0.3">
      <c r="A17">
        <v>14</v>
      </c>
      <c r="B17" s="68">
        <f t="shared" si="2"/>
        <v>900</v>
      </c>
      <c r="C17" s="67"/>
      <c r="D17" s="67"/>
      <c r="E17" s="67"/>
      <c r="F17" s="67"/>
      <c r="G17" s="67"/>
      <c r="H17" s="67"/>
      <c r="M17" s="98"/>
      <c r="N17" s="69"/>
      <c r="O17" s="87">
        <v>400</v>
      </c>
      <c r="P17" s="83" t="s">
        <v>115</v>
      </c>
      <c r="Q17" s="85">
        <v>4</v>
      </c>
      <c r="R17" s="83" t="s">
        <v>143</v>
      </c>
      <c r="S17" s="85"/>
      <c r="T17" s="84"/>
      <c r="U17" s="79">
        <f>O17*Q17</f>
        <v>1600</v>
      </c>
      <c r="V17" s="79"/>
      <c r="W17" s="79"/>
      <c r="X17" s="80"/>
      <c r="Y17" s="81">
        <f t="shared" si="1"/>
        <v>1600</v>
      </c>
    </row>
    <row r="18" spans="1:25" x14ac:dyDescent="0.3">
      <c r="A18">
        <v>15</v>
      </c>
      <c r="B18" s="68">
        <f t="shared" si="2"/>
        <v>900</v>
      </c>
      <c r="C18" s="67"/>
      <c r="D18" s="67"/>
      <c r="E18" s="67"/>
      <c r="F18" s="67"/>
      <c r="G18" s="67"/>
      <c r="H18" s="67"/>
      <c r="M18" s="98"/>
      <c r="N18" s="69"/>
      <c r="O18" s="77" t="s">
        <v>105</v>
      </c>
      <c r="P18" s="83"/>
      <c r="Q18" s="83"/>
      <c r="R18" s="83"/>
      <c r="S18" s="83"/>
      <c r="T18" s="84"/>
      <c r="U18" s="79"/>
      <c r="V18" s="79"/>
      <c r="W18" s="79"/>
      <c r="X18" s="80"/>
      <c r="Y18" s="81">
        <f t="shared" si="1"/>
        <v>0</v>
      </c>
    </row>
    <row r="19" spans="1:25" x14ac:dyDescent="0.3">
      <c r="A19">
        <v>16</v>
      </c>
      <c r="B19" s="68">
        <f t="shared" si="2"/>
        <v>900</v>
      </c>
      <c r="C19" s="67"/>
      <c r="D19" s="67"/>
      <c r="E19" s="67"/>
      <c r="F19" s="67"/>
      <c r="G19" s="67"/>
      <c r="H19" s="67"/>
      <c r="M19" s="98"/>
      <c r="N19" s="69"/>
      <c r="O19" s="88" t="s">
        <v>146</v>
      </c>
      <c r="P19" s="69"/>
      <c r="Q19" s="69"/>
      <c r="R19" s="69"/>
      <c r="S19" s="69"/>
      <c r="T19" s="78"/>
      <c r="U19" s="69"/>
      <c r="V19" s="79"/>
      <c r="W19" s="79"/>
      <c r="X19" s="80"/>
      <c r="Y19" s="81">
        <f t="shared" si="1"/>
        <v>0</v>
      </c>
    </row>
    <row r="20" spans="1:25" x14ac:dyDescent="0.3">
      <c r="A20">
        <v>17</v>
      </c>
      <c r="B20" s="68">
        <f t="shared" si="2"/>
        <v>900</v>
      </c>
      <c r="C20" s="67"/>
      <c r="D20" s="67"/>
      <c r="E20" s="67"/>
      <c r="F20" s="67"/>
      <c r="G20" s="67"/>
      <c r="H20" s="67"/>
      <c r="M20" s="98"/>
      <c r="N20" s="69"/>
      <c r="O20" s="82">
        <v>1.5</v>
      </c>
      <c r="P20" s="83" t="s">
        <v>147</v>
      </c>
      <c r="Q20" s="83">
        <v>8</v>
      </c>
      <c r="R20" s="83" t="s">
        <v>119</v>
      </c>
      <c r="S20" s="83">
        <v>300</v>
      </c>
      <c r="T20" s="84" t="s">
        <v>107</v>
      </c>
      <c r="U20" s="79">
        <f>S20*O20*Q20</f>
        <v>3600</v>
      </c>
      <c r="V20" s="79"/>
      <c r="W20" s="79"/>
      <c r="X20" s="80"/>
      <c r="Y20" s="81">
        <f t="shared" si="1"/>
        <v>3600</v>
      </c>
    </row>
    <row r="21" spans="1:25" x14ac:dyDescent="0.3">
      <c r="A21">
        <v>18</v>
      </c>
      <c r="B21" s="68">
        <f t="shared" si="2"/>
        <v>900</v>
      </c>
      <c r="C21" s="67"/>
      <c r="D21" s="67"/>
      <c r="E21" s="67"/>
      <c r="F21" s="67"/>
      <c r="G21" s="67"/>
      <c r="H21" s="67"/>
      <c r="M21" s="98"/>
      <c r="N21" s="69"/>
      <c r="O21" s="82">
        <f>O20</f>
        <v>1.5</v>
      </c>
      <c r="P21" s="83" t="s">
        <v>148</v>
      </c>
      <c r="Q21" s="83">
        <v>2</v>
      </c>
      <c r="R21" s="83" t="s">
        <v>149</v>
      </c>
      <c r="S21" s="83">
        <v>80</v>
      </c>
      <c r="T21" s="84" t="s">
        <v>108</v>
      </c>
      <c r="U21" s="79">
        <f>O21*Q21*S21</f>
        <v>240</v>
      </c>
      <c r="V21" s="69"/>
      <c r="W21" s="69"/>
      <c r="X21" s="69"/>
      <c r="Y21" s="81">
        <f t="shared" si="1"/>
        <v>240</v>
      </c>
    </row>
    <row r="22" spans="1:25" x14ac:dyDescent="0.3">
      <c r="A22">
        <v>19</v>
      </c>
      <c r="B22" s="68">
        <f t="shared" si="2"/>
        <v>900</v>
      </c>
      <c r="C22" s="67"/>
      <c r="D22" s="67"/>
      <c r="E22" s="67"/>
      <c r="F22" s="67"/>
      <c r="G22" s="67"/>
      <c r="H22" s="67"/>
      <c r="M22" s="98"/>
      <c r="N22" s="69"/>
      <c r="O22" s="77" t="s">
        <v>150</v>
      </c>
      <c r="P22" s="69"/>
      <c r="Q22" s="69"/>
      <c r="R22" s="69"/>
      <c r="S22" s="69"/>
      <c r="T22" s="78"/>
      <c r="U22" s="79"/>
      <c r="V22" s="69"/>
      <c r="W22" s="79"/>
      <c r="X22" s="80"/>
      <c r="Y22" s="81">
        <f t="shared" si="1"/>
        <v>0</v>
      </c>
    </row>
    <row r="23" spans="1:25" ht="15" thickBot="1" x14ac:dyDescent="0.35">
      <c r="A23">
        <v>20</v>
      </c>
      <c r="B23" s="68">
        <f t="shared" si="2"/>
        <v>900</v>
      </c>
      <c r="C23" s="67"/>
      <c r="D23" s="67"/>
      <c r="E23" s="67"/>
      <c r="F23" s="67"/>
      <c r="G23" s="67"/>
      <c r="H23" s="67"/>
      <c r="M23" s="98"/>
      <c r="N23" s="69"/>
      <c r="O23" s="89">
        <v>24</v>
      </c>
      <c r="P23" s="90" t="s">
        <v>119</v>
      </c>
      <c r="Q23" s="90">
        <v>375</v>
      </c>
      <c r="R23" s="90" t="s">
        <v>107</v>
      </c>
      <c r="S23" s="90"/>
      <c r="T23" s="91"/>
      <c r="U23" s="79"/>
      <c r="V23" s="79">
        <f>(O23*Q23)/2</f>
        <v>4500</v>
      </c>
      <c r="W23" s="79">
        <f>(O23*Q23)/2</f>
        <v>4500</v>
      </c>
      <c r="X23" s="80"/>
      <c r="Y23" s="81">
        <f t="shared" si="1"/>
        <v>9000</v>
      </c>
    </row>
    <row r="24" spans="1:25" ht="15" thickBot="1" x14ac:dyDescent="0.35">
      <c r="A24">
        <v>21</v>
      </c>
      <c r="B24" s="68"/>
      <c r="C24" s="67"/>
      <c r="D24" s="67"/>
      <c r="E24" s="67"/>
      <c r="F24" s="67"/>
      <c r="G24" s="67"/>
      <c r="H24" s="67"/>
      <c r="M24" s="98"/>
      <c r="N24" s="69"/>
      <c r="O24" s="92" t="s">
        <v>135</v>
      </c>
      <c r="P24" s="93"/>
      <c r="Q24" s="93"/>
      <c r="R24" s="93"/>
      <c r="S24" s="93"/>
      <c r="T24" s="94"/>
      <c r="U24" s="95">
        <f>SUM(U7:U23)</f>
        <v>29210</v>
      </c>
      <c r="V24" s="95">
        <f>SUM(V7:V23)</f>
        <v>8300</v>
      </c>
      <c r="W24" s="95">
        <f>SUM(W7:W23)</f>
        <v>4500</v>
      </c>
      <c r="X24" s="96">
        <f>SUM(X7:X23)</f>
        <v>0</v>
      </c>
      <c r="Y24" s="96">
        <f>SUM(Y7:Y23)</f>
        <v>42010</v>
      </c>
    </row>
    <row r="25" spans="1:25" x14ac:dyDescent="0.3">
      <c r="A25">
        <v>22</v>
      </c>
      <c r="B25" s="68"/>
      <c r="C25" s="67"/>
      <c r="D25" s="67"/>
      <c r="E25" s="67"/>
      <c r="F25" s="67"/>
      <c r="G25" s="67"/>
      <c r="H25" s="67"/>
      <c r="M25" s="98"/>
    </row>
    <row r="26" spans="1:25" x14ac:dyDescent="0.3">
      <c r="A26">
        <v>23</v>
      </c>
      <c r="B26" s="68"/>
      <c r="C26" s="67"/>
      <c r="D26" s="67"/>
      <c r="E26" s="67"/>
      <c r="F26" s="67"/>
      <c r="G26" s="67"/>
      <c r="H26" s="67"/>
      <c r="M26" s="98"/>
    </row>
    <row r="27" spans="1:25" x14ac:dyDescent="0.3">
      <c r="A27">
        <v>24</v>
      </c>
      <c r="B27" s="68"/>
      <c r="C27" s="67"/>
      <c r="D27" s="67"/>
      <c r="E27" s="67"/>
      <c r="F27" s="67"/>
      <c r="G27" s="67"/>
      <c r="H27" s="67"/>
      <c r="M27" s="98"/>
    </row>
    <row r="28" spans="1:25" x14ac:dyDescent="0.3">
      <c r="A28">
        <v>25</v>
      </c>
      <c r="B28" s="68"/>
      <c r="C28" s="67"/>
      <c r="D28" s="67"/>
      <c r="E28" s="67"/>
      <c r="F28" s="67"/>
      <c r="G28" s="67"/>
      <c r="H28" s="67"/>
      <c r="M28" s="98"/>
    </row>
    <row r="29" spans="1:25" x14ac:dyDescent="0.3">
      <c r="A29">
        <v>26</v>
      </c>
      <c r="B29" s="68"/>
      <c r="C29" s="67"/>
      <c r="D29" s="67"/>
      <c r="E29" s="67"/>
      <c r="F29" s="67"/>
      <c r="G29" s="67"/>
      <c r="H29" s="67"/>
      <c r="M29" s="98"/>
    </row>
    <row r="30" spans="1:25" x14ac:dyDescent="0.3">
      <c r="A30">
        <v>27</v>
      </c>
      <c r="B30" s="68"/>
      <c r="C30" s="67"/>
      <c r="D30" s="67"/>
      <c r="E30" s="67"/>
      <c r="F30" s="67"/>
      <c r="G30" s="67"/>
      <c r="H30" s="67"/>
      <c r="M30" s="98"/>
    </row>
    <row r="31" spans="1:25" x14ac:dyDescent="0.3">
      <c r="A31">
        <v>28</v>
      </c>
      <c r="B31" s="68"/>
      <c r="C31" s="67"/>
      <c r="D31" s="67"/>
      <c r="E31" s="67"/>
      <c r="F31" s="67"/>
      <c r="G31" s="67"/>
      <c r="H31" s="67"/>
      <c r="M31" s="98"/>
    </row>
    <row r="32" spans="1:25" x14ac:dyDescent="0.3">
      <c r="A32">
        <v>29</v>
      </c>
      <c r="B32" s="68"/>
      <c r="C32" s="67"/>
      <c r="D32" s="67"/>
      <c r="E32" s="67"/>
      <c r="F32" s="67"/>
      <c r="G32" s="67"/>
      <c r="H32" s="67"/>
      <c r="M32" s="98"/>
    </row>
    <row r="33" spans="1:13" x14ac:dyDescent="0.3">
      <c r="A33">
        <v>30</v>
      </c>
      <c r="B33" s="68"/>
      <c r="C33" s="67"/>
      <c r="D33" s="67"/>
      <c r="E33" s="67"/>
      <c r="F33" s="67"/>
      <c r="G33" s="67"/>
      <c r="H33" s="67"/>
      <c r="M33" s="98"/>
    </row>
    <row r="34" spans="1:13" x14ac:dyDescent="0.3">
      <c r="A34">
        <v>31</v>
      </c>
      <c r="B34" s="68"/>
      <c r="C34" s="67"/>
      <c r="D34" s="67"/>
      <c r="E34" s="67"/>
      <c r="F34" s="67"/>
      <c r="G34" s="67"/>
      <c r="H34" s="67"/>
      <c r="M34" s="98"/>
    </row>
    <row r="35" spans="1:13" x14ac:dyDescent="0.3">
      <c r="A35">
        <v>32</v>
      </c>
      <c r="B35" s="68"/>
      <c r="C35" s="67"/>
      <c r="D35" s="67"/>
      <c r="E35" s="67"/>
      <c r="F35" s="67"/>
      <c r="G35" s="67"/>
      <c r="H35" s="67"/>
      <c r="M35" s="98"/>
    </row>
    <row r="36" spans="1:13" x14ac:dyDescent="0.3">
      <c r="A36">
        <v>33</v>
      </c>
      <c r="B36" s="68"/>
      <c r="C36" s="67"/>
      <c r="D36" s="67"/>
      <c r="E36" s="67"/>
      <c r="F36" s="67"/>
      <c r="G36" s="67"/>
      <c r="H36" s="67"/>
      <c r="M36" s="98"/>
    </row>
    <row r="37" spans="1:13" x14ac:dyDescent="0.3">
      <c r="A37">
        <v>34</v>
      </c>
      <c r="B37" s="68"/>
      <c r="C37" s="67"/>
      <c r="D37" s="67"/>
      <c r="E37" s="67"/>
      <c r="F37" s="67"/>
      <c r="G37" s="67"/>
      <c r="H37" s="67"/>
      <c r="M37" s="98"/>
    </row>
    <row r="38" spans="1:13" x14ac:dyDescent="0.3">
      <c r="A38">
        <v>35</v>
      </c>
      <c r="B38" s="68"/>
      <c r="C38" s="67"/>
      <c r="D38" s="67"/>
      <c r="E38" s="67"/>
      <c r="F38" s="67"/>
      <c r="G38" s="67"/>
      <c r="H38" s="67"/>
      <c r="M38" s="98"/>
    </row>
    <row r="39" spans="1:13" x14ac:dyDescent="0.3">
      <c r="A39">
        <v>36</v>
      </c>
      <c r="B39" s="68"/>
      <c r="C39" s="67"/>
      <c r="D39" s="67"/>
      <c r="E39" s="67"/>
      <c r="F39" s="67"/>
      <c r="G39" s="67"/>
      <c r="H39" s="67"/>
      <c r="M39" s="98"/>
    </row>
    <row r="40" spans="1:13" x14ac:dyDescent="0.3">
      <c r="A40">
        <v>37</v>
      </c>
      <c r="B40" s="68"/>
      <c r="C40" s="67"/>
      <c r="D40" s="67"/>
      <c r="E40" s="67"/>
      <c r="F40" s="67"/>
      <c r="G40" s="67"/>
      <c r="H40" s="67"/>
      <c r="M40" s="98"/>
    </row>
    <row r="41" spans="1:13" x14ac:dyDescent="0.3">
      <c r="A41">
        <v>38</v>
      </c>
      <c r="B41" s="68"/>
      <c r="C41" s="67"/>
      <c r="D41" s="67"/>
      <c r="E41" s="67"/>
      <c r="F41" s="67"/>
      <c r="G41" s="67"/>
      <c r="H41" s="67"/>
      <c r="M41" s="98"/>
    </row>
    <row r="42" spans="1:13" x14ac:dyDescent="0.3">
      <c r="A42">
        <v>39</v>
      </c>
      <c r="B42" s="68"/>
      <c r="C42" s="67"/>
      <c r="D42" s="67"/>
      <c r="E42" s="67"/>
      <c r="F42" s="67"/>
      <c r="G42" s="67"/>
      <c r="H42" s="67"/>
      <c r="M42" s="98"/>
    </row>
    <row r="43" spans="1:13" x14ac:dyDescent="0.3">
      <c r="A43">
        <v>40</v>
      </c>
      <c r="B43" s="68"/>
      <c r="C43" s="67"/>
      <c r="D43" s="67"/>
      <c r="E43" s="67"/>
      <c r="F43" s="67"/>
      <c r="G43" s="67"/>
      <c r="H43" s="67"/>
      <c r="M43" s="98"/>
    </row>
    <row r="44" spans="1:13" x14ac:dyDescent="0.3">
      <c r="A44">
        <v>41</v>
      </c>
      <c r="B44" s="68"/>
      <c r="C44" s="67"/>
      <c r="D44" s="67"/>
      <c r="E44" s="67"/>
      <c r="F44" s="67"/>
      <c r="G44" s="67"/>
      <c r="H44" s="67"/>
      <c r="M44" s="98"/>
    </row>
    <row r="45" spans="1:13" x14ac:dyDescent="0.3">
      <c r="A45">
        <v>42</v>
      </c>
      <c r="B45" s="68"/>
      <c r="C45" s="67"/>
      <c r="D45" s="67"/>
      <c r="E45" s="67"/>
      <c r="F45" s="67"/>
      <c r="G45" s="67"/>
      <c r="H45" s="67"/>
      <c r="M45" s="98"/>
    </row>
    <row r="46" spans="1:13" x14ac:dyDescent="0.3">
      <c r="A46">
        <v>43</v>
      </c>
      <c r="B46" s="68"/>
      <c r="C46" s="67"/>
      <c r="D46" s="67"/>
      <c r="E46" s="67"/>
      <c r="F46" s="67"/>
      <c r="G46" s="67"/>
      <c r="H46" s="67"/>
      <c r="M46" s="98"/>
    </row>
    <row r="47" spans="1:13" x14ac:dyDescent="0.3">
      <c r="A47">
        <v>44</v>
      </c>
      <c r="B47" s="68"/>
      <c r="C47" s="67"/>
      <c r="D47" s="67"/>
      <c r="E47" s="67"/>
      <c r="F47" s="67"/>
      <c r="G47" s="67"/>
      <c r="H47" s="67"/>
      <c r="M47" s="98"/>
    </row>
    <row r="48" spans="1:13" x14ac:dyDescent="0.3">
      <c r="A48">
        <v>45</v>
      </c>
      <c r="B48" s="68"/>
      <c r="C48" s="67"/>
      <c r="D48" s="67"/>
      <c r="E48" s="67"/>
      <c r="F48" s="67"/>
      <c r="G48" s="67"/>
      <c r="H48" s="67"/>
      <c r="M48" s="98"/>
    </row>
    <row r="49" spans="1:13" x14ac:dyDescent="0.3">
      <c r="A49">
        <v>46</v>
      </c>
      <c r="B49" s="68"/>
      <c r="C49" s="67"/>
      <c r="D49" s="67"/>
      <c r="E49" s="67"/>
      <c r="F49" s="67"/>
      <c r="G49" s="67"/>
      <c r="H49" s="67"/>
      <c r="M49" s="98"/>
    </row>
    <row r="50" spans="1:13" x14ac:dyDescent="0.3">
      <c r="A50">
        <v>47</v>
      </c>
      <c r="B50" s="68"/>
      <c r="C50" s="67"/>
      <c r="D50" s="67"/>
      <c r="E50" s="67"/>
      <c r="F50" s="67"/>
      <c r="G50" s="67"/>
      <c r="H50" s="67"/>
      <c r="M50" s="98"/>
    </row>
    <row r="51" spans="1:13" x14ac:dyDescent="0.3">
      <c r="A51">
        <v>48</v>
      </c>
      <c r="B51" s="68"/>
      <c r="C51" s="67"/>
      <c r="D51" s="67"/>
      <c r="E51" s="67"/>
      <c r="F51" s="67"/>
      <c r="G51" s="67"/>
      <c r="H51" s="67"/>
      <c r="M51" s="98"/>
    </row>
    <row r="52" spans="1:13" x14ac:dyDescent="0.3">
      <c r="A52">
        <v>49</v>
      </c>
      <c r="B52" s="68"/>
      <c r="C52" s="67"/>
      <c r="D52" s="67"/>
      <c r="E52" s="67"/>
      <c r="F52" s="67"/>
      <c r="G52" s="67"/>
      <c r="H52" s="67"/>
      <c r="M52" s="98"/>
    </row>
    <row r="53" spans="1:13" x14ac:dyDescent="0.3">
      <c r="A53">
        <v>50</v>
      </c>
      <c r="B53" s="68"/>
      <c r="C53" s="67"/>
      <c r="D53" s="67"/>
      <c r="E53" s="67"/>
      <c r="F53" s="67"/>
      <c r="G53" s="67"/>
      <c r="H53" s="67"/>
      <c r="M53" s="98"/>
    </row>
    <row r="54" spans="1:13" x14ac:dyDescent="0.3">
      <c r="A54">
        <v>51</v>
      </c>
      <c r="B54" s="68"/>
      <c r="C54" s="67"/>
      <c r="D54" s="67"/>
      <c r="E54" s="67"/>
      <c r="F54" s="67"/>
      <c r="G54" s="67"/>
      <c r="H54" s="67"/>
      <c r="M54" s="98"/>
    </row>
    <row r="55" spans="1:13" x14ac:dyDescent="0.3">
      <c r="A55">
        <v>52</v>
      </c>
      <c r="B55" s="68"/>
      <c r="C55" s="67"/>
      <c r="D55" s="67"/>
      <c r="E55" s="67"/>
      <c r="F55" s="67"/>
      <c r="G55" s="67"/>
      <c r="H55" s="67"/>
      <c r="M55" s="98"/>
    </row>
    <row r="56" spans="1:13" x14ac:dyDescent="0.3">
      <c r="A56">
        <v>53</v>
      </c>
      <c r="B56" s="68"/>
      <c r="C56" s="67"/>
      <c r="D56" s="67"/>
      <c r="E56" s="67"/>
      <c r="F56" s="67"/>
      <c r="G56" s="67"/>
      <c r="H56" s="67"/>
      <c r="M56" s="98"/>
    </row>
    <row r="57" spans="1:13" x14ac:dyDescent="0.3">
      <c r="A57">
        <v>54</v>
      </c>
      <c r="B57" s="68"/>
      <c r="C57" s="67"/>
      <c r="D57" s="67"/>
      <c r="E57" s="67"/>
      <c r="F57" s="67"/>
      <c r="G57" s="67"/>
      <c r="H57" s="67"/>
      <c r="M57" s="98"/>
    </row>
    <row r="58" spans="1:13" x14ac:dyDescent="0.3">
      <c r="A58">
        <v>55</v>
      </c>
      <c r="B58" s="68"/>
      <c r="C58" s="67"/>
      <c r="D58" s="67"/>
      <c r="E58" s="67"/>
      <c r="F58" s="67"/>
      <c r="G58" s="67"/>
      <c r="H58" s="67"/>
      <c r="M58" s="98"/>
    </row>
    <row r="59" spans="1:13" x14ac:dyDescent="0.3">
      <c r="A59">
        <v>56</v>
      </c>
      <c r="B59" s="68"/>
      <c r="C59" s="67"/>
      <c r="D59" s="67"/>
      <c r="E59" s="67"/>
      <c r="F59" s="67"/>
      <c r="G59" s="67"/>
      <c r="H59" s="67"/>
      <c r="M59" s="98"/>
    </row>
    <row r="60" spans="1:13" x14ac:dyDescent="0.3">
      <c r="A60">
        <v>57</v>
      </c>
      <c r="B60" s="68"/>
      <c r="C60" s="67"/>
      <c r="D60" s="67"/>
      <c r="E60" s="67"/>
      <c r="F60" s="67"/>
      <c r="G60" s="67"/>
      <c r="H60" s="67"/>
      <c r="M60" s="98"/>
    </row>
    <row r="61" spans="1:13" x14ac:dyDescent="0.3">
      <c r="A61">
        <v>58</v>
      </c>
      <c r="B61" s="68"/>
      <c r="C61" s="67"/>
      <c r="D61" s="67"/>
      <c r="E61" s="67"/>
      <c r="F61" s="67"/>
      <c r="G61" s="67"/>
      <c r="H61" s="67"/>
      <c r="M61" s="98"/>
    </row>
    <row r="62" spans="1:13" x14ac:dyDescent="0.3">
      <c r="A62">
        <v>59</v>
      </c>
      <c r="B62" s="68"/>
      <c r="C62" s="67"/>
      <c r="D62" s="67"/>
      <c r="E62" s="67"/>
      <c r="F62" s="67"/>
      <c r="G62" s="67"/>
      <c r="H62" s="67"/>
      <c r="M62" s="98"/>
    </row>
    <row r="63" spans="1:13" x14ac:dyDescent="0.3">
      <c r="A63">
        <v>60</v>
      </c>
      <c r="B63" s="68"/>
      <c r="C63" s="67"/>
      <c r="D63" s="67"/>
      <c r="E63" s="67"/>
      <c r="F63" s="67"/>
      <c r="G63" s="67"/>
      <c r="H63" s="67"/>
      <c r="M63" s="98"/>
    </row>
    <row r="64" spans="1:13" x14ac:dyDescent="0.3">
      <c r="A64">
        <v>61</v>
      </c>
      <c r="B64" s="68"/>
      <c r="C64" s="67"/>
      <c r="D64" s="67"/>
      <c r="E64" s="67"/>
      <c r="F64" s="67"/>
      <c r="G64" s="67"/>
      <c r="H64" s="67"/>
      <c r="M64" s="98"/>
    </row>
    <row r="65" spans="1:13" x14ac:dyDescent="0.3">
      <c r="A65">
        <v>62</v>
      </c>
      <c r="B65" s="68"/>
      <c r="C65" s="67"/>
      <c r="D65" s="67"/>
      <c r="E65" s="67"/>
      <c r="F65" s="67"/>
      <c r="G65" s="67"/>
      <c r="H65" s="67"/>
      <c r="M65" s="98"/>
    </row>
    <row r="66" spans="1:13" x14ac:dyDescent="0.3">
      <c r="A66">
        <v>63</v>
      </c>
      <c r="B66" s="68"/>
      <c r="C66" s="67"/>
      <c r="D66" s="67"/>
      <c r="E66" s="67"/>
      <c r="F66" s="67"/>
      <c r="G66" s="67"/>
      <c r="H66" s="67"/>
      <c r="M66" s="98"/>
    </row>
    <row r="67" spans="1:13" x14ac:dyDescent="0.3">
      <c r="A67">
        <v>64</v>
      </c>
      <c r="B67" s="68"/>
      <c r="C67" s="67"/>
      <c r="D67" s="67"/>
      <c r="E67" s="67"/>
      <c r="F67" s="67"/>
      <c r="G67" s="67"/>
      <c r="H67" s="67"/>
      <c r="M67" s="98"/>
    </row>
    <row r="68" spans="1:13" x14ac:dyDescent="0.3">
      <c r="A68">
        <v>65</v>
      </c>
      <c r="B68" s="68"/>
      <c r="C68" s="67"/>
      <c r="D68" s="67"/>
      <c r="E68" s="67"/>
      <c r="F68" s="67"/>
      <c r="G68" s="67"/>
      <c r="H68" s="67"/>
      <c r="M68" s="98"/>
    </row>
    <row r="69" spans="1:13" x14ac:dyDescent="0.3">
      <c r="A69">
        <v>66</v>
      </c>
      <c r="B69" s="68"/>
      <c r="C69" s="67"/>
      <c r="D69" s="67"/>
      <c r="E69" s="67"/>
      <c r="F69" s="67"/>
      <c r="G69" s="67"/>
      <c r="H69" s="67"/>
      <c r="M69" s="98"/>
    </row>
    <row r="70" spans="1:13" x14ac:dyDescent="0.3">
      <c r="A70">
        <v>67</v>
      </c>
      <c r="B70" s="68"/>
      <c r="C70" s="67"/>
      <c r="D70" s="67"/>
      <c r="E70" s="67"/>
      <c r="F70" s="67"/>
      <c r="G70" s="67"/>
      <c r="H70" s="67"/>
      <c r="M70" s="98"/>
    </row>
    <row r="71" spans="1:13" x14ac:dyDescent="0.3">
      <c r="A71">
        <v>68</v>
      </c>
      <c r="B71" s="68"/>
      <c r="C71" s="67"/>
      <c r="D71" s="67"/>
      <c r="E71" s="67"/>
      <c r="F71" s="67"/>
      <c r="G71" s="67"/>
      <c r="H71" s="67"/>
      <c r="M71" s="98"/>
    </row>
    <row r="72" spans="1:13" x14ac:dyDescent="0.3">
      <c r="A72">
        <v>69</v>
      </c>
      <c r="B72" s="68"/>
      <c r="C72" s="67"/>
      <c r="D72" s="67"/>
      <c r="E72" s="67"/>
      <c r="F72" s="67"/>
      <c r="G72" s="67"/>
      <c r="H72" s="67"/>
      <c r="M72" s="98"/>
    </row>
    <row r="73" spans="1:13" x14ac:dyDescent="0.3">
      <c r="A73">
        <v>70</v>
      </c>
      <c r="B73" s="68"/>
      <c r="C73" s="67"/>
      <c r="D73" s="67"/>
      <c r="E73" s="67"/>
      <c r="F73" s="67"/>
      <c r="G73" s="67"/>
      <c r="H73" s="67"/>
      <c r="M73" s="98"/>
    </row>
    <row r="74" spans="1:13" x14ac:dyDescent="0.3">
      <c r="A74">
        <v>71</v>
      </c>
      <c r="B74" s="68"/>
      <c r="C74" s="67"/>
      <c r="D74" s="67"/>
      <c r="E74" s="67"/>
      <c r="F74" s="67"/>
      <c r="G74" s="67"/>
      <c r="H74" s="67"/>
      <c r="M74" s="98"/>
    </row>
    <row r="75" spans="1:13" x14ac:dyDescent="0.3">
      <c r="A75">
        <v>72</v>
      </c>
      <c r="B75" s="68"/>
      <c r="C75" s="67"/>
      <c r="D75" s="67"/>
      <c r="E75" s="67"/>
      <c r="F75" s="67"/>
      <c r="G75" s="67"/>
      <c r="H75" s="67"/>
      <c r="M75" s="98"/>
    </row>
    <row r="76" spans="1:13" x14ac:dyDescent="0.3">
      <c r="A76">
        <v>73</v>
      </c>
      <c r="B76" s="68"/>
      <c r="C76" s="67"/>
      <c r="D76" s="67"/>
      <c r="E76" s="67"/>
      <c r="F76" s="67"/>
      <c r="G76" s="67"/>
      <c r="H76" s="67"/>
      <c r="M76" s="98"/>
    </row>
    <row r="77" spans="1:13" x14ac:dyDescent="0.3">
      <c r="A77">
        <v>74</v>
      </c>
      <c r="B77" s="68"/>
      <c r="C77" s="67"/>
      <c r="D77" s="67"/>
      <c r="E77" s="67"/>
      <c r="F77" s="67"/>
      <c r="G77" s="67"/>
      <c r="H77" s="67"/>
      <c r="M77" s="98"/>
    </row>
    <row r="78" spans="1:13" x14ac:dyDescent="0.3">
      <c r="A78">
        <v>75</v>
      </c>
      <c r="B78" s="68"/>
      <c r="C78" s="67"/>
      <c r="D78" s="67"/>
      <c r="E78" s="67"/>
      <c r="F78" s="67"/>
      <c r="G78" s="67"/>
      <c r="H78" s="67"/>
      <c r="M78" s="98"/>
    </row>
    <row r="79" spans="1:13" x14ac:dyDescent="0.3">
      <c r="A79">
        <v>76</v>
      </c>
      <c r="B79" s="68"/>
      <c r="C79" s="67"/>
      <c r="D79" s="67"/>
      <c r="E79" s="67"/>
      <c r="F79" s="67"/>
      <c r="G79" s="67"/>
      <c r="H79" s="67"/>
      <c r="M79" s="98"/>
    </row>
    <row r="80" spans="1:13" x14ac:dyDescent="0.3">
      <c r="A80">
        <v>77</v>
      </c>
      <c r="B80" s="68"/>
      <c r="C80" s="67"/>
      <c r="D80" s="67"/>
      <c r="E80" s="67"/>
      <c r="F80" s="67"/>
      <c r="G80" s="67"/>
      <c r="H80" s="67"/>
      <c r="M80" s="98"/>
    </row>
    <row r="81" spans="1:13" x14ac:dyDescent="0.3">
      <c r="A81">
        <v>78</v>
      </c>
      <c r="B81" s="68"/>
      <c r="C81" s="67"/>
      <c r="D81" s="67"/>
      <c r="E81" s="67"/>
      <c r="F81" s="67"/>
      <c r="G81" s="67"/>
      <c r="H81" s="67"/>
      <c r="M81" s="98"/>
    </row>
    <row r="82" spans="1:13" x14ac:dyDescent="0.3">
      <c r="A82">
        <v>79</v>
      </c>
      <c r="B82" s="68"/>
      <c r="C82" s="67"/>
      <c r="D82" s="67"/>
      <c r="E82" s="67"/>
      <c r="F82" s="67"/>
      <c r="G82" s="67"/>
      <c r="H82" s="67"/>
      <c r="M82" s="98"/>
    </row>
    <row r="83" spans="1:13" x14ac:dyDescent="0.3">
      <c r="A83">
        <v>80</v>
      </c>
      <c r="B83" s="68"/>
      <c r="C83" s="67"/>
      <c r="D83" s="67"/>
      <c r="E83" s="67"/>
      <c r="F83" s="67"/>
      <c r="G83" s="67"/>
      <c r="H83" s="67"/>
      <c r="M83" s="98"/>
    </row>
    <row r="84" spans="1:13" x14ac:dyDescent="0.3">
      <c r="A84">
        <v>81</v>
      </c>
      <c r="B84" s="68"/>
      <c r="C84" s="67"/>
      <c r="D84" s="67"/>
      <c r="E84" s="67"/>
      <c r="F84" s="67"/>
      <c r="G84" s="67"/>
      <c r="H84" s="67"/>
      <c r="M84" s="98"/>
    </row>
    <row r="85" spans="1:13" x14ac:dyDescent="0.3">
      <c r="A85">
        <v>82</v>
      </c>
      <c r="B85" s="68"/>
      <c r="C85" s="67"/>
      <c r="D85" s="67"/>
      <c r="E85" s="67"/>
      <c r="F85" s="67"/>
      <c r="G85" s="67"/>
      <c r="H85" s="67"/>
      <c r="M85" s="98"/>
    </row>
    <row r="86" spans="1:13" x14ac:dyDescent="0.3">
      <c r="A86">
        <v>83</v>
      </c>
      <c r="B86" s="68"/>
      <c r="C86" s="67"/>
      <c r="D86" s="67"/>
      <c r="E86" s="67"/>
      <c r="F86" s="67"/>
      <c r="G86" s="67"/>
      <c r="H86" s="67"/>
      <c r="M86" s="98"/>
    </row>
    <row r="87" spans="1:13" x14ac:dyDescent="0.3">
      <c r="A87">
        <v>84</v>
      </c>
      <c r="B87" s="68"/>
      <c r="C87" s="67"/>
      <c r="D87" s="67"/>
      <c r="E87" s="67"/>
      <c r="F87" s="67"/>
      <c r="G87" s="67"/>
      <c r="H87" s="67"/>
      <c r="M87" s="98"/>
    </row>
    <row r="88" spans="1:13" x14ac:dyDescent="0.3">
      <c r="A88">
        <v>85</v>
      </c>
      <c r="B88" s="68"/>
      <c r="C88" s="67"/>
      <c r="D88" s="67"/>
      <c r="E88" s="67"/>
      <c r="F88" s="67"/>
      <c r="G88" s="67"/>
      <c r="H88" s="67"/>
      <c r="M88" s="98"/>
    </row>
    <row r="89" spans="1:13" x14ac:dyDescent="0.3">
      <c r="A89">
        <v>86</v>
      </c>
      <c r="B89" s="68"/>
      <c r="C89" s="67"/>
      <c r="D89" s="67"/>
      <c r="E89" s="67"/>
      <c r="F89" s="67"/>
      <c r="G89" s="67"/>
      <c r="H89" s="67"/>
      <c r="M89" s="98"/>
    </row>
    <row r="90" spans="1:13" x14ac:dyDescent="0.3">
      <c r="A90">
        <v>87</v>
      </c>
      <c r="B90" s="68"/>
      <c r="C90" s="67"/>
      <c r="D90" s="67"/>
      <c r="E90" s="67"/>
      <c r="F90" s="67"/>
      <c r="G90" s="67"/>
      <c r="H90" s="67"/>
      <c r="M90" s="98"/>
    </row>
    <row r="91" spans="1:13" x14ac:dyDescent="0.3">
      <c r="A91">
        <v>88</v>
      </c>
      <c r="B91" s="68"/>
      <c r="C91" s="67"/>
      <c r="D91" s="67"/>
      <c r="E91" s="67"/>
      <c r="F91" s="67"/>
      <c r="G91" s="67"/>
      <c r="H91" s="67"/>
      <c r="M91" s="98"/>
    </row>
    <row r="92" spans="1:13" x14ac:dyDescent="0.3">
      <c r="A92">
        <v>89</v>
      </c>
      <c r="B92" s="68"/>
      <c r="C92" s="67"/>
      <c r="D92" s="67"/>
      <c r="E92" s="67"/>
      <c r="F92" s="67"/>
      <c r="G92" s="67"/>
      <c r="H92" s="67"/>
      <c r="M92" s="98"/>
    </row>
    <row r="93" spans="1:13" x14ac:dyDescent="0.3">
      <c r="A93">
        <v>90</v>
      </c>
      <c r="B93" s="68"/>
      <c r="C93" s="67"/>
      <c r="D93" s="67"/>
      <c r="E93" s="67"/>
      <c r="F93" s="67"/>
      <c r="G93" s="67"/>
      <c r="H93" s="67"/>
      <c r="M93" s="98"/>
    </row>
    <row r="94" spans="1:13" x14ac:dyDescent="0.3">
      <c r="A94">
        <v>91</v>
      </c>
      <c r="B94" s="68"/>
      <c r="C94" s="67"/>
      <c r="D94" s="67"/>
      <c r="E94" s="67"/>
      <c r="F94" s="67"/>
      <c r="G94" s="67"/>
      <c r="H94" s="67"/>
      <c r="M94" s="98"/>
    </row>
    <row r="95" spans="1:13" x14ac:dyDescent="0.3">
      <c r="A95">
        <v>92</v>
      </c>
      <c r="B95" s="68"/>
      <c r="C95" s="67"/>
      <c r="D95" s="67"/>
      <c r="E95" s="67"/>
      <c r="F95" s="67"/>
      <c r="G95" s="67"/>
      <c r="H95" s="67"/>
      <c r="M95" s="98"/>
    </row>
    <row r="96" spans="1:13" x14ac:dyDescent="0.3">
      <c r="A96">
        <v>93</v>
      </c>
      <c r="B96" s="68"/>
      <c r="C96" s="67"/>
      <c r="D96" s="67"/>
      <c r="E96" s="67"/>
      <c r="F96" s="67"/>
      <c r="G96" s="67"/>
      <c r="H96" s="67"/>
      <c r="M96" s="98"/>
    </row>
    <row r="97" spans="1:13" x14ac:dyDescent="0.3">
      <c r="A97">
        <v>94</v>
      </c>
      <c r="B97" s="68"/>
      <c r="C97" s="67"/>
      <c r="D97" s="67"/>
      <c r="E97" s="67"/>
      <c r="F97" s="67"/>
      <c r="G97" s="67"/>
      <c r="H97" s="67"/>
      <c r="M97" s="98"/>
    </row>
    <row r="98" spans="1:13" x14ac:dyDescent="0.3">
      <c r="A98">
        <v>95</v>
      </c>
      <c r="B98" s="68"/>
      <c r="C98" s="67"/>
      <c r="D98" s="67"/>
      <c r="E98" s="67"/>
      <c r="F98" s="67"/>
      <c r="G98" s="67"/>
      <c r="H98" s="67"/>
      <c r="M98" s="98"/>
    </row>
    <row r="99" spans="1:13" x14ac:dyDescent="0.3">
      <c r="A99">
        <v>96</v>
      </c>
      <c r="B99" s="68"/>
      <c r="C99" s="67"/>
      <c r="D99" s="67"/>
      <c r="E99" s="67"/>
      <c r="F99" s="67"/>
      <c r="G99" s="67"/>
      <c r="H99" s="67"/>
      <c r="M99" s="98"/>
    </row>
    <row r="100" spans="1:13" x14ac:dyDescent="0.3">
      <c r="A100">
        <v>97</v>
      </c>
      <c r="B100" s="68"/>
      <c r="C100" s="67"/>
      <c r="D100" s="67"/>
      <c r="E100" s="67"/>
      <c r="F100" s="67"/>
      <c r="G100" s="67"/>
      <c r="H100" s="67"/>
      <c r="M100" s="98"/>
    </row>
    <row r="101" spans="1:13" x14ac:dyDescent="0.3">
      <c r="A101">
        <v>98</v>
      </c>
      <c r="B101" s="68"/>
      <c r="C101" s="67"/>
      <c r="D101" s="67"/>
      <c r="E101" s="67"/>
      <c r="F101" s="67"/>
      <c r="G101" s="67"/>
      <c r="H101" s="67"/>
      <c r="M101" s="98"/>
    </row>
    <row r="102" spans="1:13" x14ac:dyDescent="0.3">
      <c r="A102">
        <v>99</v>
      </c>
      <c r="B102" s="68"/>
      <c r="C102" s="67"/>
      <c r="D102" s="67"/>
      <c r="E102" s="67"/>
      <c r="F102" s="67"/>
      <c r="G102" s="67"/>
      <c r="H102" s="67"/>
      <c r="M102" s="98"/>
    </row>
    <row r="103" spans="1:13" x14ac:dyDescent="0.3">
      <c r="A103">
        <v>100</v>
      </c>
      <c r="B103" s="68"/>
      <c r="C103" s="67"/>
      <c r="D103" s="67"/>
      <c r="E103" s="67"/>
      <c r="F103" s="67"/>
      <c r="G103" s="67"/>
      <c r="H103" s="67"/>
      <c r="M103" s="98"/>
    </row>
    <row r="104" spans="1:13" x14ac:dyDescent="0.3">
      <c r="A104">
        <v>101</v>
      </c>
      <c r="B104" s="68"/>
      <c r="C104" s="67"/>
      <c r="D104" s="67"/>
      <c r="E104" s="67"/>
      <c r="F104" s="67"/>
      <c r="G104" s="67"/>
      <c r="H104" s="67"/>
      <c r="M104" s="98"/>
    </row>
    <row r="105" spans="1:13" x14ac:dyDescent="0.3">
      <c r="A105">
        <v>102</v>
      </c>
      <c r="B105" s="68"/>
      <c r="C105" s="67"/>
      <c r="D105" s="67"/>
      <c r="E105" s="67"/>
      <c r="F105" s="67"/>
      <c r="G105" s="67"/>
      <c r="H105" s="67"/>
      <c r="M105" s="98"/>
    </row>
    <row r="106" spans="1:13" x14ac:dyDescent="0.3">
      <c r="A106">
        <v>103</v>
      </c>
      <c r="B106" s="68"/>
      <c r="C106" s="67"/>
      <c r="D106" s="67"/>
      <c r="E106" s="67"/>
      <c r="F106" s="67"/>
      <c r="G106" s="67"/>
      <c r="H106" s="67"/>
      <c r="M106" s="98"/>
    </row>
    <row r="107" spans="1:13" x14ac:dyDescent="0.3">
      <c r="A107">
        <v>104</v>
      </c>
      <c r="B107" s="68"/>
      <c r="C107" s="67"/>
      <c r="D107" s="67"/>
      <c r="E107" s="67"/>
      <c r="F107" s="67"/>
      <c r="G107" s="67"/>
      <c r="H107" s="67"/>
      <c r="M107" s="98"/>
    </row>
    <row r="108" spans="1:13" x14ac:dyDescent="0.3">
      <c r="A108">
        <v>105</v>
      </c>
      <c r="B108" s="68"/>
      <c r="C108" s="67"/>
      <c r="D108" s="67"/>
      <c r="E108" s="67"/>
      <c r="F108" s="67"/>
      <c r="G108" s="67"/>
      <c r="H108" s="67"/>
      <c r="M108" s="98"/>
    </row>
    <row r="109" spans="1:13" x14ac:dyDescent="0.3">
      <c r="A109">
        <v>106</v>
      </c>
      <c r="B109" s="68"/>
      <c r="C109" s="67"/>
      <c r="D109" s="67"/>
      <c r="E109" s="67"/>
      <c r="F109" s="67"/>
      <c r="G109" s="67"/>
      <c r="H109" s="67"/>
      <c r="M109" s="98"/>
    </row>
    <row r="110" spans="1:13" x14ac:dyDescent="0.3">
      <c r="A110">
        <v>107</v>
      </c>
      <c r="B110" s="68"/>
      <c r="C110" s="67"/>
      <c r="D110" s="67"/>
      <c r="E110" s="67"/>
      <c r="F110" s="67"/>
      <c r="G110" s="67"/>
      <c r="H110" s="67"/>
      <c r="M110" s="98"/>
    </row>
    <row r="111" spans="1:13" x14ac:dyDescent="0.3">
      <c r="A111">
        <v>108</v>
      </c>
      <c r="B111" s="68"/>
      <c r="C111" s="67"/>
      <c r="D111" s="67"/>
      <c r="E111" s="67"/>
      <c r="F111" s="67"/>
      <c r="G111" s="67"/>
      <c r="H111" s="67"/>
      <c r="M111" s="98"/>
    </row>
    <row r="112" spans="1:13" x14ac:dyDescent="0.3">
      <c r="A112">
        <v>109</v>
      </c>
      <c r="B112" s="68"/>
      <c r="C112" s="67"/>
      <c r="D112" s="67"/>
      <c r="E112" s="67"/>
      <c r="F112" s="67"/>
      <c r="G112" s="67"/>
      <c r="H112" s="67"/>
      <c r="M112" s="98"/>
    </row>
    <row r="113" spans="1:13" x14ac:dyDescent="0.3">
      <c r="A113">
        <v>110</v>
      </c>
      <c r="B113" s="68"/>
      <c r="C113" s="67"/>
      <c r="D113" s="67"/>
      <c r="E113" s="67"/>
      <c r="F113" s="67"/>
      <c r="G113" s="67"/>
      <c r="H113" s="67"/>
      <c r="M113" s="98"/>
    </row>
    <row r="114" spans="1:13" x14ac:dyDescent="0.3">
      <c r="A114">
        <v>111</v>
      </c>
      <c r="B114" s="68"/>
      <c r="C114" s="67"/>
      <c r="D114" s="67"/>
      <c r="E114" s="67"/>
      <c r="F114" s="67"/>
      <c r="G114" s="67"/>
      <c r="H114" s="67"/>
      <c r="M114" s="98"/>
    </row>
    <row r="115" spans="1:13" x14ac:dyDescent="0.3">
      <c r="A115">
        <v>112</v>
      </c>
      <c r="B115" s="68"/>
      <c r="C115" s="67"/>
      <c r="D115" s="67"/>
      <c r="E115" s="67"/>
      <c r="F115" s="67"/>
      <c r="G115" s="67"/>
      <c r="H115" s="67"/>
      <c r="M115" s="98"/>
    </row>
    <row r="116" spans="1:13" x14ac:dyDescent="0.3">
      <c r="A116">
        <v>113</v>
      </c>
      <c r="B116" s="68"/>
      <c r="C116" s="67"/>
      <c r="D116" s="67"/>
      <c r="E116" s="67"/>
      <c r="F116" s="67"/>
      <c r="G116" s="67"/>
      <c r="H116" s="67"/>
      <c r="M116" s="98"/>
    </row>
    <row r="117" spans="1:13" x14ac:dyDescent="0.3">
      <c r="A117">
        <v>114</v>
      </c>
      <c r="B117" s="68"/>
      <c r="C117" s="67"/>
      <c r="D117" s="67"/>
      <c r="E117" s="67"/>
      <c r="F117" s="67"/>
      <c r="G117" s="67"/>
      <c r="H117" s="67"/>
      <c r="M117" s="98"/>
    </row>
    <row r="118" spans="1:13" x14ac:dyDescent="0.3">
      <c r="A118">
        <v>115</v>
      </c>
      <c r="B118" s="68"/>
      <c r="C118" s="67"/>
      <c r="D118" s="67"/>
      <c r="E118" s="67"/>
      <c r="F118" s="67"/>
      <c r="G118" s="67"/>
      <c r="H118" s="67"/>
      <c r="M118" s="98"/>
    </row>
    <row r="119" spans="1:13" x14ac:dyDescent="0.3">
      <c r="A119">
        <v>116</v>
      </c>
      <c r="B119" s="68"/>
      <c r="C119" s="67"/>
      <c r="D119" s="67"/>
      <c r="E119" s="67"/>
      <c r="F119" s="67"/>
      <c r="G119" s="67"/>
      <c r="H119" s="67"/>
      <c r="M119" s="98"/>
    </row>
    <row r="120" spans="1:13" x14ac:dyDescent="0.3">
      <c r="A120">
        <v>117</v>
      </c>
      <c r="B120" s="68"/>
      <c r="C120" s="67"/>
      <c r="D120" s="67"/>
      <c r="E120" s="67"/>
      <c r="F120" s="67"/>
      <c r="G120" s="67"/>
      <c r="H120" s="67"/>
      <c r="M120" s="98"/>
    </row>
    <row r="121" spans="1:13" x14ac:dyDescent="0.3">
      <c r="A121">
        <v>118</v>
      </c>
      <c r="B121" s="68"/>
      <c r="C121" s="67"/>
      <c r="D121" s="67"/>
      <c r="E121" s="67"/>
      <c r="F121" s="67"/>
      <c r="G121" s="67"/>
      <c r="H121" s="67"/>
      <c r="M121" s="98"/>
    </row>
    <row r="122" spans="1:13" x14ac:dyDescent="0.3">
      <c r="A122">
        <v>119</v>
      </c>
      <c r="B122" s="68"/>
      <c r="C122" s="67"/>
      <c r="D122" s="67"/>
      <c r="E122" s="67"/>
      <c r="F122" s="67"/>
      <c r="G122" s="67"/>
      <c r="H122" s="67"/>
      <c r="M122" s="98"/>
    </row>
    <row r="123" spans="1:13" x14ac:dyDescent="0.3">
      <c r="A123">
        <v>120</v>
      </c>
      <c r="B123" s="68"/>
      <c r="C123" s="68"/>
      <c r="D123" s="68"/>
      <c r="E123" s="68"/>
      <c r="F123" s="68"/>
      <c r="G123" s="67"/>
      <c r="H123" s="67"/>
      <c r="M123" s="98"/>
    </row>
    <row r="124" spans="1:13" x14ac:dyDescent="0.3">
      <c r="A124">
        <v>121</v>
      </c>
      <c r="B124" s="68"/>
      <c r="C124" s="68"/>
      <c r="D124" s="68"/>
      <c r="E124" s="68"/>
      <c r="F124" s="68"/>
      <c r="G124" s="67"/>
      <c r="H124" s="67"/>
      <c r="M124" s="98"/>
    </row>
    <row r="125" spans="1:13" x14ac:dyDescent="0.3">
      <c r="A125">
        <v>122</v>
      </c>
      <c r="B125" s="68"/>
      <c r="C125" s="68"/>
      <c r="D125" s="68"/>
      <c r="E125" s="68"/>
      <c r="F125" s="68"/>
      <c r="G125" s="67"/>
      <c r="H125" s="67"/>
      <c r="M125" s="98"/>
    </row>
    <row r="126" spans="1:13" x14ac:dyDescent="0.3">
      <c r="A126">
        <v>123</v>
      </c>
      <c r="B126" s="68"/>
      <c r="C126" s="68"/>
      <c r="D126" s="68"/>
      <c r="E126" s="68"/>
      <c r="F126" s="68"/>
      <c r="G126" s="67"/>
      <c r="H126" s="67"/>
      <c r="M126" s="98"/>
    </row>
    <row r="127" spans="1:13" x14ac:dyDescent="0.3">
      <c r="A127">
        <v>124</v>
      </c>
      <c r="B127" s="68"/>
      <c r="C127" s="68"/>
      <c r="D127" s="68"/>
      <c r="E127" s="68"/>
      <c r="F127" s="68"/>
      <c r="G127" s="67"/>
      <c r="H127" s="67"/>
      <c r="M127" s="98"/>
    </row>
    <row r="128" spans="1:13" x14ac:dyDescent="0.3">
      <c r="A128">
        <v>125</v>
      </c>
      <c r="B128" s="68"/>
      <c r="C128" s="68"/>
      <c r="D128" s="68"/>
      <c r="E128" s="68"/>
      <c r="F128" s="68"/>
      <c r="G128" s="67"/>
      <c r="H128" s="67"/>
      <c r="M128" s="98"/>
    </row>
    <row r="129" spans="1:13" x14ac:dyDescent="0.3">
      <c r="A129">
        <v>126</v>
      </c>
      <c r="B129" s="68"/>
      <c r="C129" s="68"/>
      <c r="D129" s="68"/>
      <c r="E129" s="68"/>
      <c r="F129" s="68"/>
      <c r="G129" s="67"/>
      <c r="H129" s="67"/>
      <c r="M129" s="98"/>
    </row>
    <row r="130" spans="1:13" x14ac:dyDescent="0.3">
      <c r="A130">
        <v>127</v>
      </c>
      <c r="B130" s="68"/>
      <c r="C130" s="68"/>
      <c r="D130" s="68"/>
      <c r="E130" s="68"/>
      <c r="F130" s="68"/>
      <c r="G130" s="67"/>
      <c r="H130" s="67"/>
      <c r="M130" s="98"/>
    </row>
    <row r="131" spans="1:13" x14ac:dyDescent="0.3">
      <c r="A131">
        <v>128</v>
      </c>
      <c r="B131" s="68"/>
      <c r="C131" s="68"/>
      <c r="D131" s="68"/>
      <c r="E131" s="68"/>
      <c r="F131" s="68"/>
      <c r="G131" s="67"/>
      <c r="H131" s="67"/>
      <c r="M131" s="98"/>
    </row>
    <row r="132" spans="1:13" x14ac:dyDescent="0.3">
      <c r="A132">
        <v>129</v>
      </c>
      <c r="B132" s="68"/>
      <c r="C132" s="68"/>
      <c r="D132" s="68"/>
      <c r="E132" s="68"/>
      <c r="F132" s="68"/>
      <c r="G132" s="67"/>
      <c r="H132" s="67"/>
      <c r="M132" s="98"/>
    </row>
    <row r="133" spans="1:13" x14ac:dyDescent="0.3">
      <c r="A133">
        <v>130</v>
      </c>
      <c r="B133" s="68"/>
      <c r="C133" s="68"/>
      <c r="D133" s="68"/>
      <c r="E133" s="68"/>
      <c r="F133" s="68"/>
      <c r="G133" s="67"/>
      <c r="H133" s="67"/>
      <c r="M133" s="98"/>
    </row>
    <row r="134" spans="1:13" x14ac:dyDescent="0.3">
      <c r="A134">
        <v>131</v>
      </c>
      <c r="B134" s="68"/>
      <c r="C134" s="68"/>
      <c r="D134" s="68"/>
      <c r="E134" s="68"/>
      <c r="F134" s="68"/>
      <c r="G134" s="67"/>
      <c r="H134" s="67"/>
      <c r="M134" s="98"/>
    </row>
    <row r="135" spans="1:13" x14ac:dyDescent="0.3">
      <c r="A135">
        <v>132</v>
      </c>
      <c r="B135" s="68"/>
      <c r="C135" s="68"/>
      <c r="D135" s="68"/>
      <c r="E135" s="68"/>
      <c r="F135" s="68"/>
      <c r="G135" s="67"/>
      <c r="H135" s="67"/>
      <c r="M135" s="98"/>
    </row>
    <row r="136" spans="1:13" x14ac:dyDescent="0.3">
      <c r="A136">
        <v>133</v>
      </c>
      <c r="B136" s="68"/>
      <c r="C136" s="68"/>
      <c r="D136" s="68"/>
      <c r="E136" s="68"/>
      <c r="F136" s="68"/>
      <c r="G136" s="67"/>
      <c r="H136" s="67"/>
      <c r="M136" s="98"/>
    </row>
    <row r="137" spans="1:13" x14ac:dyDescent="0.3">
      <c r="A137">
        <v>134</v>
      </c>
      <c r="B137" s="68"/>
      <c r="C137" s="68"/>
      <c r="D137" s="68"/>
      <c r="E137" s="68"/>
      <c r="F137" s="68"/>
      <c r="G137" s="67"/>
      <c r="H137" s="67"/>
      <c r="M137" s="98"/>
    </row>
    <row r="138" spans="1:13" x14ac:dyDescent="0.3">
      <c r="A138">
        <v>135</v>
      </c>
      <c r="B138" s="68"/>
      <c r="C138" s="68"/>
      <c r="D138" s="68"/>
      <c r="E138" s="68"/>
      <c r="F138" s="68"/>
      <c r="G138" s="67"/>
      <c r="H138" s="67"/>
      <c r="M138" s="98"/>
    </row>
    <row r="139" spans="1:13" x14ac:dyDescent="0.3">
      <c r="A139">
        <v>136</v>
      </c>
      <c r="B139" s="68"/>
      <c r="C139" s="68"/>
      <c r="D139" s="68"/>
      <c r="E139" s="68"/>
      <c r="F139" s="68"/>
      <c r="G139" s="67"/>
      <c r="H139" s="67"/>
      <c r="M139" s="98"/>
    </row>
    <row r="140" spans="1:13" x14ac:dyDescent="0.3">
      <c r="A140">
        <v>137</v>
      </c>
      <c r="B140" s="68"/>
      <c r="C140" s="68"/>
      <c r="D140" s="68"/>
      <c r="E140" s="68"/>
      <c r="F140" s="68"/>
      <c r="G140" s="67"/>
      <c r="H140" s="67"/>
      <c r="M140" s="98"/>
    </row>
    <row r="141" spans="1:13" x14ac:dyDescent="0.3">
      <c r="A141">
        <v>138</v>
      </c>
      <c r="B141" s="68"/>
      <c r="C141" s="68"/>
      <c r="D141" s="68"/>
      <c r="E141" s="68"/>
      <c r="F141" s="68"/>
      <c r="G141" s="67"/>
      <c r="H141" s="67"/>
      <c r="M141" s="98"/>
    </row>
    <row r="142" spans="1:13" x14ac:dyDescent="0.3">
      <c r="A142">
        <v>139</v>
      </c>
      <c r="B142" s="68"/>
      <c r="C142" s="68"/>
      <c r="D142" s="68"/>
      <c r="E142" s="68"/>
      <c r="F142" s="68"/>
      <c r="G142" s="67"/>
      <c r="H142" s="67"/>
      <c r="M142" s="98"/>
    </row>
    <row r="143" spans="1:13" x14ac:dyDescent="0.3">
      <c r="A143">
        <v>140</v>
      </c>
      <c r="B143" s="68"/>
      <c r="C143" s="68"/>
      <c r="D143" s="68"/>
      <c r="E143" s="68"/>
      <c r="F143" s="68"/>
      <c r="G143" s="67"/>
      <c r="H143" s="67"/>
      <c r="M143" s="98"/>
    </row>
    <row r="144" spans="1:13" x14ac:dyDescent="0.3">
      <c r="A144">
        <v>141</v>
      </c>
      <c r="B144" s="68"/>
      <c r="C144" s="68"/>
      <c r="D144" s="68"/>
      <c r="E144" s="68"/>
      <c r="F144" s="68"/>
      <c r="G144" s="67"/>
      <c r="H144" s="67"/>
      <c r="M144" s="98"/>
    </row>
    <row r="145" spans="1:13" x14ac:dyDescent="0.3">
      <c r="A145">
        <v>142</v>
      </c>
      <c r="B145" s="68"/>
      <c r="C145" s="68"/>
      <c r="D145" s="68"/>
      <c r="E145" s="68"/>
      <c r="F145" s="68"/>
      <c r="G145" s="67"/>
      <c r="H145" s="67"/>
      <c r="M145" s="98"/>
    </row>
    <row r="146" spans="1:13" x14ac:dyDescent="0.3">
      <c r="A146">
        <v>143</v>
      </c>
      <c r="B146" s="68"/>
      <c r="C146" s="68"/>
      <c r="D146" s="68"/>
      <c r="E146" s="68"/>
      <c r="F146" s="68"/>
      <c r="G146" s="67"/>
      <c r="H146" s="67"/>
      <c r="M146" s="98"/>
    </row>
    <row r="147" spans="1:13" x14ac:dyDescent="0.3">
      <c r="A147">
        <v>144</v>
      </c>
      <c r="B147" s="68"/>
      <c r="C147" s="68"/>
      <c r="D147" s="68"/>
      <c r="E147" s="68"/>
      <c r="F147" s="68"/>
      <c r="G147" s="67"/>
      <c r="H147" s="67"/>
      <c r="M147" s="98"/>
    </row>
    <row r="148" spans="1:13" x14ac:dyDescent="0.3">
      <c r="A148">
        <v>145</v>
      </c>
      <c r="B148" s="68"/>
      <c r="C148" s="68"/>
      <c r="D148" s="68"/>
      <c r="E148" s="68"/>
      <c r="F148" s="68"/>
      <c r="G148" s="67"/>
      <c r="H148" s="67"/>
      <c r="M148" s="98"/>
    </row>
    <row r="149" spans="1:13" x14ac:dyDescent="0.3">
      <c r="A149">
        <v>146</v>
      </c>
      <c r="B149" s="68"/>
      <c r="C149" s="68"/>
      <c r="D149" s="68"/>
      <c r="E149" s="68"/>
      <c r="F149" s="68"/>
      <c r="G149" s="67"/>
      <c r="H149" s="67"/>
      <c r="M149" s="98"/>
    </row>
    <row r="150" spans="1:13" x14ac:dyDescent="0.3">
      <c r="A150">
        <v>147</v>
      </c>
      <c r="B150" s="68"/>
      <c r="C150" s="68"/>
      <c r="D150" s="68"/>
      <c r="E150" s="68"/>
      <c r="F150" s="68"/>
      <c r="G150" s="67"/>
      <c r="H150" s="67"/>
      <c r="M150" s="98"/>
    </row>
    <row r="151" spans="1:13" x14ac:dyDescent="0.3">
      <c r="A151">
        <v>148</v>
      </c>
      <c r="B151" s="68"/>
      <c r="C151" s="68"/>
      <c r="D151" s="68"/>
      <c r="E151" s="68"/>
      <c r="F151" s="68"/>
      <c r="G151" s="67"/>
      <c r="H151" s="67"/>
      <c r="M151" s="98"/>
    </row>
    <row r="152" spans="1:13" x14ac:dyDescent="0.3">
      <c r="A152">
        <v>149</v>
      </c>
      <c r="B152" s="68"/>
      <c r="C152" s="68"/>
      <c r="D152" s="68"/>
      <c r="E152" s="68"/>
      <c r="F152" s="68"/>
      <c r="G152" s="67"/>
      <c r="H152" s="67"/>
      <c r="M152" s="98"/>
    </row>
    <row r="153" spans="1:13" x14ac:dyDescent="0.3">
      <c r="A153">
        <v>150</v>
      </c>
      <c r="B153" s="68"/>
      <c r="C153" s="68"/>
      <c r="D153" s="68"/>
      <c r="E153" s="68"/>
      <c r="F153" s="68"/>
      <c r="G153" s="67"/>
      <c r="H153" s="67"/>
      <c r="M153" s="98"/>
    </row>
    <row r="154" spans="1:13" x14ac:dyDescent="0.3">
      <c r="A154">
        <v>151</v>
      </c>
      <c r="B154" s="68"/>
      <c r="C154" s="68"/>
      <c r="D154" s="68"/>
      <c r="E154" s="68"/>
      <c r="F154" s="68"/>
      <c r="G154" s="67"/>
      <c r="H154" s="67"/>
      <c r="M154" s="98"/>
    </row>
    <row r="155" spans="1:13" x14ac:dyDescent="0.3">
      <c r="A155">
        <v>152</v>
      </c>
      <c r="B155" s="68"/>
      <c r="C155" s="68"/>
      <c r="D155" s="68"/>
      <c r="E155" s="68"/>
      <c r="F155" s="68"/>
      <c r="G155" s="67"/>
      <c r="H155" s="67"/>
      <c r="M155" s="98"/>
    </row>
    <row r="156" spans="1:13" x14ac:dyDescent="0.3">
      <c r="A156">
        <v>153</v>
      </c>
      <c r="B156" s="68"/>
      <c r="C156" s="68"/>
      <c r="D156" s="68"/>
      <c r="E156" s="68"/>
      <c r="F156" s="68"/>
      <c r="G156" s="67"/>
      <c r="H156" s="67"/>
      <c r="M156" s="98"/>
    </row>
    <row r="157" spans="1:13" x14ac:dyDescent="0.3">
      <c r="A157">
        <v>154</v>
      </c>
      <c r="B157" s="68"/>
      <c r="C157" s="68"/>
      <c r="D157" s="68"/>
      <c r="E157" s="68"/>
      <c r="F157" s="68"/>
      <c r="G157" s="67"/>
      <c r="H157" s="67"/>
      <c r="M157" s="98"/>
    </row>
    <row r="158" spans="1:13" x14ac:dyDescent="0.3">
      <c r="A158">
        <v>155</v>
      </c>
      <c r="B158" s="68"/>
      <c r="C158" s="68"/>
      <c r="D158" s="68"/>
      <c r="E158" s="68"/>
      <c r="F158" s="68"/>
      <c r="G158" s="67"/>
      <c r="H158" s="67"/>
      <c r="M158" s="98"/>
    </row>
    <row r="159" spans="1:13" x14ac:dyDescent="0.3">
      <c r="A159">
        <v>156</v>
      </c>
      <c r="B159" s="68"/>
      <c r="C159" s="68"/>
      <c r="D159" s="68"/>
      <c r="E159" s="68"/>
      <c r="F159" s="68"/>
      <c r="G159" s="67"/>
      <c r="H159" s="67"/>
      <c r="M159" s="98"/>
    </row>
    <row r="160" spans="1:13" x14ac:dyDescent="0.3">
      <c r="A160">
        <v>157</v>
      </c>
      <c r="B160" s="68"/>
      <c r="C160" s="68"/>
      <c r="D160" s="68"/>
      <c r="E160" s="68"/>
      <c r="F160" s="68"/>
      <c r="G160" s="67"/>
      <c r="H160" s="67"/>
      <c r="M160" s="98"/>
    </row>
    <row r="161" spans="1:13" x14ac:dyDescent="0.3">
      <c r="A161">
        <v>158</v>
      </c>
      <c r="B161" s="68"/>
      <c r="C161" s="68"/>
      <c r="D161" s="68"/>
      <c r="E161" s="68"/>
      <c r="F161" s="68"/>
      <c r="G161" s="67"/>
      <c r="H161" s="67"/>
      <c r="M161" s="98"/>
    </row>
    <row r="162" spans="1:13" x14ac:dyDescent="0.3">
      <c r="A162">
        <v>159</v>
      </c>
      <c r="B162" s="68"/>
      <c r="C162" s="68"/>
      <c r="D162" s="68"/>
      <c r="E162" s="68"/>
      <c r="F162" s="68"/>
      <c r="G162" s="67"/>
      <c r="H162" s="67"/>
      <c r="M162" s="98"/>
    </row>
    <row r="163" spans="1:13" x14ac:dyDescent="0.3">
      <c r="A163">
        <v>160</v>
      </c>
      <c r="B163" s="68"/>
      <c r="C163" s="68"/>
      <c r="D163" s="68"/>
      <c r="E163" s="68"/>
      <c r="F163" s="68"/>
      <c r="G163" s="67"/>
      <c r="H163" s="67"/>
      <c r="M163" s="98"/>
    </row>
    <row r="164" spans="1:13" x14ac:dyDescent="0.3">
      <c r="A164">
        <v>161</v>
      </c>
      <c r="B164" s="68"/>
      <c r="C164" s="68"/>
      <c r="D164" s="68"/>
      <c r="E164" s="68"/>
      <c r="F164" s="68"/>
      <c r="G164" s="67"/>
      <c r="H164" s="67"/>
      <c r="M164" s="98"/>
    </row>
    <row r="165" spans="1:13" x14ac:dyDescent="0.3">
      <c r="A165">
        <v>162</v>
      </c>
      <c r="B165" s="68"/>
      <c r="C165" s="68"/>
      <c r="D165" s="68"/>
      <c r="E165" s="68"/>
      <c r="F165" s="68"/>
      <c r="G165" s="67"/>
      <c r="H165" s="67"/>
      <c r="M165" s="98"/>
    </row>
    <row r="166" spans="1:13" x14ac:dyDescent="0.3">
      <c r="A166">
        <v>163</v>
      </c>
      <c r="B166" s="68"/>
      <c r="C166" s="68"/>
      <c r="D166" s="68"/>
      <c r="E166" s="68"/>
      <c r="F166" s="68"/>
      <c r="G166" s="67"/>
      <c r="H166" s="67"/>
      <c r="M166" s="98"/>
    </row>
    <row r="167" spans="1:13" x14ac:dyDescent="0.3">
      <c r="A167">
        <v>164</v>
      </c>
      <c r="B167" s="68"/>
      <c r="C167" s="68"/>
      <c r="D167" s="68"/>
      <c r="E167" s="68"/>
      <c r="F167" s="68"/>
      <c r="G167" s="67"/>
      <c r="H167" s="67"/>
      <c r="M167" s="98"/>
    </row>
    <row r="168" spans="1:13" x14ac:dyDescent="0.3">
      <c r="A168">
        <v>165</v>
      </c>
      <c r="B168" s="68"/>
      <c r="C168" s="68"/>
      <c r="D168" s="68"/>
      <c r="E168" s="68"/>
      <c r="F168" s="68"/>
      <c r="G168" s="67"/>
      <c r="H168" s="67"/>
      <c r="M168" s="98"/>
    </row>
    <row r="169" spans="1:13" x14ac:dyDescent="0.3">
      <c r="A169">
        <v>166</v>
      </c>
      <c r="B169" s="68"/>
      <c r="C169" s="68"/>
      <c r="D169" s="68"/>
      <c r="E169" s="68"/>
      <c r="F169" s="68"/>
      <c r="G169" s="67"/>
      <c r="H169" s="67"/>
      <c r="M169" s="98"/>
    </row>
    <row r="170" spans="1:13" x14ac:dyDescent="0.3">
      <c r="A170">
        <v>167</v>
      </c>
      <c r="B170" s="68"/>
      <c r="C170" s="68"/>
      <c r="D170" s="68"/>
      <c r="E170" s="68"/>
      <c r="F170" s="68"/>
      <c r="G170" s="67"/>
      <c r="H170" s="67"/>
      <c r="M170" s="98"/>
    </row>
    <row r="171" spans="1:13" x14ac:dyDescent="0.3">
      <c r="A171">
        <v>168</v>
      </c>
      <c r="B171" s="68"/>
      <c r="C171" s="68"/>
      <c r="D171" s="68"/>
      <c r="E171" s="68"/>
      <c r="F171" s="68"/>
      <c r="G171" s="67"/>
      <c r="H171" s="67"/>
      <c r="M171" s="98"/>
    </row>
    <row r="172" spans="1:13" x14ac:dyDescent="0.3">
      <c r="A172">
        <v>169</v>
      </c>
      <c r="B172" s="68"/>
      <c r="C172" s="68"/>
      <c r="D172" s="68"/>
      <c r="E172" s="68"/>
      <c r="F172" s="68"/>
      <c r="G172" s="67"/>
      <c r="H172" s="67"/>
      <c r="M172" s="98"/>
    </row>
    <row r="173" spans="1:13" x14ac:dyDescent="0.3">
      <c r="A173">
        <v>170</v>
      </c>
      <c r="B173" s="68"/>
      <c r="C173" s="68"/>
      <c r="D173" s="68"/>
      <c r="E173" s="68"/>
      <c r="F173" s="68"/>
      <c r="G173" s="67"/>
      <c r="H173" s="67"/>
      <c r="M173" s="98"/>
    </row>
    <row r="174" spans="1:13" x14ac:dyDescent="0.3">
      <c r="A174">
        <v>171</v>
      </c>
      <c r="B174" s="68"/>
      <c r="C174" s="68"/>
      <c r="D174" s="68"/>
      <c r="E174" s="68"/>
      <c r="F174" s="68"/>
      <c r="G174" s="67"/>
      <c r="H174" s="67"/>
      <c r="M174" s="98"/>
    </row>
    <row r="175" spans="1:13" x14ac:dyDescent="0.3">
      <c r="A175">
        <v>172</v>
      </c>
      <c r="B175" s="68"/>
      <c r="C175" s="68"/>
      <c r="D175" s="68"/>
      <c r="E175" s="68"/>
      <c r="F175" s="68"/>
      <c r="G175" s="67"/>
      <c r="H175" s="67"/>
      <c r="M175" s="98"/>
    </row>
    <row r="176" spans="1:13" x14ac:dyDescent="0.3">
      <c r="A176">
        <v>173</v>
      </c>
      <c r="B176" s="68"/>
      <c r="C176" s="68"/>
      <c r="D176" s="68"/>
      <c r="E176" s="68"/>
      <c r="F176" s="68"/>
      <c r="G176" s="67"/>
      <c r="H176" s="67"/>
      <c r="M176" s="98"/>
    </row>
    <row r="177" spans="1:13" x14ac:dyDescent="0.3">
      <c r="A177">
        <v>174</v>
      </c>
      <c r="B177" s="68"/>
      <c r="C177" s="68"/>
      <c r="D177" s="68"/>
      <c r="E177" s="68"/>
      <c r="F177" s="68"/>
      <c r="G177" s="67"/>
      <c r="H177" s="67"/>
      <c r="M177" s="98"/>
    </row>
    <row r="178" spans="1:13" x14ac:dyDescent="0.3">
      <c r="A178">
        <v>175</v>
      </c>
      <c r="B178" s="68"/>
      <c r="C178" s="68"/>
      <c r="D178" s="68"/>
      <c r="E178" s="68"/>
      <c r="F178" s="68"/>
      <c r="G178" s="67"/>
      <c r="H178" s="67"/>
      <c r="M178" s="98"/>
    </row>
    <row r="179" spans="1:13" x14ac:dyDescent="0.3">
      <c r="A179">
        <v>176</v>
      </c>
      <c r="B179" s="68"/>
      <c r="C179" s="68"/>
      <c r="D179" s="68"/>
      <c r="E179" s="68"/>
      <c r="F179" s="68"/>
      <c r="G179" s="67"/>
      <c r="H179" s="67"/>
      <c r="M179" s="98"/>
    </row>
    <row r="180" spans="1:13" x14ac:dyDescent="0.3">
      <c r="A180">
        <v>177</v>
      </c>
      <c r="B180" s="68"/>
      <c r="C180" s="68"/>
      <c r="D180" s="68"/>
      <c r="E180" s="68"/>
      <c r="F180" s="68"/>
      <c r="G180" s="67"/>
      <c r="H180" s="67"/>
      <c r="M180" s="98"/>
    </row>
    <row r="181" spans="1:13" x14ac:dyDescent="0.3">
      <c r="A181">
        <v>178</v>
      </c>
      <c r="B181" s="68"/>
      <c r="C181" s="68"/>
      <c r="D181" s="68"/>
      <c r="E181" s="68"/>
      <c r="F181" s="68"/>
      <c r="G181" s="67"/>
      <c r="H181" s="67"/>
      <c r="M181" s="98"/>
    </row>
    <row r="182" spans="1:13" x14ac:dyDescent="0.3">
      <c r="A182">
        <v>179</v>
      </c>
      <c r="B182" s="68"/>
      <c r="C182" s="68"/>
      <c r="D182" s="68"/>
      <c r="E182" s="68"/>
      <c r="F182" s="68"/>
      <c r="G182" s="67"/>
      <c r="H182" s="67"/>
      <c r="M182" s="98"/>
    </row>
    <row r="183" spans="1:13" x14ac:dyDescent="0.3">
      <c r="A183">
        <v>180</v>
      </c>
      <c r="B183" s="68"/>
      <c r="C183" s="68"/>
      <c r="D183" s="68"/>
      <c r="E183" s="68"/>
      <c r="F183" s="68"/>
      <c r="G183" s="67"/>
      <c r="H183" s="67"/>
      <c r="M183" s="98"/>
    </row>
    <row r="184" spans="1:13" x14ac:dyDescent="0.3">
      <c r="B184" s="68"/>
      <c r="C184" s="68"/>
      <c r="D184" s="68"/>
      <c r="E184" s="68"/>
      <c r="F184" s="68"/>
      <c r="G184" s="68"/>
      <c r="H184" s="68"/>
      <c r="M184" s="98"/>
    </row>
    <row r="185" spans="1:13" x14ac:dyDescent="0.3">
      <c r="B185" s="68"/>
      <c r="C185" s="68"/>
      <c r="D185" s="68"/>
      <c r="E185" s="68"/>
      <c r="F185" s="68"/>
      <c r="G185" s="68"/>
      <c r="H185" s="68"/>
      <c r="M185" s="98"/>
    </row>
    <row r="186" spans="1:13" x14ac:dyDescent="0.3">
      <c r="B186" s="68"/>
      <c r="C186" s="68"/>
      <c r="D186" s="68"/>
      <c r="E186" s="68"/>
      <c r="F186" s="68"/>
      <c r="G186" s="68"/>
      <c r="H186" s="68"/>
      <c r="M186" s="98"/>
    </row>
    <row r="187" spans="1:13" x14ac:dyDescent="0.3">
      <c r="B187" s="68"/>
      <c r="C187" s="68"/>
      <c r="D187" s="68"/>
      <c r="E187" s="68"/>
      <c r="F187" s="68"/>
      <c r="G187" s="68"/>
      <c r="H187" s="68"/>
      <c r="M187" s="98"/>
    </row>
    <row r="188" spans="1:13" x14ac:dyDescent="0.3">
      <c r="B188" s="68"/>
      <c r="C188" s="68"/>
      <c r="D188" s="68"/>
      <c r="E188" s="68"/>
      <c r="F188" s="68"/>
      <c r="G188" s="68"/>
      <c r="H188" s="68"/>
      <c r="M188" s="98"/>
    </row>
    <row r="189" spans="1:13" x14ac:dyDescent="0.3">
      <c r="B189" s="68"/>
      <c r="C189" s="68"/>
      <c r="D189" s="68"/>
      <c r="E189" s="68"/>
      <c r="F189" s="68"/>
      <c r="G189" s="68"/>
      <c r="H189" s="68"/>
      <c r="M189" s="98"/>
    </row>
    <row r="190" spans="1:13" x14ac:dyDescent="0.3">
      <c r="B190" s="68"/>
      <c r="C190" s="68"/>
      <c r="D190" s="68"/>
      <c r="E190" s="68"/>
      <c r="F190" s="68"/>
      <c r="G190" s="68"/>
      <c r="H190" s="68"/>
      <c r="M190" s="98"/>
    </row>
    <row r="191" spans="1:13" x14ac:dyDescent="0.3">
      <c r="B191" s="68"/>
      <c r="C191" s="68"/>
      <c r="D191" s="68"/>
      <c r="E191" s="68"/>
      <c r="F191" s="68"/>
      <c r="G191" s="68"/>
      <c r="H191" s="68"/>
    </row>
    <row r="192" spans="1:13" x14ac:dyDescent="0.3">
      <c r="B192" s="68"/>
      <c r="C192" s="68"/>
      <c r="D192" s="68"/>
      <c r="E192" s="68"/>
      <c r="F192" s="68"/>
      <c r="G192" s="68"/>
      <c r="H192" s="68"/>
    </row>
    <row r="193" spans="2:8" x14ac:dyDescent="0.3">
      <c r="B193" s="68"/>
      <c r="C193" s="68"/>
      <c r="D193" s="68"/>
      <c r="E193" s="68"/>
      <c r="F193" s="68"/>
      <c r="G193" s="68"/>
      <c r="H193" s="68"/>
    </row>
    <row r="194" spans="2:8" x14ac:dyDescent="0.3">
      <c r="B194" s="68"/>
      <c r="C194" s="68"/>
      <c r="D194" s="68"/>
      <c r="E194" s="68"/>
      <c r="F194" s="68"/>
      <c r="G194" s="68"/>
      <c r="H194" s="68"/>
    </row>
    <row r="195" spans="2:8" x14ac:dyDescent="0.3">
      <c r="B195" s="68"/>
      <c r="C195" s="68"/>
      <c r="D195" s="68"/>
      <c r="E195" s="68"/>
      <c r="F195" s="68"/>
      <c r="G195" s="68"/>
      <c r="H195" s="68"/>
    </row>
    <row r="196" spans="2:8" x14ac:dyDescent="0.3">
      <c r="B196" s="68"/>
      <c r="C196" s="68"/>
      <c r="D196" s="68"/>
      <c r="E196" s="68"/>
      <c r="F196" s="68"/>
      <c r="G196" s="68"/>
      <c r="H196" s="68"/>
    </row>
    <row r="197" spans="2:8" x14ac:dyDescent="0.3">
      <c r="B197" s="68"/>
      <c r="C197" s="68"/>
      <c r="D197" s="68"/>
      <c r="E197" s="68"/>
      <c r="F197" s="68"/>
      <c r="G197" s="68"/>
      <c r="H197" s="68"/>
    </row>
    <row r="198" spans="2:8" x14ac:dyDescent="0.3">
      <c r="B198" s="68"/>
      <c r="C198" s="68"/>
      <c r="D198" s="68"/>
      <c r="E198" s="68"/>
      <c r="F198" s="68"/>
      <c r="G198" s="68"/>
      <c r="H198" s="68"/>
    </row>
    <row r="199" spans="2:8" x14ac:dyDescent="0.3">
      <c r="B199" s="68"/>
      <c r="C199" s="68"/>
      <c r="D199" s="68"/>
      <c r="E199" s="68"/>
      <c r="F199" s="68"/>
      <c r="G199" s="68"/>
      <c r="H199" s="68"/>
    </row>
    <row r="200" spans="2:8" x14ac:dyDescent="0.3">
      <c r="B200" s="68"/>
      <c r="C200" s="68"/>
      <c r="D200" s="68"/>
      <c r="E200" s="68"/>
      <c r="F200" s="68"/>
      <c r="G200" s="68"/>
      <c r="H200" s="68"/>
    </row>
    <row r="201" spans="2:8" x14ac:dyDescent="0.3">
      <c r="B201" s="68"/>
      <c r="C201" s="68"/>
      <c r="D201" s="68"/>
      <c r="E201" s="68"/>
      <c r="F201" s="68"/>
      <c r="G201" s="68"/>
      <c r="H201" s="68"/>
    </row>
    <row r="202" spans="2:8" x14ac:dyDescent="0.3">
      <c r="B202" s="68"/>
      <c r="C202" s="68"/>
      <c r="D202" s="68"/>
      <c r="E202" s="68"/>
      <c r="F202" s="68"/>
      <c r="G202" s="68"/>
      <c r="H202" s="68"/>
    </row>
  </sheetData>
  <pageMargins left="0.7" right="0.7" top="0.75" bottom="0.75" header="0.3" footer="0.3"/>
  <drawing r:id="rId1"/>
</worksheet>
</file>

<file path=docMetadata/LabelInfo.xml><?xml version="1.0" encoding="utf-8"?>
<clbl:labelList xmlns:clbl="http://schemas.microsoft.com/office/2020/mipLabelMetadata">
  <clbl:label id="{6a2630e2-1ac5-455e-8217-0156b1936a76}" enabled="1" method="Standard" siteId="{a3927f91-cda1-4696-af89-8c9f1ceffa91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Growth &amp; yield data</vt:lpstr>
      <vt:lpstr>turnover balance</vt:lpstr>
      <vt:lpstr>Assortment distribution &amp; Price</vt:lpstr>
      <vt:lpstr>Establishment costs</vt:lpstr>
      <vt:lpstr>coppice</vt:lpstr>
      <vt:lpstr>cyclic beech</vt:lpstr>
    </vt:vector>
  </TitlesOfParts>
  <Company>SUND - KU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Jette Bredahl Jacobsen</dc:creator>
  <cp:lastModifiedBy>Om Mahesh Vaknalli</cp:lastModifiedBy>
  <dcterms:created xsi:type="dcterms:W3CDTF">2023-08-04T17:51:47Z</dcterms:created>
  <dcterms:modified xsi:type="dcterms:W3CDTF">2025-01-21T21:13:49Z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a2630e2-1ac5-455e-8217-0156b1936a76_Enabled">
    <vt:lpwstr>true</vt:lpwstr>
  </property>
  <property fmtid="{D5CDD505-2E9C-101B-9397-08002B2CF9AE}" pid="3" name="MSIP_Label_6a2630e2-1ac5-455e-8217-0156b1936a76_SetDate">
    <vt:lpwstr>2023-08-04T17:51:48Z</vt:lpwstr>
  </property>
  <property fmtid="{D5CDD505-2E9C-101B-9397-08002B2CF9AE}" pid="4" name="MSIP_Label_6a2630e2-1ac5-455e-8217-0156b1936a76_Method">
    <vt:lpwstr>Standard</vt:lpwstr>
  </property>
  <property fmtid="{D5CDD505-2E9C-101B-9397-08002B2CF9AE}" pid="5" name="MSIP_Label_6a2630e2-1ac5-455e-8217-0156b1936a76_Name">
    <vt:lpwstr>Notclass</vt:lpwstr>
  </property>
  <property fmtid="{D5CDD505-2E9C-101B-9397-08002B2CF9AE}" pid="6" name="MSIP_Label_6a2630e2-1ac5-455e-8217-0156b1936a76_SiteId">
    <vt:lpwstr>a3927f91-cda1-4696-af89-8c9f1ceffa91</vt:lpwstr>
  </property>
  <property fmtid="{D5CDD505-2E9C-101B-9397-08002B2CF9AE}" pid="7" name="MSIP_Label_6a2630e2-1ac5-455e-8217-0156b1936a76_ActionId">
    <vt:lpwstr>3f784621-e5de-41d0-a467-6f5559cf5bcc</vt:lpwstr>
  </property>
  <property fmtid="{D5CDD505-2E9C-101B-9397-08002B2CF9AE}" pid="8" name="MSIP_Label_6a2630e2-1ac5-455e-8217-0156b1936a76_ContentBits">
    <vt:lpwstr>0</vt:lpwstr>
  </property>
</Properties>
</file>