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M:\rec\amogh\FECM23\input\idm\"/>
    </mc:Choice>
  </mc:AlternateContent>
  <xr:revisionPtr revIDLastSave="0" documentId="13_ncr:1_{9928FE59-6890-46E9-A357-824A23294D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cogen" sheetId="1" r:id="rId1"/>
    <sheet name="Tables" sheetId="2" r:id="rId2"/>
  </sheets>
  <definedNames>
    <definedName name="acceptfrac">icogen!$B$216:$B$228</definedName>
    <definedName name="acceptfrac2">icogen!$C$216:$C$228</definedName>
    <definedName name="CapCostMult">icogen!$B$23:$I$23</definedName>
    <definedName name="CapCostMultEnd">icogen!$B$16</definedName>
    <definedName name="CapCostMultStar">icogen!$B$15</definedName>
    <definedName name="capcostyearly">icogen!$B$42:$I$89</definedName>
    <definedName name="capfac">icogen!$B$25:$I$25</definedName>
    <definedName name="DollarYear">icogen!$B$8</definedName>
    <definedName name="eleccap">icogen!$B$22:$I$22</definedName>
    <definedName name="heatrateyearly">icogen!$B$94:$I$141</definedName>
    <definedName name="MaxCap">icogen!#REF!</definedName>
    <definedName name="overalleffyear">icogen!$B$146:$I$193</definedName>
    <definedName name="penetration">icogen!$B$231:$I$231</definedName>
    <definedName name="_xlnm.Print_Area" localSheetId="0">icogen!#REF!</definedName>
    <definedName name="rapidcapcostyr">icogen!$M$42:$T$89</definedName>
    <definedName name="rapidheatrateyr">icogen!$M$94:$T$141</definedName>
    <definedName name="RapidOrAllEffYr">icogen!$M$146:$T$193</definedName>
    <definedName name="standbyfrac">icogen!$B$11</definedName>
    <definedName name="steamseg_chem">icogen!$B$251:$I$251</definedName>
    <definedName name="steamseg_food">icogen!$B$249:$I$249</definedName>
    <definedName name="steamseg_other">icogen!$B$253:$I$253</definedName>
    <definedName name="steamseg_paper">icogen!$B$250:$I$250</definedName>
    <definedName name="steamseg_refin">icogen!$B$254:$I$254</definedName>
    <definedName name="steamseg_steel">icogen!$B$252:$I$252</definedName>
    <definedName name="thermalcap">icogen!#REF!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B23" i="1"/>
  <c r="C193" i="1"/>
  <c r="D193" i="1"/>
  <c r="E193" i="1"/>
  <c r="F193" i="1"/>
  <c r="G193" i="1"/>
  <c r="H193" i="1"/>
  <c r="I193" i="1"/>
  <c r="B193" i="1"/>
  <c r="C183" i="1"/>
  <c r="C184" i="1" s="1"/>
  <c r="C185" i="1" s="1"/>
  <c r="D183" i="1"/>
  <c r="D184" i="1" s="1"/>
  <c r="D185" i="1" s="1"/>
  <c r="E183" i="1"/>
  <c r="E184" i="1" s="1"/>
  <c r="E185" i="1" s="1"/>
  <c r="F183" i="1"/>
  <c r="F184" i="1" s="1"/>
  <c r="F185" i="1" s="1"/>
  <c r="G183" i="1"/>
  <c r="G184" i="1" s="1"/>
  <c r="G185" i="1" s="1"/>
  <c r="H183" i="1"/>
  <c r="I183" i="1"/>
  <c r="I184" i="1" s="1"/>
  <c r="I185" i="1" s="1"/>
  <c r="B183" i="1"/>
  <c r="B184" i="1" s="1"/>
  <c r="B185" i="1" s="1"/>
  <c r="C173" i="1"/>
  <c r="C174" i="1" s="1"/>
  <c r="C175" i="1" s="1"/>
  <c r="C176" i="1" s="1"/>
  <c r="C177" i="1" s="1"/>
  <c r="C178" i="1" s="1"/>
  <c r="D173" i="1"/>
  <c r="D174" i="1" s="1"/>
  <c r="D175" i="1" s="1"/>
  <c r="D176" i="1" s="1"/>
  <c r="D177" i="1" s="1"/>
  <c r="D178" i="1" s="1"/>
  <c r="E173" i="1"/>
  <c r="E174" i="1" s="1"/>
  <c r="E175" i="1" s="1"/>
  <c r="E176" i="1" s="1"/>
  <c r="E177" i="1" s="1"/>
  <c r="E178" i="1" s="1"/>
  <c r="F173" i="1"/>
  <c r="F174" i="1" s="1"/>
  <c r="F175" i="1" s="1"/>
  <c r="F176" i="1" s="1"/>
  <c r="F177" i="1" s="1"/>
  <c r="F178" i="1" s="1"/>
  <c r="G173" i="1"/>
  <c r="G174" i="1" s="1"/>
  <c r="G175" i="1" s="1"/>
  <c r="G176" i="1" s="1"/>
  <c r="G177" i="1" s="1"/>
  <c r="G178" i="1" s="1"/>
  <c r="G179" i="1" s="1"/>
  <c r="G180" i="1" s="1"/>
  <c r="G181" i="1" s="1"/>
  <c r="G182" i="1" s="1"/>
  <c r="H173" i="1"/>
  <c r="H174" i="1" s="1"/>
  <c r="I173" i="1"/>
  <c r="I174" i="1" s="1"/>
  <c r="I175" i="1" s="1"/>
  <c r="I176" i="1" s="1"/>
  <c r="I177" i="1" s="1"/>
  <c r="I178" i="1" s="1"/>
  <c r="B173" i="1"/>
  <c r="C163" i="1"/>
  <c r="C164" i="1" s="1"/>
  <c r="D163" i="1"/>
  <c r="D164" i="1" s="1"/>
  <c r="E163" i="1"/>
  <c r="E164" i="1" s="1"/>
  <c r="E165" i="1" s="1"/>
  <c r="E166" i="1" s="1"/>
  <c r="E167" i="1" s="1"/>
  <c r="E168" i="1" s="1"/>
  <c r="F163" i="1"/>
  <c r="F164" i="1" s="1"/>
  <c r="F165" i="1" s="1"/>
  <c r="F166" i="1" s="1"/>
  <c r="F167" i="1" s="1"/>
  <c r="F168" i="1" s="1"/>
  <c r="G163" i="1"/>
  <c r="H163" i="1"/>
  <c r="H164" i="1" s="1"/>
  <c r="H165" i="1" s="1"/>
  <c r="I163" i="1"/>
  <c r="I164" i="1" s="1"/>
  <c r="I165" i="1" s="1"/>
  <c r="B163" i="1"/>
  <c r="B164" i="1" s="1"/>
  <c r="B165" i="1" s="1"/>
  <c r="B166" i="1" s="1"/>
  <c r="B167" i="1" s="1"/>
  <c r="B168" i="1" s="1"/>
  <c r="C161" i="1"/>
  <c r="C162" i="1" s="1"/>
  <c r="D161" i="1"/>
  <c r="D162" i="1" s="1"/>
  <c r="E161" i="1"/>
  <c r="E162" i="1" s="1"/>
  <c r="F161" i="1"/>
  <c r="F162" i="1" s="1"/>
  <c r="G161" i="1"/>
  <c r="G162" i="1" s="1"/>
  <c r="H161" i="1"/>
  <c r="H162" i="1" s="1"/>
  <c r="I161" i="1"/>
  <c r="I162" i="1" s="1"/>
  <c r="B161" i="1"/>
  <c r="B162" i="1" s="1"/>
  <c r="C141" i="1"/>
  <c r="D141" i="1"/>
  <c r="E141" i="1"/>
  <c r="F141" i="1"/>
  <c r="G141" i="1"/>
  <c r="H141" i="1"/>
  <c r="I141" i="1"/>
  <c r="B141" i="1"/>
  <c r="C131" i="1"/>
  <c r="C132" i="1" s="1"/>
  <c r="C133" i="1" s="1"/>
  <c r="D131" i="1"/>
  <c r="D132" i="1" s="1"/>
  <c r="D133" i="1" s="1"/>
  <c r="D134" i="1" s="1"/>
  <c r="E131" i="1"/>
  <c r="E132" i="1" s="1"/>
  <c r="E133" i="1" s="1"/>
  <c r="F131" i="1"/>
  <c r="F132" i="1" s="1"/>
  <c r="F133" i="1" s="1"/>
  <c r="F134" i="1" s="1"/>
  <c r="F135" i="1" s="1"/>
  <c r="F136" i="1" s="1"/>
  <c r="G131" i="1"/>
  <c r="G132" i="1" s="1"/>
  <c r="G133" i="1" s="1"/>
  <c r="H131" i="1"/>
  <c r="H132" i="1" s="1"/>
  <c r="H133" i="1" s="1"/>
  <c r="H134" i="1" s="1"/>
  <c r="I131" i="1"/>
  <c r="I132" i="1" s="1"/>
  <c r="I133" i="1" s="1"/>
  <c r="I134" i="1" s="1"/>
  <c r="B131" i="1"/>
  <c r="B132" i="1" s="1"/>
  <c r="B133" i="1" s="1"/>
  <c r="B134" i="1" s="1"/>
  <c r="C121" i="1"/>
  <c r="D121" i="1"/>
  <c r="D122" i="1" s="1"/>
  <c r="E121" i="1"/>
  <c r="F121" i="1"/>
  <c r="F122" i="1" s="1"/>
  <c r="G121" i="1"/>
  <c r="H121" i="1"/>
  <c r="I121" i="1"/>
  <c r="B121" i="1"/>
  <c r="B122" i="1" s="1"/>
  <c r="C109" i="1"/>
  <c r="D109" i="1"/>
  <c r="E109" i="1"/>
  <c r="F109" i="1"/>
  <c r="G109" i="1"/>
  <c r="H109" i="1"/>
  <c r="I109" i="1"/>
  <c r="B109" i="1"/>
  <c r="C111" i="1"/>
  <c r="D111" i="1"/>
  <c r="D112" i="1" s="1"/>
  <c r="D113" i="1" s="1"/>
  <c r="D114" i="1" s="1"/>
  <c r="E111" i="1"/>
  <c r="E112" i="1" s="1"/>
  <c r="E113" i="1" s="1"/>
  <c r="E114" i="1" s="1"/>
  <c r="E115" i="1" s="1"/>
  <c r="E116" i="1" s="1"/>
  <c r="E117" i="1" s="1"/>
  <c r="E118" i="1" s="1"/>
  <c r="F111" i="1"/>
  <c r="F110" i="1" s="1"/>
  <c r="G111" i="1"/>
  <c r="G112" i="1" s="1"/>
  <c r="G113" i="1" s="1"/>
  <c r="H111" i="1"/>
  <c r="H112" i="1" s="1"/>
  <c r="H113" i="1" s="1"/>
  <c r="I111" i="1"/>
  <c r="I112" i="1" s="1"/>
  <c r="I113" i="1" s="1"/>
  <c r="B111" i="1"/>
  <c r="C89" i="1"/>
  <c r="D89" i="1"/>
  <c r="E89" i="1"/>
  <c r="F89" i="1"/>
  <c r="G89" i="1"/>
  <c r="H89" i="1"/>
  <c r="I89" i="1"/>
  <c r="B89" i="1"/>
  <c r="C79" i="1"/>
  <c r="D79" i="1"/>
  <c r="D80" i="1" s="1"/>
  <c r="D81" i="1" s="1"/>
  <c r="D82" i="1" s="1"/>
  <c r="D83" i="1" s="1"/>
  <c r="D84" i="1" s="1"/>
  <c r="E79" i="1"/>
  <c r="F79" i="1"/>
  <c r="F80" i="1" s="1"/>
  <c r="F81" i="1" s="1"/>
  <c r="G79" i="1"/>
  <c r="G80" i="1" s="1"/>
  <c r="G81" i="1" s="1"/>
  <c r="G82" i="1" s="1"/>
  <c r="G83" i="1" s="1"/>
  <c r="G84" i="1" s="1"/>
  <c r="G85" i="1" s="1"/>
  <c r="G86" i="1" s="1"/>
  <c r="G87" i="1" s="1"/>
  <c r="G88" i="1" s="1"/>
  <c r="H79" i="1"/>
  <c r="I79" i="1"/>
  <c r="I80" i="1" s="1"/>
  <c r="I81" i="1" s="1"/>
  <c r="B79" i="1"/>
  <c r="B80" i="1" s="1"/>
  <c r="C69" i="1"/>
  <c r="C70" i="1" s="1"/>
  <c r="D69" i="1"/>
  <c r="D70" i="1" s="1"/>
  <c r="E69" i="1"/>
  <c r="E70" i="1" s="1"/>
  <c r="F69" i="1"/>
  <c r="F70" i="1" s="1"/>
  <c r="F71" i="1" s="1"/>
  <c r="G69" i="1"/>
  <c r="G70" i="1" s="1"/>
  <c r="H69" i="1"/>
  <c r="H70" i="1" s="1"/>
  <c r="I69" i="1"/>
  <c r="I70" i="1" s="1"/>
  <c r="B69" i="1"/>
  <c r="B70" i="1" s="1"/>
  <c r="B71" i="1" s="1"/>
  <c r="G164" i="1" l="1"/>
  <c r="H184" i="1"/>
  <c r="H185" i="1" s="1"/>
  <c r="H80" i="1"/>
  <c r="H81" i="1" s="1"/>
  <c r="H82" i="1" s="1"/>
  <c r="H83" i="1" s="1"/>
  <c r="H84" i="1" s="1"/>
  <c r="H85" i="1" s="1"/>
  <c r="H86" i="1" s="1"/>
  <c r="H87" i="1" s="1"/>
  <c r="H88" i="1" s="1"/>
  <c r="E110" i="1"/>
  <c r="I110" i="1"/>
  <c r="H110" i="1"/>
  <c r="B174" i="1"/>
  <c r="B175" i="1" s="1"/>
  <c r="B176" i="1" s="1"/>
  <c r="B177" i="1" s="1"/>
  <c r="B178" i="1" s="1"/>
  <c r="B179" i="1" s="1"/>
  <c r="B180" i="1" s="1"/>
  <c r="B181" i="1" s="1"/>
  <c r="B182" i="1" s="1"/>
  <c r="C110" i="1"/>
  <c r="B110" i="1"/>
  <c r="D186" i="1"/>
  <c r="D187" i="1" s="1"/>
  <c r="D188" i="1" s="1"/>
  <c r="D189" i="1" s="1"/>
  <c r="B169" i="1"/>
  <c r="B170" i="1" s="1"/>
  <c r="B171" i="1" s="1"/>
  <c r="B172" i="1" s="1"/>
  <c r="I179" i="1"/>
  <c r="I180" i="1" s="1"/>
  <c r="I181" i="1" s="1"/>
  <c r="I182" i="1" s="1"/>
  <c r="I186" i="1"/>
  <c r="I187" i="1" s="1"/>
  <c r="I188" i="1" s="1"/>
  <c r="I189" i="1" s="1"/>
  <c r="I166" i="1"/>
  <c r="I167" i="1" s="1"/>
  <c r="I168" i="1" s="1"/>
  <c r="D165" i="1"/>
  <c r="D166" i="1" s="1"/>
  <c r="D167" i="1" s="1"/>
  <c r="D168" i="1" s="1"/>
  <c r="C186" i="1"/>
  <c r="C187" i="1" s="1"/>
  <c r="C188" i="1" s="1"/>
  <c r="C189" i="1" s="1"/>
  <c r="H166" i="1"/>
  <c r="H167" i="1" s="1"/>
  <c r="H168" i="1" s="1"/>
  <c r="H175" i="1"/>
  <c r="H176" i="1" s="1"/>
  <c r="H177" i="1" s="1"/>
  <c r="H178" i="1" s="1"/>
  <c r="H186" i="1"/>
  <c r="H187" i="1" s="1"/>
  <c r="H188" i="1" s="1"/>
  <c r="H189" i="1" s="1"/>
  <c r="F169" i="1"/>
  <c r="F170" i="1" s="1"/>
  <c r="F171" i="1" s="1"/>
  <c r="F172" i="1" s="1"/>
  <c r="D179" i="1"/>
  <c r="D180" i="1" s="1"/>
  <c r="D181" i="1" s="1"/>
  <c r="D182" i="1" s="1"/>
  <c r="C179" i="1"/>
  <c r="C180" i="1" s="1"/>
  <c r="C181" i="1" s="1"/>
  <c r="C182" i="1" s="1"/>
  <c r="E134" i="1"/>
  <c r="E135" i="1" s="1"/>
  <c r="E136" i="1" s="1"/>
  <c r="E137" i="1" s="1"/>
  <c r="G165" i="1"/>
  <c r="G166" i="1" s="1"/>
  <c r="G167" i="1" s="1"/>
  <c r="G168" i="1" s="1"/>
  <c r="G186" i="1"/>
  <c r="G187" i="1" s="1"/>
  <c r="G188" i="1" s="1"/>
  <c r="G189" i="1" s="1"/>
  <c r="C165" i="1"/>
  <c r="C166" i="1" s="1"/>
  <c r="C167" i="1" s="1"/>
  <c r="C168" i="1" s="1"/>
  <c r="H114" i="1"/>
  <c r="H115" i="1" s="1"/>
  <c r="H116" i="1" s="1"/>
  <c r="H117" i="1" s="1"/>
  <c r="H118" i="1" s="1"/>
  <c r="E169" i="1"/>
  <c r="E170" i="1" s="1"/>
  <c r="E171" i="1" s="1"/>
  <c r="E172" i="1" s="1"/>
  <c r="F179" i="1"/>
  <c r="F180" i="1" s="1"/>
  <c r="F181" i="1" s="1"/>
  <c r="F182" i="1" s="1"/>
  <c r="B186" i="1"/>
  <c r="B187" i="1" s="1"/>
  <c r="B188" i="1" s="1"/>
  <c r="B189" i="1" s="1"/>
  <c r="E179" i="1"/>
  <c r="E180" i="1" s="1"/>
  <c r="E181" i="1" s="1"/>
  <c r="E182" i="1" s="1"/>
  <c r="E186" i="1"/>
  <c r="E187" i="1" s="1"/>
  <c r="E188" i="1" s="1"/>
  <c r="E189" i="1" s="1"/>
  <c r="B72" i="1"/>
  <c r="B73" i="1" s="1"/>
  <c r="B123" i="1"/>
  <c r="B124" i="1" s="1"/>
  <c r="B125" i="1" s="1"/>
  <c r="B126" i="1" s="1"/>
  <c r="B127" i="1" s="1"/>
  <c r="B128" i="1" s="1"/>
  <c r="B129" i="1" s="1"/>
  <c r="B130" i="1" s="1"/>
  <c r="C122" i="1"/>
  <c r="C123" i="1" s="1"/>
  <c r="C124" i="1" s="1"/>
  <c r="C125" i="1" s="1"/>
  <c r="C126" i="1" s="1"/>
  <c r="C127" i="1" s="1"/>
  <c r="C128" i="1" s="1"/>
  <c r="C129" i="1" s="1"/>
  <c r="C130" i="1" s="1"/>
  <c r="E119" i="1"/>
  <c r="E120" i="1" s="1"/>
  <c r="C71" i="1"/>
  <c r="C72" i="1" s="1"/>
  <c r="C73" i="1" s="1"/>
  <c r="C74" i="1" s="1"/>
  <c r="C75" i="1" s="1"/>
  <c r="C76" i="1" s="1"/>
  <c r="C77" i="1" s="1"/>
  <c r="C78" i="1" s="1"/>
  <c r="C134" i="1"/>
  <c r="C135" i="1" s="1"/>
  <c r="C136" i="1" s="1"/>
  <c r="C137" i="1" s="1"/>
  <c r="C138" i="1" s="1"/>
  <c r="C139" i="1" s="1"/>
  <c r="C140" i="1" s="1"/>
  <c r="D71" i="1"/>
  <c r="D72" i="1" s="1"/>
  <c r="D73" i="1" s="1"/>
  <c r="I82" i="1"/>
  <c r="I83" i="1" s="1"/>
  <c r="I84" i="1" s="1"/>
  <c r="E122" i="1"/>
  <c r="E123" i="1" s="1"/>
  <c r="E124" i="1" s="1"/>
  <c r="E125" i="1" s="1"/>
  <c r="E126" i="1" s="1"/>
  <c r="E127" i="1" s="1"/>
  <c r="E128" i="1" s="1"/>
  <c r="E129" i="1" s="1"/>
  <c r="E130" i="1" s="1"/>
  <c r="E71" i="1"/>
  <c r="E72" i="1" s="1"/>
  <c r="E73" i="1" s="1"/>
  <c r="G114" i="1"/>
  <c r="G115" i="1" s="1"/>
  <c r="G116" i="1" s="1"/>
  <c r="G117" i="1" s="1"/>
  <c r="G118" i="1" s="1"/>
  <c r="D85" i="1"/>
  <c r="D86" i="1" s="1"/>
  <c r="D87" i="1" s="1"/>
  <c r="D88" i="1" s="1"/>
  <c r="G110" i="1"/>
  <c r="F72" i="1"/>
  <c r="F73" i="1" s="1"/>
  <c r="F74" i="1" s="1"/>
  <c r="F75" i="1" s="1"/>
  <c r="F76" i="1" s="1"/>
  <c r="F77" i="1" s="1"/>
  <c r="F78" i="1" s="1"/>
  <c r="F82" i="1"/>
  <c r="F83" i="1" s="1"/>
  <c r="F84" i="1" s="1"/>
  <c r="F123" i="1"/>
  <c r="F124" i="1" s="1"/>
  <c r="F125" i="1" s="1"/>
  <c r="F126" i="1" s="1"/>
  <c r="G134" i="1"/>
  <c r="G135" i="1" s="1"/>
  <c r="G136" i="1" s="1"/>
  <c r="G137" i="1" s="1"/>
  <c r="G122" i="1"/>
  <c r="G123" i="1" s="1"/>
  <c r="G124" i="1" s="1"/>
  <c r="G125" i="1" s="1"/>
  <c r="G126" i="1" s="1"/>
  <c r="G127" i="1" s="1"/>
  <c r="G128" i="1" s="1"/>
  <c r="G129" i="1" s="1"/>
  <c r="G130" i="1" s="1"/>
  <c r="G71" i="1"/>
  <c r="G72" i="1" s="1"/>
  <c r="G73" i="1" s="1"/>
  <c r="G74" i="1" s="1"/>
  <c r="G75" i="1" s="1"/>
  <c r="G76" i="1" s="1"/>
  <c r="G77" i="1" s="1"/>
  <c r="G78" i="1" s="1"/>
  <c r="F186" i="1"/>
  <c r="F187" i="1" s="1"/>
  <c r="F188" i="1" s="1"/>
  <c r="F189" i="1" s="1"/>
  <c r="H122" i="1"/>
  <c r="H123" i="1" s="1"/>
  <c r="H124" i="1" s="1"/>
  <c r="H125" i="1" s="1"/>
  <c r="H126" i="1" s="1"/>
  <c r="H127" i="1" s="1"/>
  <c r="H128" i="1" s="1"/>
  <c r="H129" i="1" s="1"/>
  <c r="H130" i="1" s="1"/>
  <c r="I114" i="1"/>
  <c r="I115" i="1" s="1"/>
  <c r="I116" i="1" s="1"/>
  <c r="I117" i="1" s="1"/>
  <c r="I118" i="1" s="1"/>
  <c r="I119" i="1" s="1"/>
  <c r="I120" i="1" s="1"/>
  <c r="H71" i="1"/>
  <c r="H72" i="1" s="1"/>
  <c r="H73" i="1" s="1"/>
  <c r="H74" i="1" s="1"/>
  <c r="B135" i="1"/>
  <c r="B136" i="1" s="1"/>
  <c r="B137" i="1" s="1"/>
  <c r="D115" i="1"/>
  <c r="D116" i="1" s="1"/>
  <c r="D117" i="1" s="1"/>
  <c r="D118" i="1" s="1"/>
  <c r="D123" i="1"/>
  <c r="D124" i="1" s="1"/>
  <c r="D125" i="1" s="1"/>
  <c r="D126" i="1" s="1"/>
  <c r="D127" i="1" s="1"/>
  <c r="D128" i="1" s="1"/>
  <c r="D129" i="1" s="1"/>
  <c r="D130" i="1" s="1"/>
  <c r="D135" i="1"/>
  <c r="D136" i="1" s="1"/>
  <c r="D137" i="1" s="1"/>
  <c r="I122" i="1"/>
  <c r="I123" i="1" s="1"/>
  <c r="I124" i="1" s="1"/>
  <c r="I125" i="1" s="1"/>
  <c r="I126" i="1" s="1"/>
  <c r="I127" i="1" s="1"/>
  <c r="I128" i="1" s="1"/>
  <c r="I71" i="1"/>
  <c r="I72" i="1" s="1"/>
  <c r="I73" i="1" s="1"/>
  <c r="I74" i="1" s="1"/>
  <c r="B81" i="1"/>
  <c r="B82" i="1" s="1"/>
  <c r="B83" i="1" s="1"/>
  <c r="B84" i="1" s="1"/>
  <c r="H135" i="1"/>
  <c r="H136" i="1" s="1"/>
  <c r="H137" i="1" s="1"/>
  <c r="F137" i="1"/>
  <c r="F127" i="1"/>
  <c r="F128" i="1" s="1"/>
  <c r="F129" i="1" s="1"/>
  <c r="F130" i="1" s="1"/>
  <c r="C80" i="1"/>
  <c r="B112" i="1"/>
  <c r="B113" i="1" s="1"/>
  <c r="F112" i="1"/>
  <c r="F113" i="1" s="1"/>
  <c r="F114" i="1" s="1"/>
  <c r="I135" i="1"/>
  <c r="I136" i="1" s="1"/>
  <c r="I137" i="1" s="1"/>
  <c r="C112" i="1"/>
  <c r="C113" i="1" s="1"/>
  <c r="D110" i="1"/>
  <c r="E80" i="1"/>
  <c r="E81" i="1" s="1"/>
  <c r="E82" i="1" s="1"/>
  <c r="E83" i="1" s="1"/>
  <c r="E84" i="1" s="1"/>
  <c r="B85" i="1" l="1"/>
  <c r="B86" i="1" s="1"/>
  <c r="B87" i="1" s="1"/>
  <c r="B88" i="1" s="1"/>
  <c r="G190" i="1"/>
  <c r="G191" i="1" s="1"/>
  <c r="G192" i="1" s="1"/>
  <c r="H169" i="1"/>
  <c r="H170" i="1" s="1"/>
  <c r="H171" i="1" s="1"/>
  <c r="H172" i="1" s="1"/>
  <c r="D190" i="1"/>
  <c r="D191" i="1" s="1"/>
  <c r="D192" i="1" s="1"/>
  <c r="F190" i="1"/>
  <c r="F191" i="1" s="1"/>
  <c r="F192" i="1" s="1"/>
  <c r="E190" i="1"/>
  <c r="E191" i="1" s="1"/>
  <c r="E192" i="1" s="1"/>
  <c r="G169" i="1"/>
  <c r="G170" i="1" s="1"/>
  <c r="G171" i="1" s="1"/>
  <c r="G172" i="1" s="1"/>
  <c r="C190" i="1"/>
  <c r="C191" i="1" s="1"/>
  <c r="C192" i="1" s="1"/>
  <c r="G119" i="1"/>
  <c r="G120" i="1" s="1"/>
  <c r="I169" i="1"/>
  <c r="I170" i="1" s="1"/>
  <c r="I171" i="1" s="1"/>
  <c r="I172" i="1" s="1"/>
  <c r="G138" i="1"/>
  <c r="G139" i="1" s="1"/>
  <c r="G140" i="1" s="1"/>
  <c r="I190" i="1"/>
  <c r="I191" i="1" s="1"/>
  <c r="I192" i="1" s="1"/>
  <c r="H179" i="1"/>
  <c r="H180" i="1" s="1"/>
  <c r="H181" i="1" s="1"/>
  <c r="H182" i="1" s="1"/>
  <c r="D169" i="1"/>
  <c r="D170" i="1" s="1"/>
  <c r="D171" i="1" s="1"/>
  <c r="D172" i="1" s="1"/>
  <c r="E74" i="1"/>
  <c r="E75" i="1" s="1"/>
  <c r="E76" i="1" s="1"/>
  <c r="E77" i="1" s="1"/>
  <c r="E78" i="1" s="1"/>
  <c r="C169" i="1"/>
  <c r="C170" i="1" s="1"/>
  <c r="C171" i="1" s="1"/>
  <c r="C172" i="1" s="1"/>
  <c r="I75" i="1"/>
  <c r="I76" i="1" s="1"/>
  <c r="I77" i="1" s="1"/>
  <c r="I78" i="1" s="1"/>
  <c r="E138" i="1"/>
  <c r="E139" i="1" s="1"/>
  <c r="E140" i="1" s="1"/>
  <c r="B190" i="1"/>
  <c r="B191" i="1" s="1"/>
  <c r="B192" i="1" s="1"/>
  <c r="H75" i="1"/>
  <c r="H76" i="1" s="1"/>
  <c r="H77" i="1" s="1"/>
  <c r="H78" i="1" s="1"/>
  <c r="H119" i="1"/>
  <c r="H120" i="1" s="1"/>
  <c r="H190" i="1"/>
  <c r="H191" i="1" s="1"/>
  <c r="H192" i="1" s="1"/>
  <c r="H138" i="1"/>
  <c r="H139" i="1" s="1"/>
  <c r="H140" i="1" s="1"/>
  <c r="C81" i="1"/>
  <c r="C82" i="1" s="1"/>
  <c r="C83" i="1" s="1"/>
  <c r="C84" i="1" s="1"/>
  <c r="C85" i="1" s="1"/>
  <c r="C86" i="1" s="1"/>
  <c r="C87" i="1" s="1"/>
  <c r="C88" i="1" s="1"/>
  <c r="I138" i="1"/>
  <c r="I139" i="1" s="1"/>
  <c r="I140" i="1" s="1"/>
  <c r="B114" i="1"/>
  <c r="B115" i="1" s="1"/>
  <c r="B116" i="1" s="1"/>
  <c r="B117" i="1" s="1"/>
  <c r="B118" i="1" s="1"/>
  <c r="D138" i="1"/>
  <c r="D139" i="1" s="1"/>
  <c r="D140" i="1" s="1"/>
  <c r="B138" i="1"/>
  <c r="B139" i="1" s="1"/>
  <c r="B140" i="1" s="1"/>
  <c r="D74" i="1"/>
  <c r="D75" i="1" s="1"/>
  <c r="D76" i="1" s="1"/>
  <c r="D77" i="1" s="1"/>
  <c r="D78" i="1" s="1"/>
  <c r="E85" i="1"/>
  <c r="E86" i="1" s="1"/>
  <c r="E87" i="1" s="1"/>
  <c r="E88" i="1" s="1"/>
  <c r="F138" i="1"/>
  <c r="F139" i="1" s="1"/>
  <c r="F140" i="1" s="1"/>
  <c r="I85" i="1"/>
  <c r="I86" i="1" s="1"/>
  <c r="I87" i="1" s="1"/>
  <c r="I88" i="1" s="1"/>
  <c r="B74" i="1"/>
  <c r="B75" i="1" s="1"/>
  <c r="B76" i="1" s="1"/>
  <c r="B77" i="1" s="1"/>
  <c r="B78" i="1" s="1"/>
  <c r="D119" i="1"/>
  <c r="D120" i="1" s="1"/>
  <c r="C114" i="1"/>
  <c r="C115" i="1" s="1"/>
  <c r="C116" i="1" s="1"/>
  <c r="C117" i="1" s="1"/>
  <c r="C118" i="1" s="1"/>
  <c r="C119" i="1" s="1"/>
  <c r="C120" i="1" s="1"/>
  <c r="F85" i="1"/>
  <c r="F86" i="1" s="1"/>
  <c r="F87" i="1" s="1"/>
  <c r="F88" i="1" s="1"/>
  <c r="I129" i="1"/>
  <c r="I130" i="1" s="1"/>
  <c r="F115" i="1"/>
  <c r="F116" i="1" s="1"/>
  <c r="F117" i="1" s="1"/>
  <c r="F118" i="1" s="1"/>
  <c r="B119" i="1" l="1"/>
  <c r="B120" i="1" s="1"/>
  <c r="F119" i="1"/>
  <c r="F120" i="1" s="1"/>
  <c r="C57" i="1"/>
  <c r="D57" i="1"/>
  <c r="E57" i="1"/>
  <c r="F57" i="1"/>
  <c r="G57" i="1"/>
  <c r="H57" i="1"/>
  <c r="I57" i="1"/>
  <c r="B57" i="1"/>
  <c r="C59" i="1"/>
  <c r="C60" i="1" s="1"/>
  <c r="D59" i="1"/>
  <c r="D60" i="1" s="1"/>
  <c r="D61" i="1" s="1"/>
  <c r="D62" i="1" s="1"/>
  <c r="D63" i="1" s="1"/>
  <c r="D64" i="1" s="1"/>
  <c r="D65" i="1" s="1"/>
  <c r="E59" i="1"/>
  <c r="E60" i="1" s="1"/>
  <c r="E61" i="1" s="1"/>
  <c r="E62" i="1" s="1"/>
  <c r="E63" i="1" s="1"/>
  <c r="E64" i="1" s="1"/>
  <c r="E65" i="1" s="1"/>
  <c r="F59" i="1"/>
  <c r="F60" i="1" s="1"/>
  <c r="G59" i="1"/>
  <c r="G60" i="1" s="1"/>
  <c r="H59" i="1"/>
  <c r="H60" i="1" s="1"/>
  <c r="I59" i="1"/>
  <c r="I60" i="1" s="1"/>
  <c r="B59" i="1"/>
  <c r="B60" i="1" s="1"/>
  <c r="C29" i="1"/>
  <c r="D29" i="1"/>
  <c r="E29" i="1"/>
  <c r="F29" i="1"/>
  <c r="G29" i="1"/>
  <c r="H29" i="1"/>
  <c r="I29" i="1"/>
  <c r="B29" i="1"/>
  <c r="B158" i="1" s="1"/>
  <c r="B159" i="1" s="1"/>
  <c r="B160" i="1" s="1"/>
  <c r="C26" i="1"/>
  <c r="D26" i="1"/>
  <c r="E26" i="1"/>
  <c r="F26" i="1"/>
  <c r="G26" i="1"/>
  <c r="H26" i="1"/>
  <c r="I26" i="1"/>
  <c r="B26" i="1"/>
  <c r="B28" i="1" s="1"/>
  <c r="B106" i="1" s="1"/>
  <c r="B107" i="1" s="1"/>
  <c r="B108" i="1" s="1"/>
  <c r="C25" i="1"/>
  <c r="D25" i="1"/>
  <c r="E25" i="1"/>
  <c r="F25" i="1"/>
  <c r="G25" i="1"/>
  <c r="H25" i="1"/>
  <c r="I25" i="1"/>
  <c r="B25" i="1"/>
  <c r="C24" i="1"/>
  <c r="C54" i="1" s="1"/>
  <c r="C55" i="1" s="1"/>
  <c r="C56" i="1" s="1"/>
  <c r="D24" i="1"/>
  <c r="D54" i="1" s="1"/>
  <c r="D55" i="1" s="1"/>
  <c r="D56" i="1" s="1"/>
  <c r="E24" i="1"/>
  <c r="E54" i="1" s="1"/>
  <c r="E55" i="1" s="1"/>
  <c r="E56" i="1" s="1"/>
  <c r="F24" i="1"/>
  <c r="F54" i="1" s="1"/>
  <c r="F55" i="1" s="1"/>
  <c r="F56" i="1" s="1"/>
  <c r="G24" i="1"/>
  <c r="G54" i="1" s="1"/>
  <c r="G55" i="1" s="1"/>
  <c r="G56" i="1" s="1"/>
  <c r="H24" i="1"/>
  <c r="H54" i="1" s="1"/>
  <c r="H55" i="1" s="1"/>
  <c r="H56" i="1" s="1"/>
  <c r="I24" i="1"/>
  <c r="I54" i="1" s="1"/>
  <c r="I55" i="1" s="1"/>
  <c r="I56" i="1" s="1"/>
  <c r="B24" i="1"/>
  <c r="B54" i="1" s="1"/>
  <c r="B55" i="1" s="1"/>
  <c r="B56" i="1" s="1"/>
  <c r="C22" i="1"/>
  <c r="D22" i="1"/>
  <c r="E22" i="1"/>
  <c r="F22" i="1"/>
  <c r="G22" i="1"/>
  <c r="H22" i="1"/>
  <c r="I22" i="1"/>
  <c r="B22" i="1"/>
  <c r="G61" i="1" l="1"/>
  <c r="G62" i="1" s="1"/>
  <c r="G63" i="1" s="1"/>
  <c r="G64" i="1" s="1"/>
  <c r="G65" i="1" s="1"/>
  <c r="E66" i="1"/>
  <c r="E67" i="1" s="1"/>
  <c r="E68" i="1" s="1"/>
  <c r="D66" i="1"/>
  <c r="D67" i="1" s="1"/>
  <c r="D68" i="1" s="1"/>
  <c r="D58" i="1"/>
  <c r="F58" i="1"/>
  <c r="C61" i="1"/>
  <c r="C62" i="1" s="1"/>
  <c r="C63" i="1" s="1"/>
  <c r="C64" i="1" s="1"/>
  <c r="C65" i="1" s="1"/>
  <c r="B61" i="1"/>
  <c r="B62" i="1" s="1"/>
  <c r="B63" i="1" s="1"/>
  <c r="B64" i="1" s="1"/>
  <c r="B65" i="1" s="1"/>
  <c r="B58" i="1"/>
  <c r="I61" i="1"/>
  <c r="I62" i="1" s="1"/>
  <c r="I63" i="1" s="1"/>
  <c r="I64" i="1" s="1"/>
  <c r="I65" i="1" s="1"/>
  <c r="I58" i="1"/>
  <c r="F61" i="1"/>
  <c r="F62" i="1" s="1"/>
  <c r="F63" i="1" s="1"/>
  <c r="F64" i="1" s="1"/>
  <c r="F65" i="1" s="1"/>
  <c r="H61" i="1"/>
  <c r="H62" i="1" s="1"/>
  <c r="H63" i="1" s="1"/>
  <c r="H64" i="1" s="1"/>
  <c r="H65" i="1" s="1"/>
  <c r="E58" i="1"/>
  <c r="C58" i="1"/>
  <c r="H58" i="1"/>
  <c r="G58" i="1"/>
  <c r="C66" i="1" l="1"/>
  <c r="C67" i="1" s="1"/>
  <c r="C68" i="1" s="1"/>
  <c r="H66" i="1"/>
  <c r="H67" i="1" s="1"/>
  <c r="H68" i="1" s="1"/>
  <c r="B66" i="1"/>
  <c r="B67" i="1" s="1"/>
  <c r="B68" i="1" s="1"/>
  <c r="F66" i="1"/>
  <c r="F67" i="1" s="1"/>
  <c r="F68" i="1" s="1"/>
  <c r="I66" i="1"/>
  <c r="I67" i="1" s="1"/>
  <c r="I68" i="1" s="1"/>
  <c r="G66" i="1"/>
  <c r="G67" i="1" s="1"/>
  <c r="G68" i="1" s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C216" i="1"/>
  <c r="B216" i="1"/>
  <c r="C158" i="1" l="1"/>
  <c r="C159" i="1" s="1"/>
  <c r="C160" i="1" s="1"/>
  <c r="D158" i="1"/>
  <c r="D159" i="1" s="1"/>
  <c r="D160" i="1" s="1"/>
  <c r="E158" i="1"/>
  <c r="E159" i="1" s="1"/>
  <c r="E160" i="1" s="1"/>
  <c r="F158" i="1"/>
  <c r="F159" i="1" s="1"/>
  <c r="F160" i="1" s="1"/>
  <c r="G158" i="1"/>
  <c r="G159" i="1" s="1"/>
  <c r="G160" i="1" s="1"/>
  <c r="H158" i="1"/>
  <c r="H159" i="1" s="1"/>
  <c r="H160" i="1" s="1"/>
  <c r="I158" i="1"/>
  <c r="I159" i="1" s="1"/>
  <c r="I160" i="1" s="1"/>
  <c r="A254" i="1" l="1"/>
  <c r="A253" i="1"/>
  <c r="A252" i="1"/>
  <c r="A251" i="1"/>
  <c r="A250" i="1"/>
  <c r="A249" i="1"/>
  <c r="I248" i="1"/>
  <c r="H248" i="1"/>
  <c r="G248" i="1"/>
  <c r="F248" i="1"/>
  <c r="E248" i="1"/>
  <c r="J242" i="1"/>
  <c r="E242" i="1"/>
  <c r="E245" i="1" s="1"/>
  <c r="D242" i="1"/>
  <c r="D245" i="1" s="1"/>
  <c r="C242" i="1"/>
  <c r="B242" i="1"/>
  <c r="B245" i="1" s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F233" i="1"/>
  <c r="F240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C214" i="1"/>
  <c r="B214" i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D54" i="1"/>
  <c r="L38" i="1"/>
  <c r="I28" i="1"/>
  <c r="I106" i="1" s="1"/>
  <c r="H28" i="1"/>
  <c r="H106" i="1" s="1"/>
  <c r="G28" i="1"/>
  <c r="G106" i="1" s="1"/>
  <c r="G107" i="1" s="1"/>
  <c r="G108" i="1" s="1"/>
  <c r="F28" i="1"/>
  <c r="F106" i="1" s="1"/>
  <c r="F107" i="1" s="1"/>
  <c r="F108" i="1" s="1"/>
  <c r="E28" i="1"/>
  <c r="E106" i="1" s="1"/>
  <c r="E107" i="1" s="1"/>
  <c r="E108" i="1" s="1"/>
  <c r="D28" i="1"/>
  <c r="D106" i="1" s="1"/>
  <c r="D107" i="1" s="1"/>
  <c r="D108" i="1" s="1"/>
  <c r="C28" i="1"/>
  <c r="C106" i="1" s="1"/>
  <c r="C107" i="1" s="1"/>
  <c r="C108" i="1" s="1"/>
  <c r="H107" i="1" l="1"/>
  <c r="H108" i="1" s="1"/>
  <c r="I107" i="1"/>
  <c r="I108" i="1" s="1"/>
  <c r="F236" i="1"/>
  <c r="F237" i="1"/>
  <c r="V237" i="1" s="1"/>
  <c r="F238" i="1"/>
  <c r="V238" i="1" s="1"/>
  <c r="F241" i="1"/>
  <c r="G233" i="1"/>
  <c r="G239" i="1" s="1"/>
  <c r="F239" i="1"/>
  <c r="V239" i="1" s="1"/>
  <c r="AD59" i="1"/>
  <c r="G236" i="1"/>
  <c r="H236" i="1" s="1"/>
  <c r="V236" i="1"/>
  <c r="C245" i="1"/>
  <c r="V240" i="1"/>
  <c r="AE59" i="1" l="1"/>
  <c r="AE54" i="1" s="1"/>
  <c r="H239" i="1"/>
  <c r="E252" i="1" s="1"/>
  <c r="G238" i="1"/>
  <c r="F242" i="1"/>
  <c r="F244" i="1" s="1"/>
  <c r="G241" i="1"/>
  <c r="G237" i="1"/>
  <c r="G240" i="1"/>
  <c r="E249" i="1"/>
  <c r="C249" i="1"/>
  <c r="B249" i="1"/>
  <c r="D249" i="1"/>
  <c r="G249" i="1"/>
  <c r="F249" i="1"/>
  <c r="H249" i="1"/>
  <c r="H252" i="1"/>
  <c r="H238" i="1"/>
  <c r="I249" i="1"/>
  <c r="I252" i="1"/>
  <c r="G242" i="1" l="1"/>
  <c r="AC59" i="1"/>
  <c r="B252" i="1"/>
  <c r="F252" i="1"/>
  <c r="C252" i="1"/>
  <c r="D252" i="1"/>
  <c r="G252" i="1"/>
  <c r="H237" i="1"/>
  <c r="I250" i="1" s="1"/>
  <c r="O107" i="1"/>
  <c r="O108" i="1" s="1"/>
  <c r="O109" i="1" s="1"/>
  <c r="O110" i="1" s="1"/>
  <c r="Q107" i="1"/>
  <c r="Q108" i="1" s="1"/>
  <c r="Q109" i="1" s="1"/>
  <c r="Q110" i="1" s="1"/>
  <c r="S107" i="1"/>
  <c r="S108" i="1" s="1"/>
  <c r="S109" i="1" s="1"/>
  <c r="S110" i="1" s="1"/>
  <c r="N107" i="1"/>
  <c r="N108" i="1" s="1"/>
  <c r="N109" i="1" s="1"/>
  <c r="N110" i="1" s="1"/>
  <c r="P107" i="1"/>
  <c r="P108" i="1" s="1"/>
  <c r="P109" i="1" s="1"/>
  <c r="P110" i="1" s="1"/>
  <c r="R107" i="1"/>
  <c r="R108" i="1" s="1"/>
  <c r="R109" i="1" s="1"/>
  <c r="R110" i="1" s="1"/>
  <c r="T107" i="1"/>
  <c r="T108" i="1" s="1"/>
  <c r="T109" i="1" s="1"/>
  <c r="T110" i="1" s="1"/>
  <c r="M107" i="1"/>
  <c r="M108" i="1" s="1"/>
  <c r="M109" i="1" s="1"/>
  <c r="M110" i="1" s="1"/>
  <c r="O159" i="1"/>
  <c r="O160" i="1" s="1"/>
  <c r="O161" i="1" s="1"/>
  <c r="O162" i="1" s="1"/>
  <c r="Q159" i="1"/>
  <c r="Q160" i="1" s="1"/>
  <c r="Q161" i="1" s="1"/>
  <c r="Q162" i="1" s="1"/>
  <c r="S159" i="1"/>
  <c r="S160" i="1" s="1"/>
  <c r="S161" i="1" s="1"/>
  <c r="S162" i="1" s="1"/>
  <c r="N159" i="1"/>
  <c r="N160" i="1" s="1"/>
  <c r="N161" i="1" s="1"/>
  <c r="N162" i="1" s="1"/>
  <c r="P159" i="1"/>
  <c r="P160" i="1" s="1"/>
  <c r="P161" i="1" s="1"/>
  <c r="P162" i="1" s="1"/>
  <c r="R159" i="1"/>
  <c r="R160" i="1" s="1"/>
  <c r="R161" i="1" s="1"/>
  <c r="R162" i="1" s="1"/>
  <c r="T159" i="1"/>
  <c r="T160" i="1" s="1"/>
  <c r="T161" i="1" s="1"/>
  <c r="T162" i="1" s="1"/>
  <c r="M159" i="1"/>
  <c r="M160" i="1" s="1"/>
  <c r="M161" i="1" s="1"/>
  <c r="M162" i="1" s="1"/>
  <c r="H240" i="1"/>
  <c r="I253" i="1" s="1"/>
  <c r="H241" i="1"/>
  <c r="I254" i="1" s="1"/>
  <c r="AD64" i="1"/>
  <c r="H242" i="1"/>
  <c r="J249" i="1"/>
  <c r="F251" i="1"/>
  <c r="E251" i="1"/>
  <c r="G251" i="1"/>
  <c r="D251" i="1"/>
  <c r="C251" i="1"/>
  <c r="B251" i="1"/>
  <c r="H251" i="1"/>
  <c r="I251" i="1"/>
  <c r="G244" i="1"/>
  <c r="H244" i="1"/>
  <c r="J252" i="1" l="1"/>
  <c r="S59" i="1"/>
  <c r="Q59" i="1"/>
  <c r="O59" i="1"/>
  <c r="M59" i="1"/>
  <c r="T59" i="1"/>
  <c r="R59" i="1"/>
  <c r="P59" i="1"/>
  <c r="N59" i="1"/>
  <c r="H253" i="1"/>
  <c r="E253" i="1"/>
  <c r="C253" i="1"/>
  <c r="G253" i="1"/>
  <c r="D253" i="1"/>
  <c r="B253" i="1"/>
  <c r="F253" i="1"/>
  <c r="O164" i="1"/>
  <c r="O165" i="1" s="1"/>
  <c r="O166" i="1" s="1"/>
  <c r="O167" i="1" s="1"/>
  <c r="Q164" i="1"/>
  <c r="Q165" i="1" s="1"/>
  <c r="Q166" i="1" s="1"/>
  <c r="Q167" i="1" s="1"/>
  <c r="S164" i="1"/>
  <c r="S165" i="1" s="1"/>
  <c r="S166" i="1" s="1"/>
  <c r="S167" i="1" s="1"/>
  <c r="M164" i="1"/>
  <c r="M165" i="1" s="1"/>
  <c r="M166" i="1" s="1"/>
  <c r="M167" i="1" s="1"/>
  <c r="N164" i="1"/>
  <c r="N165" i="1" s="1"/>
  <c r="N166" i="1" s="1"/>
  <c r="N167" i="1" s="1"/>
  <c r="P164" i="1"/>
  <c r="P165" i="1" s="1"/>
  <c r="P166" i="1" s="1"/>
  <c r="P167" i="1" s="1"/>
  <c r="R164" i="1"/>
  <c r="R165" i="1" s="1"/>
  <c r="R166" i="1" s="1"/>
  <c r="R167" i="1" s="1"/>
  <c r="T164" i="1"/>
  <c r="T165" i="1" s="1"/>
  <c r="T166" i="1" s="1"/>
  <c r="T167" i="1" s="1"/>
  <c r="F250" i="1"/>
  <c r="C250" i="1"/>
  <c r="G250" i="1"/>
  <c r="E250" i="1"/>
  <c r="D250" i="1"/>
  <c r="H250" i="1"/>
  <c r="B250" i="1"/>
  <c r="AD69" i="1"/>
  <c r="G254" i="1"/>
  <c r="B254" i="1"/>
  <c r="C254" i="1"/>
  <c r="H254" i="1"/>
  <c r="E254" i="1"/>
  <c r="F254" i="1"/>
  <c r="D254" i="1"/>
  <c r="O112" i="1"/>
  <c r="O113" i="1" s="1"/>
  <c r="O114" i="1" s="1"/>
  <c r="O115" i="1" s="1"/>
  <c r="Q112" i="1"/>
  <c r="Q113" i="1" s="1"/>
  <c r="Q114" i="1" s="1"/>
  <c r="Q115" i="1" s="1"/>
  <c r="S112" i="1"/>
  <c r="S113" i="1" s="1"/>
  <c r="S114" i="1" s="1"/>
  <c r="S115" i="1" s="1"/>
  <c r="M112" i="1"/>
  <c r="M113" i="1" s="1"/>
  <c r="M114" i="1" s="1"/>
  <c r="M115" i="1" s="1"/>
  <c r="N112" i="1"/>
  <c r="N113" i="1" s="1"/>
  <c r="N114" i="1" s="1"/>
  <c r="N115" i="1" s="1"/>
  <c r="P112" i="1"/>
  <c r="P113" i="1" s="1"/>
  <c r="P114" i="1" s="1"/>
  <c r="P115" i="1" s="1"/>
  <c r="R112" i="1"/>
  <c r="R113" i="1" s="1"/>
  <c r="R114" i="1" s="1"/>
  <c r="R115" i="1" s="1"/>
  <c r="T112" i="1"/>
  <c r="T113" i="1" s="1"/>
  <c r="T114" i="1" s="1"/>
  <c r="T115" i="1" s="1"/>
  <c r="AE79" i="1"/>
  <c r="AE69" i="1"/>
  <c r="AE89" i="1" s="1"/>
  <c r="AC54" i="1"/>
  <c r="AE74" i="1"/>
  <c r="AE64" i="1"/>
  <c r="AE84" i="1" s="1"/>
  <c r="H245" i="1"/>
  <c r="D255" i="1"/>
  <c r="C255" i="1"/>
  <c r="B255" i="1"/>
  <c r="G255" i="1"/>
  <c r="E255" i="1"/>
  <c r="F255" i="1"/>
  <c r="H255" i="1"/>
  <c r="G245" i="1"/>
  <c r="I255" i="1"/>
  <c r="J251" i="1"/>
  <c r="J253" i="1" l="1"/>
  <c r="O117" i="1"/>
  <c r="O118" i="1" s="1"/>
  <c r="O119" i="1" s="1"/>
  <c r="O120" i="1" s="1"/>
  <c r="Q117" i="1"/>
  <c r="Q118" i="1" s="1"/>
  <c r="Q119" i="1" s="1"/>
  <c r="Q120" i="1" s="1"/>
  <c r="S117" i="1"/>
  <c r="S118" i="1" s="1"/>
  <c r="S119" i="1" s="1"/>
  <c r="S120" i="1" s="1"/>
  <c r="M117" i="1"/>
  <c r="M118" i="1" s="1"/>
  <c r="M119" i="1" s="1"/>
  <c r="M120" i="1" s="1"/>
  <c r="N117" i="1"/>
  <c r="N118" i="1" s="1"/>
  <c r="N119" i="1" s="1"/>
  <c r="N120" i="1" s="1"/>
  <c r="P117" i="1"/>
  <c r="P118" i="1" s="1"/>
  <c r="P119" i="1" s="1"/>
  <c r="P120" i="1" s="1"/>
  <c r="R117" i="1"/>
  <c r="R118" i="1" s="1"/>
  <c r="R119" i="1" s="1"/>
  <c r="R120" i="1" s="1"/>
  <c r="T117" i="1"/>
  <c r="T118" i="1" s="1"/>
  <c r="T119" i="1" s="1"/>
  <c r="T120" i="1" s="1"/>
  <c r="J254" i="1"/>
  <c r="AC69" i="1"/>
  <c r="J250" i="1"/>
  <c r="T54" i="1"/>
  <c r="R54" i="1"/>
  <c r="P54" i="1"/>
  <c r="N54" i="1"/>
  <c r="S54" i="1"/>
  <c r="Q54" i="1"/>
  <c r="O54" i="1"/>
  <c r="M54" i="1"/>
  <c r="AD74" i="1"/>
  <c r="AC74" i="1" s="1"/>
  <c r="N169" i="1"/>
  <c r="N170" i="1" s="1"/>
  <c r="N171" i="1" s="1"/>
  <c r="N172" i="1" s="1"/>
  <c r="P169" i="1"/>
  <c r="P170" i="1" s="1"/>
  <c r="P171" i="1" s="1"/>
  <c r="P172" i="1" s="1"/>
  <c r="R169" i="1"/>
  <c r="R170" i="1" s="1"/>
  <c r="R171" i="1" s="1"/>
  <c r="R172" i="1" s="1"/>
  <c r="T169" i="1"/>
  <c r="T170" i="1" s="1"/>
  <c r="T171" i="1" s="1"/>
  <c r="T172" i="1" s="1"/>
  <c r="M169" i="1"/>
  <c r="M170" i="1" s="1"/>
  <c r="M171" i="1" s="1"/>
  <c r="M172" i="1" s="1"/>
  <c r="O169" i="1"/>
  <c r="O170" i="1" s="1"/>
  <c r="O171" i="1" s="1"/>
  <c r="O172" i="1" s="1"/>
  <c r="Q169" i="1"/>
  <c r="Q170" i="1" s="1"/>
  <c r="Q171" i="1" s="1"/>
  <c r="Q172" i="1" s="1"/>
  <c r="S169" i="1"/>
  <c r="S170" i="1" s="1"/>
  <c r="S171" i="1" s="1"/>
  <c r="S172" i="1" s="1"/>
  <c r="AC64" i="1"/>
  <c r="J255" i="1"/>
  <c r="T64" i="1" l="1"/>
  <c r="O64" i="1"/>
  <c r="O60" i="1" s="1"/>
  <c r="O61" i="1" s="1"/>
  <c r="O62" i="1" s="1"/>
  <c r="O63" i="1" s="1"/>
  <c r="M64" i="1"/>
  <c r="N64" i="1"/>
  <c r="N60" i="1" s="1"/>
  <c r="N61" i="1" s="1"/>
  <c r="N62" i="1" s="1"/>
  <c r="N63" i="1" s="1"/>
  <c r="R64" i="1"/>
  <c r="S64" i="1"/>
  <c r="S60" i="1" s="1"/>
  <c r="S61" i="1" s="1"/>
  <c r="S62" i="1" s="1"/>
  <c r="S63" i="1" s="1"/>
  <c r="Q64" i="1"/>
  <c r="Q60" i="1" s="1"/>
  <c r="Q61" i="1" s="1"/>
  <c r="Q62" i="1" s="1"/>
  <c r="Q63" i="1" s="1"/>
  <c r="P64" i="1"/>
  <c r="AD79" i="1"/>
  <c r="AC79" i="1" s="1"/>
  <c r="M55" i="1"/>
  <c r="M56" i="1" s="1"/>
  <c r="M57" i="1" s="1"/>
  <c r="M58" i="1" s="1"/>
  <c r="Q55" i="1"/>
  <c r="Q56" i="1" s="1"/>
  <c r="Q57" i="1" s="1"/>
  <c r="Q58" i="1" s="1"/>
  <c r="N55" i="1"/>
  <c r="N56" i="1" s="1"/>
  <c r="N57" i="1" s="1"/>
  <c r="N58" i="1" s="1"/>
  <c r="R55" i="1"/>
  <c r="R56" i="1" s="1"/>
  <c r="R57" i="1" s="1"/>
  <c r="R58" i="1" s="1"/>
  <c r="Q174" i="1"/>
  <c r="Q175" i="1" s="1"/>
  <c r="Q176" i="1" s="1"/>
  <c r="Q177" i="1" s="1"/>
  <c r="N174" i="1"/>
  <c r="N175" i="1" s="1"/>
  <c r="N176" i="1" s="1"/>
  <c r="N177" i="1" s="1"/>
  <c r="T174" i="1"/>
  <c r="T175" i="1" s="1"/>
  <c r="T176" i="1" s="1"/>
  <c r="T177" i="1" s="1"/>
  <c r="R174" i="1"/>
  <c r="R175" i="1" s="1"/>
  <c r="R176" i="1" s="1"/>
  <c r="R177" i="1" s="1"/>
  <c r="O174" i="1"/>
  <c r="O175" i="1" s="1"/>
  <c r="O176" i="1" s="1"/>
  <c r="O177" i="1" s="1"/>
  <c r="M174" i="1"/>
  <c r="M175" i="1" s="1"/>
  <c r="M176" i="1" s="1"/>
  <c r="M177" i="1" s="1"/>
  <c r="S174" i="1"/>
  <c r="S175" i="1" s="1"/>
  <c r="S176" i="1" s="1"/>
  <c r="S177" i="1" s="1"/>
  <c r="P174" i="1"/>
  <c r="P175" i="1" s="1"/>
  <c r="P176" i="1" s="1"/>
  <c r="P177" i="1" s="1"/>
  <c r="Q74" i="1"/>
  <c r="M74" i="1"/>
  <c r="T74" i="1"/>
  <c r="P74" i="1"/>
  <c r="S74" i="1"/>
  <c r="O74" i="1"/>
  <c r="R74" i="1"/>
  <c r="N74" i="1"/>
  <c r="O55" i="1"/>
  <c r="O56" i="1" s="1"/>
  <c r="O57" i="1" s="1"/>
  <c r="O58" i="1" s="1"/>
  <c r="S55" i="1"/>
  <c r="S56" i="1" s="1"/>
  <c r="S57" i="1" s="1"/>
  <c r="S58" i="1" s="1"/>
  <c r="P55" i="1"/>
  <c r="P56" i="1" s="1"/>
  <c r="P57" i="1" s="1"/>
  <c r="P58" i="1" s="1"/>
  <c r="T55" i="1"/>
  <c r="T56" i="1" s="1"/>
  <c r="T57" i="1" s="1"/>
  <c r="T58" i="1" s="1"/>
  <c r="S69" i="1"/>
  <c r="O69" i="1"/>
  <c r="T69" i="1"/>
  <c r="T70" i="1" s="1"/>
  <c r="T71" i="1" s="1"/>
  <c r="T72" i="1" s="1"/>
  <c r="T73" i="1" s="1"/>
  <c r="P69" i="1"/>
  <c r="P70" i="1" s="1"/>
  <c r="P71" i="1" s="1"/>
  <c r="P72" i="1" s="1"/>
  <c r="P73" i="1" s="1"/>
  <c r="Q69" i="1"/>
  <c r="M69" i="1"/>
  <c r="R69" i="1"/>
  <c r="N69" i="1"/>
  <c r="O122" i="1"/>
  <c r="O123" i="1" s="1"/>
  <c r="O124" i="1" s="1"/>
  <c r="O125" i="1" s="1"/>
  <c r="M122" i="1"/>
  <c r="M123" i="1" s="1"/>
  <c r="M124" i="1" s="1"/>
  <c r="M125" i="1" s="1"/>
  <c r="S122" i="1"/>
  <c r="S123" i="1" s="1"/>
  <c r="S124" i="1" s="1"/>
  <c r="S125" i="1" s="1"/>
  <c r="Q122" i="1"/>
  <c r="Q123" i="1" s="1"/>
  <c r="Q124" i="1" s="1"/>
  <c r="Q125" i="1" s="1"/>
  <c r="P122" i="1"/>
  <c r="P123" i="1" s="1"/>
  <c r="P124" i="1" s="1"/>
  <c r="P125" i="1" s="1"/>
  <c r="N122" i="1"/>
  <c r="N123" i="1" s="1"/>
  <c r="N124" i="1" s="1"/>
  <c r="N125" i="1" s="1"/>
  <c r="T122" i="1"/>
  <c r="T123" i="1" s="1"/>
  <c r="T124" i="1" s="1"/>
  <c r="T125" i="1" s="1"/>
  <c r="R122" i="1"/>
  <c r="R123" i="1" s="1"/>
  <c r="R124" i="1" s="1"/>
  <c r="R125" i="1" s="1"/>
  <c r="R70" i="1" l="1"/>
  <c r="R71" i="1" s="1"/>
  <c r="R72" i="1" s="1"/>
  <c r="R73" i="1" s="1"/>
  <c r="M70" i="1"/>
  <c r="M71" i="1" s="1"/>
  <c r="M72" i="1" s="1"/>
  <c r="M73" i="1" s="1"/>
  <c r="N127" i="1"/>
  <c r="N128" i="1" s="1"/>
  <c r="N129" i="1" s="1"/>
  <c r="N130" i="1" s="1"/>
  <c r="P127" i="1"/>
  <c r="P128" i="1" s="1"/>
  <c r="P129" i="1" s="1"/>
  <c r="P130" i="1" s="1"/>
  <c r="R127" i="1"/>
  <c r="R128" i="1" s="1"/>
  <c r="R129" i="1" s="1"/>
  <c r="R130" i="1" s="1"/>
  <c r="T127" i="1"/>
  <c r="T128" i="1" s="1"/>
  <c r="T129" i="1" s="1"/>
  <c r="T130" i="1" s="1"/>
  <c r="M127" i="1"/>
  <c r="M128" i="1" s="1"/>
  <c r="M129" i="1" s="1"/>
  <c r="M130" i="1" s="1"/>
  <c r="O127" i="1"/>
  <c r="O128" i="1" s="1"/>
  <c r="O129" i="1" s="1"/>
  <c r="O130" i="1" s="1"/>
  <c r="Q127" i="1"/>
  <c r="Q128" i="1" s="1"/>
  <c r="Q129" i="1" s="1"/>
  <c r="Q130" i="1" s="1"/>
  <c r="S127" i="1"/>
  <c r="S128" i="1" s="1"/>
  <c r="S129" i="1" s="1"/>
  <c r="S130" i="1" s="1"/>
  <c r="Q65" i="1"/>
  <c r="Q66" i="1" s="1"/>
  <c r="Q67" i="1" s="1"/>
  <c r="Q68" i="1" s="1"/>
  <c r="Q70" i="1"/>
  <c r="Q71" i="1" s="1"/>
  <c r="Q72" i="1" s="1"/>
  <c r="Q73" i="1" s="1"/>
  <c r="S65" i="1"/>
  <c r="S66" i="1" s="1"/>
  <c r="S67" i="1" s="1"/>
  <c r="S68" i="1" s="1"/>
  <c r="S70" i="1"/>
  <c r="S71" i="1" s="1"/>
  <c r="S72" i="1" s="1"/>
  <c r="S73" i="1" s="1"/>
  <c r="N179" i="1"/>
  <c r="N180" i="1" s="1"/>
  <c r="N181" i="1" s="1"/>
  <c r="N182" i="1" s="1"/>
  <c r="P179" i="1"/>
  <c r="P180" i="1" s="1"/>
  <c r="P181" i="1" s="1"/>
  <c r="P182" i="1" s="1"/>
  <c r="R179" i="1"/>
  <c r="R180" i="1" s="1"/>
  <c r="R181" i="1" s="1"/>
  <c r="R182" i="1" s="1"/>
  <c r="T179" i="1"/>
  <c r="T180" i="1" s="1"/>
  <c r="T181" i="1" s="1"/>
  <c r="T182" i="1" s="1"/>
  <c r="O179" i="1"/>
  <c r="O180" i="1" s="1"/>
  <c r="O181" i="1" s="1"/>
  <c r="O182" i="1" s="1"/>
  <c r="Q179" i="1"/>
  <c r="Q180" i="1" s="1"/>
  <c r="Q181" i="1" s="1"/>
  <c r="Q182" i="1" s="1"/>
  <c r="S179" i="1"/>
  <c r="S180" i="1" s="1"/>
  <c r="S181" i="1" s="1"/>
  <c r="S182" i="1" s="1"/>
  <c r="M179" i="1"/>
  <c r="M180" i="1" s="1"/>
  <c r="M181" i="1" s="1"/>
  <c r="M182" i="1" s="1"/>
  <c r="AD89" i="1"/>
  <c r="AC89" i="1" s="1"/>
  <c r="AD84" i="1"/>
  <c r="AC84" i="1" s="1"/>
  <c r="R65" i="1"/>
  <c r="R66" i="1" s="1"/>
  <c r="R67" i="1" s="1"/>
  <c r="R68" i="1" s="1"/>
  <c r="R60" i="1"/>
  <c r="R61" i="1" s="1"/>
  <c r="R62" i="1" s="1"/>
  <c r="R63" i="1" s="1"/>
  <c r="M65" i="1"/>
  <c r="M66" i="1" s="1"/>
  <c r="M67" i="1" s="1"/>
  <c r="M68" i="1" s="1"/>
  <c r="M60" i="1"/>
  <c r="M61" i="1" s="1"/>
  <c r="M62" i="1" s="1"/>
  <c r="M63" i="1" s="1"/>
  <c r="T65" i="1"/>
  <c r="T66" i="1" s="1"/>
  <c r="T67" i="1" s="1"/>
  <c r="T68" i="1" s="1"/>
  <c r="T60" i="1"/>
  <c r="T61" i="1" s="1"/>
  <c r="T62" i="1" s="1"/>
  <c r="T63" i="1" s="1"/>
  <c r="N65" i="1"/>
  <c r="N66" i="1" s="1"/>
  <c r="N67" i="1" s="1"/>
  <c r="N68" i="1" s="1"/>
  <c r="N70" i="1"/>
  <c r="N71" i="1" s="1"/>
  <c r="N72" i="1" s="1"/>
  <c r="N73" i="1" s="1"/>
  <c r="O65" i="1"/>
  <c r="O66" i="1" s="1"/>
  <c r="O67" i="1" s="1"/>
  <c r="O68" i="1" s="1"/>
  <c r="O70" i="1"/>
  <c r="O71" i="1" s="1"/>
  <c r="O72" i="1" s="1"/>
  <c r="O73" i="1" s="1"/>
  <c r="S79" i="1"/>
  <c r="O79" i="1"/>
  <c r="O75" i="1" s="1"/>
  <c r="O76" i="1" s="1"/>
  <c r="O77" i="1" s="1"/>
  <c r="O78" i="1" s="1"/>
  <c r="R79" i="1"/>
  <c r="N79" i="1"/>
  <c r="N75" i="1" s="1"/>
  <c r="N76" i="1" s="1"/>
  <c r="N77" i="1" s="1"/>
  <c r="N78" i="1" s="1"/>
  <c r="Q79" i="1"/>
  <c r="M79" i="1"/>
  <c r="M75" i="1" s="1"/>
  <c r="T79" i="1"/>
  <c r="P79" i="1"/>
  <c r="P65" i="1"/>
  <c r="P66" i="1" s="1"/>
  <c r="P67" i="1" s="1"/>
  <c r="P68" i="1" s="1"/>
  <c r="P60" i="1"/>
  <c r="P61" i="1" s="1"/>
  <c r="P62" i="1" s="1"/>
  <c r="P63" i="1" s="1"/>
  <c r="M76" i="1" l="1"/>
  <c r="M77" i="1" s="1"/>
  <c r="M78" i="1" s="1"/>
  <c r="Q75" i="1"/>
  <c r="Q76" i="1" s="1"/>
  <c r="Q77" i="1" s="1"/>
  <c r="Q78" i="1" s="1"/>
  <c r="P75" i="1"/>
  <c r="P76" i="1" s="1"/>
  <c r="P77" i="1" s="1"/>
  <c r="P78" i="1" s="1"/>
  <c r="S84" i="1"/>
  <c r="S80" i="1" s="1"/>
  <c r="S81" i="1" s="1"/>
  <c r="S82" i="1" s="1"/>
  <c r="S83" i="1" s="1"/>
  <c r="Q84" i="1"/>
  <c r="O84" i="1"/>
  <c r="O80" i="1" s="1"/>
  <c r="O81" i="1" s="1"/>
  <c r="O82" i="1" s="1"/>
  <c r="O83" i="1" s="1"/>
  <c r="M84" i="1"/>
  <c r="M80" i="1" s="1"/>
  <c r="M81" i="1" s="1"/>
  <c r="M82" i="1" s="1"/>
  <c r="M83" i="1" s="1"/>
  <c r="T84" i="1"/>
  <c r="T80" i="1" s="1"/>
  <c r="T81" i="1" s="1"/>
  <c r="T82" i="1" s="1"/>
  <c r="T83" i="1" s="1"/>
  <c r="R84" i="1"/>
  <c r="R80" i="1" s="1"/>
  <c r="R81" i="1" s="1"/>
  <c r="R82" i="1" s="1"/>
  <c r="R83" i="1" s="1"/>
  <c r="P84" i="1"/>
  <c r="N84" i="1"/>
  <c r="N80" i="1" s="1"/>
  <c r="N81" i="1" s="1"/>
  <c r="N82" i="1" s="1"/>
  <c r="N83" i="1" s="1"/>
  <c r="S89" i="1"/>
  <c r="Q89" i="1"/>
  <c r="O89" i="1"/>
  <c r="M89" i="1"/>
  <c r="T89" i="1"/>
  <c r="R89" i="1"/>
  <c r="P89" i="1"/>
  <c r="N89" i="1"/>
  <c r="N184" i="1"/>
  <c r="N185" i="1" s="1"/>
  <c r="N186" i="1" s="1"/>
  <c r="N187" i="1" s="1"/>
  <c r="P184" i="1"/>
  <c r="P185" i="1" s="1"/>
  <c r="P186" i="1" s="1"/>
  <c r="P187" i="1" s="1"/>
  <c r="R184" i="1"/>
  <c r="R185" i="1" s="1"/>
  <c r="R186" i="1" s="1"/>
  <c r="R187" i="1" s="1"/>
  <c r="T184" i="1"/>
  <c r="T185" i="1" s="1"/>
  <c r="T186" i="1" s="1"/>
  <c r="T187" i="1" s="1"/>
  <c r="O184" i="1"/>
  <c r="O185" i="1" s="1"/>
  <c r="O186" i="1" s="1"/>
  <c r="O187" i="1" s="1"/>
  <c r="Q184" i="1"/>
  <c r="Q185" i="1" s="1"/>
  <c r="Q186" i="1" s="1"/>
  <c r="Q187" i="1" s="1"/>
  <c r="S184" i="1"/>
  <c r="S185" i="1" s="1"/>
  <c r="S186" i="1" s="1"/>
  <c r="S187" i="1" s="1"/>
  <c r="M184" i="1"/>
  <c r="M185" i="1" s="1"/>
  <c r="M186" i="1" s="1"/>
  <c r="M187" i="1" s="1"/>
  <c r="T75" i="1"/>
  <c r="T76" i="1" s="1"/>
  <c r="T77" i="1" s="1"/>
  <c r="T78" i="1" s="1"/>
  <c r="S75" i="1"/>
  <c r="S76" i="1" s="1"/>
  <c r="S77" i="1" s="1"/>
  <c r="S78" i="1" s="1"/>
  <c r="R75" i="1"/>
  <c r="R76" i="1" s="1"/>
  <c r="R77" i="1" s="1"/>
  <c r="R78" i="1" s="1"/>
  <c r="O132" i="1"/>
  <c r="O133" i="1" s="1"/>
  <c r="O134" i="1" s="1"/>
  <c r="O135" i="1" s="1"/>
  <c r="Q132" i="1"/>
  <c r="Q133" i="1" s="1"/>
  <c r="Q134" i="1" s="1"/>
  <c r="Q135" i="1" s="1"/>
  <c r="S132" i="1"/>
  <c r="S133" i="1" s="1"/>
  <c r="S134" i="1" s="1"/>
  <c r="S135" i="1" s="1"/>
  <c r="M132" i="1"/>
  <c r="M133" i="1" s="1"/>
  <c r="M134" i="1" s="1"/>
  <c r="M135" i="1" s="1"/>
  <c r="N132" i="1"/>
  <c r="N133" i="1" s="1"/>
  <c r="N134" i="1" s="1"/>
  <c r="N135" i="1" s="1"/>
  <c r="R132" i="1"/>
  <c r="R133" i="1" s="1"/>
  <c r="R134" i="1" s="1"/>
  <c r="R135" i="1" s="1"/>
  <c r="P132" i="1"/>
  <c r="P133" i="1" s="1"/>
  <c r="P134" i="1" s="1"/>
  <c r="P135" i="1" s="1"/>
  <c r="T132" i="1"/>
  <c r="T133" i="1" s="1"/>
  <c r="T134" i="1" s="1"/>
  <c r="T135" i="1" s="1"/>
  <c r="O137" i="1" l="1"/>
  <c r="O138" i="1" s="1"/>
  <c r="O139" i="1" s="1"/>
  <c r="O140" i="1" s="1"/>
  <c r="Q137" i="1"/>
  <c r="Q138" i="1" s="1"/>
  <c r="Q139" i="1" s="1"/>
  <c r="Q140" i="1" s="1"/>
  <c r="S137" i="1"/>
  <c r="S138" i="1" s="1"/>
  <c r="S139" i="1" s="1"/>
  <c r="S140" i="1" s="1"/>
  <c r="M137" i="1"/>
  <c r="M138" i="1" s="1"/>
  <c r="M139" i="1" s="1"/>
  <c r="M140" i="1" s="1"/>
  <c r="N137" i="1"/>
  <c r="N138" i="1" s="1"/>
  <c r="N139" i="1" s="1"/>
  <c r="N140" i="1" s="1"/>
  <c r="P137" i="1"/>
  <c r="P138" i="1" s="1"/>
  <c r="P139" i="1" s="1"/>
  <c r="P140" i="1" s="1"/>
  <c r="R137" i="1"/>
  <c r="R138" i="1" s="1"/>
  <c r="R139" i="1" s="1"/>
  <c r="R140" i="1" s="1"/>
  <c r="T137" i="1"/>
  <c r="T138" i="1" s="1"/>
  <c r="T139" i="1" s="1"/>
  <c r="T140" i="1" s="1"/>
  <c r="N189" i="1"/>
  <c r="N190" i="1" s="1"/>
  <c r="N191" i="1" s="1"/>
  <c r="N192" i="1" s="1"/>
  <c r="P189" i="1"/>
  <c r="P190" i="1" s="1"/>
  <c r="P191" i="1" s="1"/>
  <c r="P192" i="1" s="1"/>
  <c r="R189" i="1"/>
  <c r="R190" i="1" s="1"/>
  <c r="R191" i="1" s="1"/>
  <c r="R192" i="1" s="1"/>
  <c r="T189" i="1"/>
  <c r="T190" i="1" s="1"/>
  <c r="T191" i="1" s="1"/>
  <c r="T192" i="1" s="1"/>
  <c r="O189" i="1"/>
  <c r="O190" i="1" s="1"/>
  <c r="O191" i="1" s="1"/>
  <c r="O192" i="1" s="1"/>
  <c r="Q189" i="1"/>
  <c r="Q190" i="1" s="1"/>
  <c r="Q191" i="1" s="1"/>
  <c r="Q192" i="1" s="1"/>
  <c r="S189" i="1"/>
  <c r="S190" i="1" s="1"/>
  <c r="S191" i="1" s="1"/>
  <c r="S192" i="1" s="1"/>
  <c r="M189" i="1"/>
  <c r="M190" i="1" s="1"/>
  <c r="M191" i="1" s="1"/>
  <c r="M192" i="1" s="1"/>
  <c r="P85" i="1"/>
  <c r="P86" i="1" s="1"/>
  <c r="P87" i="1" s="1"/>
  <c r="P88" i="1" s="1"/>
  <c r="T85" i="1"/>
  <c r="T86" i="1" s="1"/>
  <c r="T87" i="1" s="1"/>
  <c r="T88" i="1" s="1"/>
  <c r="M85" i="1"/>
  <c r="M86" i="1" s="1"/>
  <c r="M87" i="1" s="1"/>
  <c r="M88" i="1" s="1"/>
  <c r="Q85" i="1"/>
  <c r="Q86" i="1" s="1"/>
  <c r="Q87" i="1" s="1"/>
  <c r="Q88" i="1" s="1"/>
  <c r="Q80" i="1"/>
  <c r="Q81" i="1" s="1"/>
  <c r="Q82" i="1" s="1"/>
  <c r="Q83" i="1" s="1"/>
  <c r="P80" i="1"/>
  <c r="P81" i="1" s="1"/>
  <c r="P82" i="1" s="1"/>
  <c r="P83" i="1" s="1"/>
  <c r="N85" i="1"/>
  <c r="N86" i="1" s="1"/>
  <c r="N87" i="1" s="1"/>
  <c r="N88" i="1" s="1"/>
  <c r="R85" i="1"/>
  <c r="R86" i="1" s="1"/>
  <c r="R87" i="1" s="1"/>
  <c r="R88" i="1" s="1"/>
  <c r="O85" i="1"/>
  <c r="O86" i="1" s="1"/>
  <c r="O87" i="1" s="1"/>
  <c r="O88" i="1" s="1"/>
  <c r="S85" i="1"/>
  <c r="S86" i="1" s="1"/>
  <c r="S87" i="1" s="1"/>
  <c r="S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Skarzynski, Nicholas </author>
  </authors>
  <commentList>
    <comment ref="B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Skarzynski, Nicholas :</t>
        </r>
        <r>
          <rPr>
            <sz val="9"/>
            <color indexed="81"/>
            <rFont val="Tahoma"/>
            <family val="2"/>
          </rPr>
          <t xml:space="preserve">
Renewed retroactively in 2018.</t>
        </r>
      </text>
    </comment>
  </commentList>
</comments>
</file>

<file path=xl/sharedStrings.xml><?xml version="1.0" encoding="utf-8"?>
<sst xmlns="http://schemas.openxmlformats.org/spreadsheetml/2006/main" count="748" uniqueCount="151">
  <si>
    <t>Cogeneration Penetration Estimation</t>
  </si>
  <si>
    <t xml:space="preserve">  Changeable Assumptions in RED</t>
  </si>
  <si>
    <t>This worksheet is used for data input only.  The sample calculations in this worksheet are illustrative of how the cogen model</t>
  </si>
  <si>
    <t xml:space="preserve">works, but will not match the detailed, regional model. </t>
  </si>
  <si>
    <t>Price Adjustments</t>
  </si>
  <si>
    <t xml:space="preserve">  Electricity Standby Charge (percent)</t>
  </si>
  <si>
    <t>Max investment for full 10% ITC (In Energy Improvement and Extension Act, Title 1, Sec. 103( c) (3)(B)(ii) "applicable capacity")</t>
  </si>
  <si>
    <t>ITC Phase-out (In Energy Improvement and Extension Act, Title 1, Sec. 103( c) (3)(B)(iii) "maximum capacity")</t>
  </si>
  <si>
    <t>CapCostMultStar</t>
  </si>
  <si>
    <t>CapCostMultEnd</t>
  </si>
  <si>
    <t>Table 26</t>
  </si>
  <si>
    <t>Table 27</t>
  </si>
  <si>
    <t>Table 28</t>
  </si>
  <si>
    <t>IC</t>
  </si>
  <si>
    <t>GT</t>
  </si>
  <si>
    <t>Comb.Cyc (2 40MW GT &amp; 20MW ST)</t>
  </si>
  <si>
    <t>Cogen Cost &amp; Performance Assumptions</t>
  </si>
  <si>
    <t xml:space="preserve">  Electricity Capacity (kw)                                                </t>
  </si>
  <si>
    <t xml:space="preserve">  CapCostMult (1 - Investment Tax Credit)</t>
  </si>
  <si>
    <t xml:space="preserve">  Capacity Factor</t>
  </si>
  <si>
    <t xml:space="preserve">  Overall Heat Rate (btus/kwh) (hhv)</t>
  </si>
  <si>
    <t xml:space="preserve">  Heatrate Multiplier, Alternate Assumption</t>
  </si>
  <si>
    <t xml:space="preserve">  Heatrate, Alternate Assumption (btus/kwh)</t>
  </si>
  <si>
    <t xml:space="preserve">  Overall Efficiency</t>
  </si>
  <si>
    <t>Assumed captial cost mutliplier (first used in AEO2008), apply same rate to high technology parameters</t>
  </si>
  <si>
    <t>Reference</t>
  </si>
  <si>
    <t>HiTech</t>
  </si>
  <si>
    <t>15 percent increase</t>
  </si>
  <si>
    <t>The next 3 sections copy assumptions to yearly specifications which are read by the model.</t>
  </si>
  <si>
    <t>The interpolation formulas can be replaced with actual values to model other time-specific assumptions.</t>
  </si>
  <si>
    <t>REFERENCE CASE</t>
  </si>
  <si>
    <t>RAPIC TECHNOLOGY DEVELOPMENT CASE</t>
  </si>
  <si>
    <t>Cogen Cost &amp; Performance Assumptions-by year</t>
  </si>
  <si>
    <t>Market Penetration Assumptions</t>
  </si>
  <si>
    <t>Industrial</t>
  </si>
  <si>
    <t>IPP Version</t>
  </si>
  <si>
    <t xml:space="preserve">      Payback Acceptance Fraction</t>
  </si>
  <si>
    <t>(smaller plants)</t>
  </si>
  <si>
    <t>(large plants)</t>
  </si>
  <si>
    <t>Payback Years</t>
  </si>
  <si>
    <t>Fraction with a given payback need</t>
  </si>
  <si>
    <t>temp storage</t>
  </si>
  <si>
    <t>leave blank==&gt;</t>
  </si>
  <si>
    <t>Check:  Should add to 100% ==&gt;</t>
  </si>
  <si>
    <t>Fraction with this payback or longer</t>
  </si>
  <si>
    <t xml:space="preserve">     Yearly penetration fraction</t>
  </si>
  <si>
    <t xml:space="preserve">      Refining</t>
  </si>
  <si>
    <t>&lt;==ADL Frac (250-500)/(&gt;250 all)</t>
  </si>
  <si>
    <t>Capacity by Industry/Size</t>
  </si>
  <si>
    <t>Sources: GRI, Characterization of the U.S. Industrial Commercial Boiler Population (and ADL's study of ABMA data (1995 Study) for 250-500 frac)</t>
  </si>
  <si>
    <t>1.5-10 mmbtu/hr</t>
  </si>
  <si>
    <t>10-50 mmbtu/hr</t>
  </si>
  <si>
    <t>50-100mmbtu/hr</t>
  </si>
  <si>
    <t>100-250 mmbtu/hr</t>
  </si>
  <si>
    <t>250-500 mmbtu/hr</t>
  </si>
  <si>
    <t>&gt;500mmbtu</t>
  </si>
  <si>
    <t>Total</t>
  </si>
  <si>
    <t>&gt;250</t>
  </si>
  <si>
    <t>Boiler Data for Graph--Divided by 1000</t>
  </si>
  <si>
    <t xml:space="preserve">      Food</t>
  </si>
  <si>
    <t xml:space="preserve">      Paper</t>
  </si>
  <si>
    <t xml:space="preserve">      Chemicals</t>
  </si>
  <si>
    <t xml:space="preserve">      Primary Metals</t>
  </si>
  <si>
    <t xml:space="preserve">      Other Manuf</t>
  </si>
  <si>
    <t xml:space="preserve">        Total</t>
  </si>
  <si>
    <t xml:space="preserve">   Number of units</t>
  </si>
  <si>
    <t xml:space="preserve">   Average Boiler Size (mmbtu/hr)</t>
  </si>
  <si>
    <t>Steam Load Segmentation (Based on Boiler distribution above)</t>
  </si>
  <si>
    <t xml:space="preserve">    Fraction of Boilers by Size </t>
  </si>
  <si>
    <t>1.5 - 3 mmbtu/hr</t>
  </si>
  <si>
    <t>3 - 6.5 /mmbtu</t>
  </si>
  <si>
    <t>6.5 - 10 mmbtu/hr</t>
  </si>
  <si>
    <t xml:space="preserve">  All (average)</t>
  </si>
  <si>
    <t>Table 5-4</t>
  </si>
  <si>
    <t>no change</t>
  </si>
  <si>
    <t>Change 2016 report</t>
  </si>
  <si>
    <t>no change-research to change</t>
  </si>
  <si>
    <t>Data from 2016 report that is 2015</t>
  </si>
  <si>
    <t xml:space="preserve">Data from 2016 report </t>
  </si>
  <si>
    <t>System 1 NG Reciprocating Engine</t>
  </si>
  <si>
    <t>System 2 NG Reciprocating Engine</t>
  </si>
  <si>
    <t>System 3 NG Turbine</t>
  </si>
  <si>
    <t>System 4 NG Turbine</t>
  </si>
  <si>
    <t>System 5 NG Turbine</t>
  </si>
  <si>
    <t>System 6 NG Turbine</t>
  </si>
  <si>
    <t>System 7 Combined Cycle</t>
  </si>
  <si>
    <t>System 8 Combined Cycle</t>
  </si>
  <si>
    <t>Change Calculation to sum</t>
  </si>
  <si>
    <t>NEW DATA same percent change</t>
  </si>
  <si>
    <t>source:</t>
  </si>
  <si>
    <t>L:\mid\Industrial_Team\US\AEO\AEO2018\CHP\indcogen\payback acceptance.xlsx</t>
  </si>
  <si>
    <t>Assumption</t>
  </si>
  <si>
    <t>Input</t>
  </si>
  <si>
    <t>Key:</t>
  </si>
  <si>
    <t>Calculation</t>
  </si>
  <si>
    <t>Sector</t>
  </si>
  <si>
    <t>Case</t>
  </si>
  <si>
    <t>Equipment</t>
  </si>
  <si>
    <t>Vintage</t>
  </si>
  <si>
    <t>New</t>
  </si>
  <si>
    <t>Year</t>
  </si>
  <si>
    <t xml:space="preserve"> 2015</t>
  </si>
  <si>
    <t>Performance &amp; Costs</t>
  </si>
  <si>
    <t>Natural Gas Reciprocating Engine (1,200 kW)</t>
  </si>
  <si>
    <t>Natural Gas Reciprocating Engine (3,000 kW)</t>
  </si>
  <si>
    <t>Natural Gas Turbine (4,600 kW)</t>
  </si>
  <si>
    <t>Natural Gas Turbine (10,360 kW)</t>
  </si>
  <si>
    <t>Natural Gas Turbine (23,200 kW)</t>
  </si>
  <si>
    <t>Natural Gas Turbine (45,000 kW)</t>
  </si>
  <si>
    <t>Combined Cycle (117,000 kW)</t>
  </si>
  <si>
    <t>Combined Cycle (376,000 kW)</t>
  </si>
  <si>
    <t>Battery Storage</t>
  </si>
  <si>
    <t>Output Capacity (kW)</t>
  </si>
  <si>
    <t>Capacity Factor (%)</t>
  </si>
  <si>
    <t/>
  </si>
  <si>
    <t>Hours of Operation (hrs)</t>
  </si>
  <si>
    <t>Electric Heat Rate, HHV (Btu/kWh)</t>
  </si>
  <si>
    <t>Electric Efficiency, HHV (%)</t>
  </si>
  <si>
    <t>Fuel Input (MMBtu/hr)</t>
  </si>
  <si>
    <t>Thermal Output (MMBtu/hr)</t>
  </si>
  <si>
    <t>Total CHP Efficiency (%)</t>
  </si>
  <si>
    <t>Power to Thermal Output Ratio</t>
  </si>
  <si>
    <t>Net Heat Rate (Btu/kWh)</t>
  </si>
  <si>
    <t>Equipment Lifetime (years)</t>
  </si>
  <si>
    <t>Inverter Life (years)</t>
  </si>
  <si>
    <t>Cycles per Day</t>
  </si>
  <si>
    <t>Annual Energy Degradation</t>
  </si>
  <si>
    <t>Battery Cell Life (years)</t>
  </si>
  <si>
    <t>Variable O&amp;M Costs ($/kWh)</t>
  </si>
  <si>
    <t>Fixed O&amp;M Costs ($/kW-year)</t>
  </si>
  <si>
    <t>Total Installed Cost ($/kW)</t>
  </si>
  <si>
    <t>Equipment ($/kW)</t>
  </si>
  <si>
    <t>Installation Labor and Materials ($/kW)</t>
  </si>
  <si>
    <t>Engineering/Construction Management/Contingency</t>
  </si>
  <si>
    <t>Owners Costs</t>
  </si>
  <si>
    <t xml:space="preserve"> 2018</t>
  </si>
  <si>
    <t xml:space="preserve"> 2020</t>
  </si>
  <si>
    <t xml:space="preserve"> 2030</t>
  </si>
  <si>
    <t xml:space="preserve"> 2040</t>
  </si>
  <si>
    <t xml:space="preserve"> 2050</t>
  </si>
  <si>
    <t>Source:  Leidos, Final Report:  Distributed Generation, Battery Storage ,and Combined Heat and Power System Characteristics and Costs in the Buildings and Industrial Sectors, May 2020.</t>
  </si>
  <si>
    <t>Reference Case (2018 data)</t>
  </si>
  <si>
    <t>Source:</t>
  </si>
  <si>
    <t>\\nem2\L\mid\Building References\AEO Assumptions\Technology Reports\DG-CHP_combined\2019_Leidos\Final\Leidos_TO89303019FEI400025_SubTask 5.1 DG, BS, CHP Technologies Final Spreadsheet.xlsx</t>
  </si>
  <si>
    <t>Technology</t>
  </si>
  <si>
    <t xml:space="preserve">  Total Installed Cost (2018$/kw) w/o ITC</t>
  </si>
  <si>
    <t>Change 2020 report</t>
  </si>
  <si>
    <t>Total Installed Cost (2005$/kw)</t>
  </si>
  <si>
    <t>Total Installed Cost (2018$/kw)</t>
  </si>
  <si>
    <t>Dollar year for capital costs</t>
  </si>
  <si>
    <t>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</si>
</sst>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%"/>
    <numFmt numFmtId="166" formatCode="0.0"/>
    <numFmt numFmtId="167" formatCode="0.0000"/>
    <numFmt numFmtId="168" formatCode="#,##0.0"/>
    <numFmt numFmtId="169" formatCode="#,##0.000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0"/>
      <color indexed="14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9" tint="0.3999755851924192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FF00FF"/>
      <name val="Arial"/>
      <family val="2"/>
    </font>
    <font>
      <b/>
      <i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>
      <alignment vertical="top"/>
    </xf>
  </cellStyleXfs>
  <cellXfs count="111">
    <xf numFmtId="0" fontId="0" fillId="0" borderId="0" xfId="0">
      <alignment vertical="top"/>
    </xf>
    <xf numFmtId="0" fontId="18" fillId="0" borderId="0" xfId="0" applyFont="1">
      <alignment vertical="top"/>
    </xf>
    <xf numFmtId="0" fontId="19" fillId="0" borderId="0" xfId="0" applyFont="1">
      <alignment vertical="top"/>
    </xf>
    <xf numFmtId="2" fontId="0" fillId="0" borderId="0" xfId="0" applyNumberFormat="1">
      <alignment vertical="top"/>
    </xf>
    <xf numFmtId="0" fontId="0" fillId="0" borderId="0" xfId="0" applyAlignment="1">
      <alignment horizontal="left" vertical="top" wrapText="1"/>
    </xf>
    <xf numFmtId="1" fontId="0" fillId="0" borderId="0" xfId="0" applyNumberFormat="1">
      <alignment vertical="top"/>
    </xf>
    <xf numFmtId="0" fontId="20" fillId="0" borderId="0" xfId="0" applyFont="1">
      <alignment vertical="top"/>
    </xf>
    <xf numFmtId="1" fontId="18" fillId="0" borderId="0" xfId="0" applyNumberFormat="1" applyFont="1" applyAlignment="1">
      <alignment horizontal="right"/>
    </xf>
    <xf numFmtId="0" fontId="21" fillId="0" borderId="0" xfId="0" applyFont="1">
      <alignment vertical="top"/>
    </xf>
    <xf numFmtId="0" fontId="22" fillId="0" borderId="0" xfId="0" applyFont="1">
      <alignment vertical="top"/>
    </xf>
    <xf numFmtId="1" fontId="23" fillId="0" borderId="0" xfId="0" applyNumberFormat="1" applyFont="1">
      <alignment vertical="top"/>
    </xf>
    <xf numFmtId="0" fontId="0" fillId="0" borderId="0" xfId="0" applyAlignment="1">
      <alignment wrapText="1"/>
    </xf>
    <xf numFmtId="0" fontId="23" fillId="0" borderId="0" xfId="0" applyFont="1">
      <alignment vertical="top"/>
    </xf>
    <xf numFmtId="165" fontId="0" fillId="0" borderId="0" xfId="0" applyNumberFormat="1">
      <alignment vertical="top"/>
    </xf>
    <xf numFmtId="164" fontId="0" fillId="0" borderId="0" xfId="0" applyNumberFormat="1">
      <alignment vertical="top"/>
    </xf>
    <xf numFmtId="10" fontId="0" fillId="0" borderId="0" xfId="0" applyNumberFormat="1">
      <alignment vertical="top"/>
    </xf>
    <xf numFmtId="166" fontId="0" fillId="0" borderId="0" xfId="0" applyNumberFormat="1">
      <alignment vertical="top"/>
    </xf>
    <xf numFmtId="0" fontId="24" fillId="0" borderId="0" xfId="0" applyFont="1">
      <alignment vertical="top"/>
    </xf>
    <xf numFmtId="3" fontId="24" fillId="0" borderId="0" xfId="0" applyNumberFormat="1" applyFont="1">
      <alignment vertical="top"/>
    </xf>
    <xf numFmtId="3" fontId="0" fillId="0" borderId="0" xfId="0" applyNumberFormat="1">
      <alignment vertical="top"/>
    </xf>
    <xf numFmtId="2" fontId="24" fillId="0" borderId="0" xfId="0" applyNumberFormat="1" applyFont="1">
      <alignment vertical="top"/>
    </xf>
    <xf numFmtId="164" fontId="19" fillId="0" borderId="0" xfId="0" applyNumberFormat="1" applyFont="1">
      <alignment vertical="top"/>
    </xf>
    <xf numFmtId="0" fontId="0" fillId="0" borderId="0" xfId="0" quotePrefix="1">
      <alignment vertical="top"/>
    </xf>
    <xf numFmtId="0" fontId="25" fillId="0" borderId="0" xfId="0" applyFont="1">
      <alignment vertical="top"/>
    </xf>
    <xf numFmtId="0" fontId="18" fillId="0" borderId="0" xfId="0" applyFont="1" applyAlignment="1">
      <alignment vertical="top" wrapText="1"/>
    </xf>
    <xf numFmtId="167" fontId="0" fillId="0" borderId="0" xfId="0" applyNumberFormat="1">
      <alignment vertical="top"/>
    </xf>
    <xf numFmtId="10" fontId="0" fillId="33" borderId="0" xfId="0" applyNumberFormat="1" applyFill="1">
      <alignment vertical="top"/>
    </xf>
    <xf numFmtId="0" fontId="26" fillId="0" borderId="0" xfId="42">
      <alignment vertical="top"/>
    </xf>
    <xf numFmtId="9" fontId="25" fillId="0" borderId="0" xfId="0" applyNumberFormat="1" applyFont="1">
      <alignment vertical="top"/>
    </xf>
    <xf numFmtId="0" fontId="9" fillId="5" borderId="4" xfId="9" applyAlignment="1">
      <alignment vertical="top"/>
    </xf>
    <xf numFmtId="3" fontId="9" fillId="5" borderId="4" xfId="9" applyNumberFormat="1" applyAlignment="1">
      <alignment vertical="top"/>
    </xf>
    <xf numFmtId="2" fontId="25" fillId="0" borderId="0" xfId="0" applyNumberFormat="1" applyFont="1">
      <alignment vertical="top"/>
    </xf>
    <xf numFmtId="1" fontId="9" fillId="5" borderId="4" xfId="9" applyNumberFormat="1" applyAlignment="1">
      <alignment vertical="top"/>
    </xf>
    <xf numFmtId="0" fontId="11" fillId="6" borderId="4" xfId="11" applyAlignment="1">
      <alignment vertical="top"/>
    </xf>
    <xf numFmtId="164" fontId="11" fillId="6" borderId="4" xfId="11" applyNumberFormat="1" applyAlignment="1">
      <alignment vertical="top"/>
    </xf>
    <xf numFmtId="0" fontId="29" fillId="35" borderId="10" xfId="0" applyFont="1" applyFill="1" applyBorder="1" applyAlignment="1">
      <alignment horizontal="right"/>
    </xf>
    <xf numFmtId="0" fontId="30" fillId="35" borderId="11" xfId="0" applyFont="1" applyFill="1" applyBorder="1" applyAlignment="1">
      <alignment horizontal="left"/>
    </xf>
    <xf numFmtId="0" fontId="30" fillId="35" borderId="11" xfId="0" applyFont="1" applyFill="1" applyBorder="1" applyAlignment="1">
      <alignment horizontal="right" indent="2"/>
    </xf>
    <xf numFmtId="0" fontId="30" fillId="35" borderId="12" xfId="0" applyFont="1" applyFill="1" applyBorder="1" applyAlignment="1">
      <alignment horizontal="right" indent="2"/>
    </xf>
    <xf numFmtId="0" fontId="29" fillId="35" borderId="13" xfId="0" applyFont="1" applyFill="1" applyBorder="1" applyAlignment="1">
      <alignment horizontal="right"/>
    </xf>
    <xf numFmtId="0" fontId="30" fillId="35" borderId="0" xfId="0" applyFont="1" applyFill="1" applyAlignment="1">
      <alignment horizontal="left"/>
    </xf>
    <xf numFmtId="0" fontId="30" fillId="35" borderId="0" xfId="0" applyFont="1" applyFill="1" applyAlignment="1">
      <alignment horizontal="right" indent="2"/>
    </xf>
    <xf numFmtId="0" fontId="30" fillId="35" borderId="14" xfId="0" applyFont="1" applyFill="1" applyBorder="1" applyAlignment="1">
      <alignment horizontal="right" indent="2"/>
    </xf>
    <xf numFmtId="0" fontId="29" fillId="35" borderId="15" xfId="0" applyFont="1" applyFill="1" applyBorder="1" applyAlignment="1">
      <alignment horizontal="right"/>
    </xf>
    <xf numFmtId="0" fontId="30" fillId="35" borderId="16" xfId="0" applyFont="1" applyFill="1" applyBorder="1" applyAlignment="1">
      <alignment horizontal="left"/>
    </xf>
    <xf numFmtId="0" fontId="30" fillId="35" borderId="16" xfId="0" applyFont="1" applyFill="1" applyBorder="1" applyAlignment="1">
      <alignment horizontal="right" indent="2"/>
    </xf>
    <xf numFmtId="0" fontId="30" fillId="35" borderId="17" xfId="0" applyFont="1" applyFill="1" applyBorder="1" applyAlignment="1">
      <alignment horizontal="right" indent="2"/>
    </xf>
    <xf numFmtId="0" fontId="31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wrapText="1"/>
    </xf>
    <xf numFmtId="0" fontId="32" fillId="0" borderId="20" xfId="0" applyFont="1" applyBorder="1" applyAlignment="1">
      <alignment wrapText="1"/>
    </xf>
    <xf numFmtId="3" fontId="32" fillId="0" borderId="20" xfId="0" applyNumberFormat="1" applyFont="1" applyBorder="1" applyAlignment="1">
      <alignment wrapText="1"/>
    </xf>
    <xf numFmtId="2" fontId="32" fillId="0" borderId="20" xfId="0" applyNumberFormat="1" applyFont="1" applyBorder="1" applyAlignment="1">
      <alignment wrapText="1"/>
    </xf>
    <xf numFmtId="0" fontId="32" fillId="0" borderId="20" xfId="0" applyFont="1" applyBorder="1" applyAlignment="1">
      <alignment horizontal="left" wrapText="1"/>
    </xf>
    <xf numFmtId="0" fontId="32" fillId="0" borderId="20" xfId="0" applyFont="1" applyBorder="1" applyAlignment="1">
      <alignment horizontal="left" wrapText="1" indent="1"/>
    </xf>
    <xf numFmtId="0" fontId="32" fillId="0" borderId="21" xfId="0" applyFont="1" applyBorder="1" applyAlignment="1">
      <alignment horizontal="left" wrapText="1" indent="1"/>
    </xf>
    <xf numFmtId="0" fontId="32" fillId="0" borderId="22" xfId="0" applyFont="1" applyBorder="1" applyAlignment="1">
      <alignment horizontal="left" wrapText="1" indent="1"/>
    </xf>
    <xf numFmtId="0" fontId="33" fillId="0" borderId="23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3" fontId="0" fillId="0" borderId="26" xfId="0" applyNumberFormat="1" applyBorder="1" applyAlignment="1">
      <alignment horizontal="right" indent="1"/>
    </xf>
    <xf numFmtId="3" fontId="0" fillId="0" borderId="27" xfId="0" applyNumberFormat="1" applyBorder="1" applyAlignment="1">
      <alignment horizontal="right" indent="1"/>
    </xf>
    <xf numFmtId="3" fontId="0" fillId="0" borderId="28" xfId="0" applyNumberFormat="1" applyBorder="1" applyAlignment="1">
      <alignment horizontal="right" indent="1"/>
    </xf>
    <xf numFmtId="3" fontId="0" fillId="0" borderId="29" xfId="0" applyNumberFormat="1" applyBorder="1" applyAlignment="1">
      <alignment horizontal="right" indent="1"/>
    </xf>
    <xf numFmtId="2" fontId="0" fillId="0" borderId="28" xfId="0" applyNumberFormat="1" applyBorder="1" applyAlignment="1">
      <alignment horizontal="right" indent="1"/>
    </xf>
    <xf numFmtId="2" fontId="0" fillId="0" borderId="29" xfId="0" applyNumberFormat="1" applyBorder="1" applyAlignment="1">
      <alignment horizontal="right" indent="1"/>
    </xf>
    <xf numFmtId="4" fontId="0" fillId="0" borderId="28" xfId="0" applyNumberFormat="1" applyBorder="1" applyAlignment="1">
      <alignment horizontal="right" indent="1"/>
    </xf>
    <xf numFmtId="4" fontId="0" fillId="0" borderId="29" xfId="0" applyNumberFormat="1" applyBorder="1" applyAlignment="1">
      <alignment horizontal="right" indent="1"/>
    </xf>
    <xf numFmtId="4" fontId="34" fillId="0" borderId="28" xfId="0" applyNumberFormat="1" applyFont="1" applyBorder="1" applyAlignment="1">
      <alignment horizontal="right" indent="1"/>
    </xf>
    <xf numFmtId="4" fontId="34" fillId="0" borderId="29" xfId="0" applyNumberFormat="1" applyFont="1" applyBorder="1" applyAlignment="1">
      <alignment horizontal="right" indent="1"/>
    </xf>
    <xf numFmtId="3" fontId="34" fillId="0" borderId="28" xfId="0" applyNumberFormat="1" applyFont="1" applyBorder="1" applyAlignment="1">
      <alignment horizontal="right" indent="1"/>
    </xf>
    <xf numFmtId="3" fontId="34" fillId="0" borderId="29" xfId="0" applyNumberFormat="1" applyFont="1" applyBorder="1" applyAlignment="1">
      <alignment horizontal="right" indent="1"/>
    </xf>
    <xf numFmtId="168" fontId="34" fillId="0" borderId="29" xfId="0" applyNumberFormat="1" applyFont="1" applyBorder="1" applyAlignment="1">
      <alignment horizontal="right" indent="1"/>
    </xf>
    <xf numFmtId="169" fontId="34" fillId="0" borderId="28" xfId="0" applyNumberFormat="1" applyFont="1" applyBorder="1" applyAlignment="1">
      <alignment horizontal="right" indent="1"/>
    </xf>
    <xf numFmtId="169" fontId="34" fillId="0" borderId="29" xfId="0" applyNumberFormat="1" applyFont="1" applyBorder="1" applyAlignment="1">
      <alignment horizontal="right" indent="1"/>
    </xf>
    <xf numFmtId="3" fontId="34" fillId="0" borderId="30" xfId="0" applyNumberFormat="1" applyFont="1" applyBorder="1" applyAlignment="1">
      <alignment horizontal="right" indent="1"/>
    </xf>
    <xf numFmtId="3" fontId="34" fillId="0" borderId="31" xfId="0" applyNumberFormat="1" applyFont="1" applyBorder="1" applyAlignment="1">
      <alignment horizontal="right" indent="1"/>
    </xf>
    <xf numFmtId="3" fontId="34" fillId="0" borderId="32" xfId="0" applyNumberFormat="1" applyFont="1" applyBorder="1" applyAlignment="1">
      <alignment horizontal="right" indent="1"/>
    </xf>
    <xf numFmtId="3" fontId="34" fillId="0" borderId="33" xfId="0" applyNumberFormat="1" applyFont="1" applyBorder="1" applyAlignment="1">
      <alignment horizontal="right" indent="1"/>
    </xf>
    <xf numFmtId="0" fontId="35" fillId="34" borderId="0" xfId="0" applyFont="1" applyFill="1" applyAlignment="1"/>
    <xf numFmtId="0" fontId="0" fillId="34" borderId="0" xfId="0" applyFill="1" applyAlignment="1"/>
    <xf numFmtId="0" fontId="31" fillId="0" borderId="3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0" fillId="0" borderId="0" xfId="0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" fontId="11" fillId="6" borderId="4" xfId="11" applyNumberFormat="1" applyAlignment="1">
      <alignment vertical="top"/>
    </xf>
    <xf numFmtId="167" fontId="9" fillId="5" borderId="4" xfId="9" applyNumberFormat="1" applyAlignment="1">
      <alignment vertical="top"/>
    </xf>
    <xf numFmtId="0" fontId="18" fillId="0" borderId="0" xfId="0" applyFont="1" applyAlignment="1">
      <alignment horizontal="left" vertical="center" wrapText="1"/>
    </xf>
    <xf numFmtId="3" fontId="34" fillId="36" borderId="28" xfId="0" applyNumberFormat="1" applyFont="1" applyFill="1" applyBorder="1" applyAlignment="1">
      <alignment horizontal="right" indent="1"/>
    </xf>
    <xf numFmtId="3" fontId="34" fillId="36" borderId="29" xfId="0" applyNumberFormat="1" applyFont="1" applyFill="1" applyBorder="1" applyAlignment="1">
      <alignment horizontal="right" indent="1"/>
    </xf>
    <xf numFmtId="0" fontId="32" fillId="36" borderId="20" xfId="0" applyFont="1" applyFill="1" applyBorder="1" applyAlignment="1">
      <alignment horizontal="left" wrapText="1"/>
    </xf>
    <xf numFmtId="1" fontId="36" fillId="0" borderId="0" xfId="0" applyNumberFormat="1" applyFont="1">
      <alignment vertical="top"/>
    </xf>
    <xf numFmtId="3" fontId="32" fillId="37" borderId="20" xfId="0" applyNumberFormat="1" applyFont="1" applyFill="1" applyBorder="1" applyAlignment="1">
      <alignment wrapText="1"/>
    </xf>
    <xf numFmtId="3" fontId="0" fillId="37" borderId="28" xfId="0" applyNumberFormat="1" applyFill="1" applyBorder="1" applyAlignment="1">
      <alignment horizontal="right" indent="1"/>
    </xf>
    <xf numFmtId="3" fontId="0" fillId="37" borderId="29" xfId="0" applyNumberFormat="1" applyFill="1" applyBorder="1" applyAlignment="1">
      <alignment horizontal="right" indent="1"/>
    </xf>
    <xf numFmtId="167" fontId="23" fillId="0" borderId="0" xfId="0" applyNumberFormat="1" applyFont="1">
      <alignment vertical="top"/>
    </xf>
    <xf numFmtId="2" fontId="32" fillId="38" borderId="20" xfId="0" applyNumberFormat="1" applyFont="1" applyFill="1" applyBorder="1" applyAlignment="1">
      <alignment wrapText="1"/>
    </xf>
    <xf numFmtId="2" fontId="0" fillId="38" borderId="28" xfId="0" applyNumberFormat="1" applyFill="1" applyBorder="1" applyAlignment="1">
      <alignment horizontal="right" indent="1"/>
    </xf>
    <xf numFmtId="2" fontId="0" fillId="38" borderId="29" xfId="0" applyNumberFormat="1" applyFill="1" applyBorder="1" applyAlignment="1">
      <alignment horizontal="right" indent="1"/>
    </xf>
    <xf numFmtId="167" fontId="36" fillId="0" borderId="0" xfId="0" applyNumberFormat="1" applyFont="1">
      <alignment vertical="top"/>
    </xf>
    <xf numFmtId="0" fontId="18" fillId="0" borderId="0" xfId="0" applyFont="1" applyAlignment="1">
      <alignment horizontal="right" vertical="top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top"/>
    </xf>
    <xf numFmtId="0" fontId="21" fillId="0" borderId="0" xfId="0" applyFont="1" applyAlignment="1">
      <alignment vertical="top" wrapText="1"/>
    </xf>
    <xf numFmtId="0" fontId="37" fillId="0" borderId="0" xfId="0" applyFont="1">
      <alignment vertical="top"/>
    </xf>
    <xf numFmtId="9" fontId="9" fillId="5" borderId="4" xfId="9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buildings/dg_storage_chp/" TargetMode="External"/><Relationship Id="rId2" Type="http://schemas.openxmlformats.org/officeDocument/2006/relationships/hyperlink" Target="https://www.eia.gov/analysis/studies/buildings/dg_storage_chp/" TargetMode="External"/><Relationship Id="rId1" Type="http://schemas.openxmlformats.org/officeDocument/2006/relationships/hyperlink" Target="file:///\\nem2\L\mid\Industrial_Team\US\AEO\AEO2018\CHP\indcogen\payback%20acceptance.xlsx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nem2\L\mid\Building%20References\AEO%20Assumptions\Technology%20Reports\DG-CHP_combined\2019_Leidos\Final\Leidos_TO89303019FEI400025_SubTask%205.1%20DG,%20BS,%20CHP%20Technologies%20Final%20Spread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342"/>
  <sheetViews>
    <sheetView tabSelected="1" zoomScale="96" zoomScaleNormal="96" workbookViewId="0">
      <selection activeCell="N24" sqref="N24"/>
    </sheetView>
  </sheetViews>
  <sheetFormatPr defaultRowHeight="12.75" x14ac:dyDescent="0.2"/>
  <cols>
    <col min="1" max="1" width="41.7109375" customWidth="1"/>
    <col min="2" max="2" width="15" customWidth="1"/>
    <col min="3" max="3" width="14.5703125" customWidth="1"/>
    <col min="4" max="5" width="13.140625" customWidth="1"/>
    <col min="6" max="6" width="13.7109375" customWidth="1"/>
    <col min="7" max="7" width="13.5703125" customWidth="1"/>
    <col min="8" max="8" width="11.7109375" customWidth="1"/>
    <col min="9" max="9" width="11.42578125" customWidth="1"/>
    <col min="12" max="12" width="19.28515625" customWidth="1"/>
    <col min="13" max="13" width="13.42578125" customWidth="1"/>
    <col min="14" max="14" width="13.28515625" customWidth="1"/>
    <col min="15" max="16" width="12.140625" customWidth="1"/>
    <col min="17" max="17" width="12.7109375" customWidth="1"/>
    <col min="18" max="18" width="12.140625" customWidth="1"/>
    <col min="19" max="19" width="11.85546875" customWidth="1"/>
    <col min="20" max="20" width="11.42578125" customWidth="1"/>
  </cols>
  <sheetData>
    <row r="1" spans="1:6" x14ac:dyDescent="0.2">
      <c r="A1" t="s">
        <v>0</v>
      </c>
      <c r="E1" s="1" t="s">
        <v>93</v>
      </c>
      <c r="F1" s="23" t="s">
        <v>91</v>
      </c>
    </row>
    <row r="2" spans="1:6" ht="15" x14ac:dyDescent="0.2">
      <c r="A2" t="s">
        <v>1</v>
      </c>
      <c r="F2" s="29" t="s">
        <v>92</v>
      </c>
    </row>
    <row r="3" spans="1:6" ht="15" x14ac:dyDescent="0.2">
      <c r="F3" s="33" t="s">
        <v>94</v>
      </c>
    </row>
    <row r="5" spans="1:6" x14ac:dyDescent="0.2">
      <c r="A5" t="s">
        <v>2</v>
      </c>
    </row>
    <row r="6" spans="1:6" x14ac:dyDescent="0.2">
      <c r="A6" t="s">
        <v>3</v>
      </c>
    </row>
    <row r="8" spans="1:6" x14ac:dyDescent="0.2">
      <c r="A8" s="8" t="s">
        <v>149</v>
      </c>
      <c r="B8" s="23">
        <v>2018</v>
      </c>
    </row>
    <row r="9" spans="1:6" x14ac:dyDescent="0.2">
      <c r="B9" s="23"/>
    </row>
    <row r="10" spans="1:6" x14ac:dyDescent="0.2">
      <c r="A10" t="s">
        <v>4</v>
      </c>
    </row>
    <row r="11" spans="1:6" x14ac:dyDescent="0.2">
      <c r="A11" t="s">
        <v>5</v>
      </c>
      <c r="B11" s="28">
        <v>0.1</v>
      </c>
    </row>
    <row r="13" spans="1:6" ht="42" customHeight="1" x14ac:dyDescent="0.2">
      <c r="A13" s="4" t="s">
        <v>6</v>
      </c>
      <c r="B13" s="29">
        <v>15000</v>
      </c>
    </row>
    <row r="14" spans="1:6" ht="38.25" customHeight="1" x14ac:dyDescent="0.2">
      <c r="A14" s="4" t="s">
        <v>7</v>
      </c>
      <c r="B14" s="29">
        <v>50000</v>
      </c>
    </row>
    <row r="15" spans="1:6" ht="15" x14ac:dyDescent="0.2">
      <c r="A15" t="s">
        <v>8</v>
      </c>
      <c r="B15" s="32">
        <v>2008</v>
      </c>
    </row>
    <row r="16" spans="1:6" ht="15" x14ac:dyDescent="0.2">
      <c r="A16" t="s">
        <v>9</v>
      </c>
      <c r="B16" s="32">
        <v>2024</v>
      </c>
    </row>
    <row r="17" spans="1:15" x14ac:dyDescent="0.2">
      <c r="B17" s="5"/>
    </row>
    <row r="18" spans="1:15" x14ac:dyDescent="0.2">
      <c r="A18" s="27" t="s">
        <v>140</v>
      </c>
      <c r="B18" s="5"/>
    </row>
    <row r="19" spans="1:15" x14ac:dyDescent="0.2">
      <c r="A19" s="1" t="s">
        <v>141</v>
      </c>
      <c r="B19" s="7" t="s">
        <v>73</v>
      </c>
      <c r="C19" s="7" t="s">
        <v>10</v>
      </c>
      <c r="D19" s="7" t="s">
        <v>11</v>
      </c>
      <c r="E19" s="7" t="s">
        <v>11</v>
      </c>
      <c r="F19" s="7" t="s">
        <v>11</v>
      </c>
      <c r="G19" s="7" t="s">
        <v>11</v>
      </c>
      <c r="H19" s="7" t="s">
        <v>11</v>
      </c>
      <c r="I19" s="7" t="s">
        <v>12</v>
      </c>
    </row>
    <row r="20" spans="1:15" x14ac:dyDescent="0.2">
      <c r="B20" s="2" t="s">
        <v>13</v>
      </c>
      <c r="C20" s="2" t="s">
        <v>13</v>
      </c>
      <c r="D20" s="2" t="s">
        <v>14</v>
      </c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15</v>
      </c>
    </row>
    <row r="21" spans="1:15" ht="38.25" x14ac:dyDescent="0.2">
      <c r="A21" t="s">
        <v>16</v>
      </c>
      <c r="B21" s="24" t="s">
        <v>79</v>
      </c>
      <c r="C21" s="24" t="s">
        <v>80</v>
      </c>
      <c r="D21" s="24" t="s">
        <v>81</v>
      </c>
      <c r="E21" s="24" t="s">
        <v>82</v>
      </c>
      <c r="F21" s="24" t="s">
        <v>83</v>
      </c>
      <c r="G21" s="24" t="s">
        <v>84</v>
      </c>
      <c r="H21" s="24" t="s">
        <v>85</v>
      </c>
      <c r="I21" s="24" t="s">
        <v>86</v>
      </c>
      <c r="L21" s="8"/>
    </row>
    <row r="22" spans="1:15" ht="15" x14ac:dyDescent="0.2">
      <c r="A22" t="s">
        <v>17</v>
      </c>
      <c r="B22" s="30">
        <f>Tables!B8</f>
        <v>1200</v>
      </c>
      <c r="C22" s="30">
        <f>Tables!C8</f>
        <v>3000</v>
      </c>
      <c r="D22" s="30">
        <f>Tables!D8</f>
        <v>4600</v>
      </c>
      <c r="E22" s="30">
        <f>Tables!E8</f>
        <v>10360</v>
      </c>
      <c r="F22" s="30">
        <f>Tables!F8</f>
        <v>23200</v>
      </c>
      <c r="G22" s="30">
        <f>Tables!G8</f>
        <v>45000</v>
      </c>
      <c r="H22" s="30">
        <f>Tables!H8</f>
        <v>117000</v>
      </c>
      <c r="I22" s="30">
        <f>Tables!I8</f>
        <v>376000</v>
      </c>
      <c r="L22" s="109" t="s">
        <v>146</v>
      </c>
      <c r="M22" s="23"/>
    </row>
    <row r="23" spans="1:15" ht="15" x14ac:dyDescent="0.2">
      <c r="A23" s="8" t="s">
        <v>18</v>
      </c>
      <c r="B23" s="34">
        <f>IF(B22&lt;$B$13,1-$N$23,IF(B22&lt;$B$14,1-($B$13*$N$23/B22),1))</f>
        <v>0.9</v>
      </c>
      <c r="C23" s="34">
        <f t="shared" ref="C23:I23" si="0">IF(C22&lt;$B$13,1-$N$23,IF(C22&lt;$B$14,1-($B$13*$N$23/C22),1))</f>
        <v>0.9</v>
      </c>
      <c r="D23" s="34">
        <f t="shared" si="0"/>
        <v>0.9</v>
      </c>
      <c r="E23" s="34">
        <f t="shared" si="0"/>
        <v>0.9</v>
      </c>
      <c r="F23" s="34">
        <f t="shared" si="0"/>
        <v>0.93534482758620685</v>
      </c>
      <c r="G23" s="34">
        <f t="shared" si="0"/>
        <v>0.96666666666666667</v>
      </c>
      <c r="H23" s="34">
        <f t="shared" si="0"/>
        <v>1</v>
      </c>
      <c r="I23" s="34">
        <f t="shared" si="0"/>
        <v>1</v>
      </c>
      <c r="L23" s="109" t="s">
        <v>76</v>
      </c>
      <c r="M23" s="23"/>
      <c r="N23" s="110">
        <v>0.1</v>
      </c>
      <c r="O23" s="29" t="s">
        <v>150</v>
      </c>
    </row>
    <row r="24" spans="1:15" ht="15" x14ac:dyDescent="0.2">
      <c r="A24" s="8" t="s">
        <v>145</v>
      </c>
      <c r="B24" s="30">
        <f>Tables!B25</f>
        <v>2593</v>
      </c>
      <c r="C24" s="30">
        <f>Tables!C25</f>
        <v>2016</v>
      </c>
      <c r="D24" s="30">
        <f>Tables!D25</f>
        <v>1850</v>
      </c>
      <c r="E24" s="30">
        <f>Tables!E25</f>
        <v>1843</v>
      </c>
      <c r="F24" s="30">
        <f>Tables!F25</f>
        <v>1310</v>
      </c>
      <c r="G24" s="30">
        <f>Tables!G25</f>
        <v>1164</v>
      </c>
      <c r="H24" s="30">
        <f>Tables!H25</f>
        <v>1592</v>
      </c>
      <c r="I24" s="30">
        <f>Tables!I25</f>
        <v>1286</v>
      </c>
      <c r="L24" s="109" t="s">
        <v>146</v>
      </c>
      <c r="M24" s="23"/>
    </row>
    <row r="25" spans="1:15" ht="15" x14ac:dyDescent="0.2">
      <c r="A25" t="s">
        <v>19</v>
      </c>
      <c r="B25" s="29">
        <f>Tables!B9/100</f>
        <v>0.93</v>
      </c>
      <c r="C25" s="29">
        <f>Tables!C9/100</f>
        <v>0.93</v>
      </c>
      <c r="D25" s="29">
        <f>Tables!D9/100</f>
        <v>0.93</v>
      </c>
      <c r="E25" s="29">
        <f>Tables!E9/100</f>
        <v>0.93</v>
      </c>
      <c r="F25" s="29">
        <f>Tables!F9/100</f>
        <v>0.93</v>
      </c>
      <c r="G25" s="29">
        <f>Tables!G9/100</f>
        <v>0.93</v>
      </c>
      <c r="H25" s="29">
        <f>Tables!H9/100</f>
        <v>0.93</v>
      </c>
      <c r="I25" s="29">
        <f>Tables!I9/100</f>
        <v>0.93</v>
      </c>
      <c r="L25" s="109" t="s">
        <v>75</v>
      </c>
      <c r="M25" s="23"/>
    </row>
    <row r="26" spans="1:15" ht="15" x14ac:dyDescent="0.2">
      <c r="A26" t="s">
        <v>20</v>
      </c>
      <c r="B26" s="30">
        <f>Tables!B11</f>
        <v>8727</v>
      </c>
      <c r="C26" s="30">
        <f>Tables!C11</f>
        <v>8667</v>
      </c>
      <c r="D26" s="30">
        <f>Tables!D11</f>
        <v>9827</v>
      </c>
      <c r="E26" s="30">
        <f>Tables!E11</f>
        <v>10872</v>
      </c>
      <c r="F26" s="30">
        <f>Tables!F11</f>
        <v>10338</v>
      </c>
      <c r="G26" s="30">
        <f>Tables!G11</f>
        <v>8987</v>
      </c>
      <c r="H26" s="30">
        <f>Tables!H11</f>
        <v>6829</v>
      </c>
      <c r="I26" s="30">
        <f>Tables!I11</f>
        <v>6364</v>
      </c>
      <c r="L26" s="109" t="s">
        <v>146</v>
      </c>
      <c r="M26" s="23"/>
    </row>
    <row r="27" spans="1:15" x14ac:dyDescent="0.2">
      <c r="A27" t="s">
        <v>21</v>
      </c>
      <c r="B27" s="31">
        <v>1</v>
      </c>
      <c r="C27" s="31">
        <v>1</v>
      </c>
      <c r="D27" s="31">
        <v>1</v>
      </c>
      <c r="E27" s="31">
        <v>1</v>
      </c>
      <c r="F27" s="31">
        <v>1</v>
      </c>
      <c r="G27" s="31">
        <v>1</v>
      </c>
      <c r="H27" s="31">
        <v>1</v>
      </c>
      <c r="I27" s="31">
        <v>1</v>
      </c>
      <c r="L27" s="109" t="s">
        <v>74</v>
      </c>
      <c r="M27" s="23"/>
    </row>
    <row r="28" spans="1:15" ht="15" x14ac:dyDescent="0.2">
      <c r="A28" t="s">
        <v>22</v>
      </c>
      <c r="B28" s="90">
        <f>B26*B27</f>
        <v>8727</v>
      </c>
      <c r="C28" s="90">
        <f t="shared" ref="C28:I28" si="1">C26*C27</f>
        <v>8667</v>
      </c>
      <c r="D28" s="90">
        <f t="shared" si="1"/>
        <v>9827</v>
      </c>
      <c r="E28" s="90">
        <f t="shared" si="1"/>
        <v>10872</v>
      </c>
      <c r="F28" s="90">
        <f t="shared" si="1"/>
        <v>10338</v>
      </c>
      <c r="G28" s="90">
        <f t="shared" si="1"/>
        <v>8987</v>
      </c>
      <c r="H28" s="90">
        <f t="shared" si="1"/>
        <v>6829</v>
      </c>
      <c r="I28" s="90">
        <f t="shared" si="1"/>
        <v>6364</v>
      </c>
      <c r="L28" s="109" t="s">
        <v>74</v>
      </c>
      <c r="M28" s="23"/>
    </row>
    <row r="29" spans="1:15" ht="15" x14ac:dyDescent="0.2">
      <c r="A29" t="s">
        <v>23</v>
      </c>
      <c r="B29" s="91">
        <f>Tables!B15/100</f>
        <v>0.78099999999999992</v>
      </c>
      <c r="C29" s="91">
        <f>Tables!C15/100</f>
        <v>0.77370000000000005</v>
      </c>
      <c r="D29" s="91">
        <f>Tables!D15/100</f>
        <v>0.65930000000000011</v>
      </c>
      <c r="E29" s="91">
        <f>Tables!E15/100</f>
        <v>0.68379999999999996</v>
      </c>
      <c r="F29" s="91">
        <f>Tables!F15/100</f>
        <v>0.71010000000000006</v>
      </c>
      <c r="G29" s="91">
        <f>Tables!G15/100</f>
        <v>0.71970000000000001</v>
      </c>
      <c r="H29" s="91">
        <f>Tables!H15/100</f>
        <v>0.64950000000000008</v>
      </c>
      <c r="I29" s="91">
        <f>Tables!I15/100</f>
        <v>0.82950000000000002</v>
      </c>
      <c r="L29" s="109" t="s">
        <v>146</v>
      </c>
      <c r="M29" s="23"/>
    </row>
    <row r="31" spans="1:15" x14ac:dyDescent="0.2">
      <c r="A31" t="s">
        <v>24</v>
      </c>
    </row>
    <row r="32" spans="1:15" x14ac:dyDescent="0.2">
      <c r="B32" t="s">
        <v>25</v>
      </c>
      <c r="C32" t="s">
        <v>26</v>
      </c>
    </row>
    <row r="33" spans="1:20" x14ac:dyDescent="0.2">
      <c r="A33" s="5" t="s">
        <v>27</v>
      </c>
      <c r="B33" s="31">
        <v>1</v>
      </c>
      <c r="C33" s="31">
        <v>1</v>
      </c>
    </row>
    <row r="35" spans="1:20" x14ac:dyDescent="0.2">
      <c r="A35" t="s">
        <v>28</v>
      </c>
    </row>
    <row r="36" spans="1:20" x14ac:dyDescent="0.2">
      <c r="A36" t="s">
        <v>29</v>
      </c>
    </row>
    <row r="38" spans="1:20" ht="27.75" customHeight="1" x14ac:dyDescent="0.2">
      <c r="A38" s="27" t="s">
        <v>140</v>
      </c>
      <c r="L38" s="6" t="str">
        <f>A38</f>
        <v>Source:  Leidos, Final Report:  Distributed Generation, Battery Storage ,and Combined Heat and Power System Characteristics and Costs in the Buildings and Industrial Sectors, May 2020.</v>
      </c>
    </row>
    <row r="39" spans="1:20" ht="12" customHeight="1" x14ac:dyDescent="0.2">
      <c r="A39" s="9" t="s">
        <v>30</v>
      </c>
      <c r="L39" s="9" t="s">
        <v>31</v>
      </c>
    </row>
    <row r="40" spans="1:20" x14ac:dyDescent="0.2">
      <c r="A40" t="s">
        <v>32</v>
      </c>
      <c r="B40" s="2" t="s">
        <v>13</v>
      </c>
      <c r="C40" s="2" t="s">
        <v>13</v>
      </c>
      <c r="D40" s="2" t="s">
        <v>14</v>
      </c>
      <c r="E40" s="2" t="s">
        <v>14</v>
      </c>
      <c r="F40" s="2" t="s">
        <v>14</v>
      </c>
      <c r="G40" s="2" t="s">
        <v>14</v>
      </c>
      <c r="H40" s="2" t="s">
        <v>14</v>
      </c>
      <c r="I40" s="2" t="s">
        <v>15</v>
      </c>
      <c r="L40" t="s">
        <v>32</v>
      </c>
      <c r="M40" s="2" t="s">
        <v>13</v>
      </c>
      <c r="N40" s="2" t="s">
        <v>13</v>
      </c>
      <c r="O40" s="2" t="s">
        <v>14</v>
      </c>
      <c r="P40" s="2" t="s">
        <v>14</v>
      </c>
      <c r="Q40" s="2" t="s">
        <v>14</v>
      </c>
      <c r="R40" s="2" t="s">
        <v>14</v>
      </c>
      <c r="S40" s="2" t="s">
        <v>14</v>
      </c>
      <c r="T40" s="2" t="s">
        <v>15</v>
      </c>
    </row>
    <row r="41" spans="1:20" ht="40.5" customHeight="1" x14ac:dyDescent="0.2">
      <c r="A41" s="92" t="s">
        <v>148</v>
      </c>
      <c r="B41" s="24" t="s">
        <v>79</v>
      </c>
      <c r="C41" s="24" t="s">
        <v>80</v>
      </c>
      <c r="D41" s="24" t="s">
        <v>81</v>
      </c>
      <c r="E41" s="24" t="s">
        <v>82</v>
      </c>
      <c r="F41" s="24" t="s">
        <v>83</v>
      </c>
      <c r="G41" s="24" t="s">
        <v>84</v>
      </c>
      <c r="H41" s="24" t="s">
        <v>85</v>
      </c>
      <c r="I41" s="24" t="s">
        <v>86</v>
      </c>
      <c r="L41" s="92" t="s">
        <v>147</v>
      </c>
      <c r="M41" s="24" t="s">
        <v>79</v>
      </c>
      <c r="N41" s="24" t="s">
        <v>80</v>
      </c>
      <c r="O41" s="24" t="s">
        <v>81</v>
      </c>
      <c r="P41" s="24" t="s">
        <v>82</v>
      </c>
      <c r="Q41" s="24" t="s">
        <v>83</v>
      </c>
      <c r="R41" s="24" t="s">
        <v>84</v>
      </c>
      <c r="S41" s="24" t="s">
        <v>85</v>
      </c>
      <c r="T41" s="24" t="s">
        <v>86</v>
      </c>
    </row>
    <row r="42" spans="1:20" x14ac:dyDescent="0.2">
      <c r="A42" s="107">
        <v>2003</v>
      </c>
      <c r="B42" s="108">
        <v>0</v>
      </c>
      <c r="C42" s="108">
        <v>0</v>
      </c>
      <c r="D42" s="108">
        <v>0</v>
      </c>
      <c r="E42" s="108">
        <v>0</v>
      </c>
      <c r="F42" s="108">
        <v>0</v>
      </c>
      <c r="G42" s="108">
        <v>0</v>
      </c>
      <c r="H42" s="108">
        <v>0</v>
      </c>
      <c r="I42" s="108">
        <v>0</v>
      </c>
      <c r="L42" s="107">
        <v>2003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</row>
    <row r="43" spans="1:20" x14ac:dyDescent="0.2">
      <c r="A43" s="106">
        <v>2004</v>
      </c>
      <c r="B43" s="108">
        <v>0</v>
      </c>
      <c r="C43" s="108">
        <v>0</v>
      </c>
      <c r="D43" s="108">
        <v>0</v>
      </c>
      <c r="E43" s="108">
        <v>0</v>
      </c>
      <c r="F43" s="108">
        <v>0</v>
      </c>
      <c r="G43" s="108">
        <v>0</v>
      </c>
      <c r="H43" s="108">
        <v>0</v>
      </c>
      <c r="I43" s="108">
        <v>0</v>
      </c>
      <c r="L43" s="106">
        <v>2004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</row>
    <row r="44" spans="1:20" x14ac:dyDescent="0.2">
      <c r="A44" s="106">
        <v>2005</v>
      </c>
      <c r="B44" s="108">
        <v>0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L44" s="106">
        <v>2005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</row>
    <row r="45" spans="1:20" x14ac:dyDescent="0.2">
      <c r="A45" s="107">
        <v>2006</v>
      </c>
      <c r="B45" s="108">
        <v>0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L45" s="107">
        <v>2006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</row>
    <row r="46" spans="1:20" x14ac:dyDescent="0.2">
      <c r="A46" s="106">
        <v>2007</v>
      </c>
      <c r="B46" s="108">
        <v>0</v>
      </c>
      <c r="C46" s="108">
        <v>0</v>
      </c>
      <c r="D46" s="108">
        <v>0</v>
      </c>
      <c r="E46" s="108">
        <v>0</v>
      </c>
      <c r="F46" s="108">
        <v>0</v>
      </c>
      <c r="G46" s="108">
        <v>0</v>
      </c>
      <c r="H46" s="108">
        <v>0</v>
      </c>
      <c r="I46" s="108">
        <v>0</v>
      </c>
      <c r="L46" s="106">
        <v>2007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</row>
    <row r="47" spans="1:20" x14ac:dyDescent="0.2">
      <c r="A47" s="106">
        <v>2008</v>
      </c>
      <c r="B47" s="108">
        <v>0</v>
      </c>
      <c r="C47" s="108">
        <v>0</v>
      </c>
      <c r="D47" s="108">
        <v>0</v>
      </c>
      <c r="E47" s="108">
        <v>0</v>
      </c>
      <c r="F47" s="108">
        <v>0</v>
      </c>
      <c r="G47" s="108">
        <v>0</v>
      </c>
      <c r="H47" s="108">
        <v>0</v>
      </c>
      <c r="I47" s="108">
        <v>0</v>
      </c>
      <c r="L47" s="106">
        <v>2008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</row>
    <row r="48" spans="1:20" x14ac:dyDescent="0.2">
      <c r="A48" s="107">
        <v>2009</v>
      </c>
      <c r="B48" s="108">
        <v>0</v>
      </c>
      <c r="C48" s="108">
        <v>0</v>
      </c>
      <c r="D48" s="108">
        <v>0</v>
      </c>
      <c r="E48" s="108">
        <v>0</v>
      </c>
      <c r="F48" s="108">
        <v>0</v>
      </c>
      <c r="G48" s="108">
        <v>0</v>
      </c>
      <c r="H48" s="108">
        <v>0</v>
      </c>
      <c r="I48" s="108">
        <v>0</v>
      </c>
      <c r="L48" s="107">
        <v>2009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</row>
    <row r="49" spans="1:31" x14ac:dyDescent="0.2">
      <c r="A49" s="106">
        <v>2010</v>
      </c>
      <c r="B49" s="108">
        <v>0</v>
      </c>
      <c r="C49" s="108">
        <v>0</v>
      </c>
      <c r="D49" s="108">
        <v>0</v>
      </c>
      <c r="E49" s="108">
        <v>0</v>
      </c>
      <c r="F49" s="108">
        <v>0</v>
      </c>
      <c r="G49" s="108">
        <v>0</v>
      </c>
      <c r="H49" s="108">
        <v>0</v>
      </c>
      <c r="I49" s="108">
        <v>0</v>
      </c>
      <c r="L49" s="106">
        <v>2010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</row>
    <row r="50" spans="1:31" x14ac:dyDescent="0.2">
      <c r="A50" s="107">
        <v>2011</v>
      </c>
      <c r="B50" s="108">
        <v>0</v>
      </c>
      <c r="C50" s="108">
        <v>0</v>
      </c>
      <c r="D50" s="108">
        <v>0</v>
      </c>
      <c r="E50" s="108">
        <v>0</v>
      </c>
      <c r="F50" s="108">
        <v>0</v>
      </c>
      <c r="G50" s="108">
        <v>0</v>
      </c>
      <c r="H50" s="108">
        <v>0</v>
      </c>
      <c r="I50" s="108">
        <v>0</v>
      </c>
      <c r="L50" s="107">
        <v>2011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</row>
    <row r="51" spans="1:31" x14ac:dyDescent="0.2">
      <c r="A51" s="106">
        <v>2012</v>
      </c>
      <c r="B51" s="108">
        <v>0</v>
      </c>
      <c r="C51" s="108">
        <v>0</v>
      </c>
      <c r="D51" s="108">
        <v>0</v>
      </c>
      <c r="E51" s="108">
        <v>0</v>
      </c>
      <c r="F51" s="108">
        <v>0</v>
      </c>
      <c r="G51" s="108">
        <v>0</v>
      </c>
      <c r="H51" s="108">
        <v>0</v>
      </c>
      <c r="I51" s="108">
        <v>0</v>
      </c>
      <c r="L51" s="106">
        <v>2012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0</v>
      </c>
    </row>
    <row r="52" spans="1:31" x14ac:dyDescent="0.2">
      <c r="A52" s="107">
        <v>2013</v>
      </c>
      <c r="B52" s="108">
        <v>0</v>
      </c>
      <c r="C52" s="108">
        <v>0</v>
      </c>
      <c r="D52" s="108">
        <v>0</v>
      </c>
      <c r="E52" s="108">
        <v>0</v>
      </c>
      <c r="F52" s="108">
        <v>0</v>
      </c>
      <c r="G52" s="108">
        <v>0</v>
      </c>
      <c r="H52" s="108">
        <v>0</v>
      </c>
      <c r="I52" s="108">
        <v>0</v>
      </c>
      <c r="L52" s="107">
        <v>2013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</row>
    <row r="53" spans="1:31" x14ac:dyDescent="0.2">
      <c r="A53" s="106">
        <v>2014</v>
      </c>
      <c r="B53" s="108">
        <v>0</v>
      </c>
      <c r="C53" s="108">
        <v>0</v>
      </c>
      <c r="D53" s="108">
        <v>0</v>
      </c>
      <c r="E53" s="108">
        <v>0</v>
      </c>
      <c r="F53" s="108">
        <v>0</v>
      </c>
      <c r="G53" s="108">
        <v>0</v>
      </c>
      <c r="H53" s="108">
        <v>0</v>
      </c>
      <c r="I53" s="108">
        <v>0</v>
      </c>
      <c r="L53" s="106">
        <v>2014</v>
      </c>
      <c r="M53" s="108">
        <v>0</v>
      </c>
      <c r="N53" s="108">
        <v>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</row>
    <row r="54" spans="1:31" x14ac:dyDescent="0.2">
      <c r="A54" s="105">
        <v>2015</v>
      </c>
      <c r="B54" s="10">
        <f>(B24*$B$33)</f>
        <v>2593</v>
      </c>
      <c r="C54" s="10">
        <f t="shared" ref="C54:I54" si="2">(C24*$B$33)</f>
        <v>2016</v>
      </c>
      <c r="D54" s="10">
        <f t="shared" si="2"/>
        <v>1850</v>
      </c>
      <c r="E54" s="10">
        <f t="shared" si="2"/>
        <v>1843</v>
      </c>
      <c r="F54" s="10">
        <f t="shared" si="2"/>
        <v>1310</v>
      </c>
      <c r="G54" s="10">
        <f t="shared" si="2"/>
        <v>1164</v>
      </c>
      <c r="H54" s="10">
        <f t="shared" si="2"/>
        <v>1592</v>
      </c>
      <c r="I54" s="10">
        <f t="shared" si="2"/>
        <v>1286</v>
      </c>
      <c r="L54" s="1">
        <v>2015</v>
      </c>
      <c r="M54" s="10">
        <f>(1899*$C$33)/AC54</f>
        <v>1995.1368749999999</v>
      </c>
      <c r="N54" s="10">
        <f>(1742*$C$33)/AC54</f>
        <v>1830.18875</v>
      </c>
      <c r="O54" s="10">
        <f>(1509*$C$33)/AC54</f>
        <v>1585.3931250000001</v>
      </c>
      <c r="P54" s="10">
        <f>(1281*$C$33)/AC54</f>
        <v>1345.850625</v>
      </c>
      <c r="Q54" s="10">
        <f>(999*$C$33)/AC54</f>
        <v>1049.5743749999999</v>
      </c>
      <c r="R54" s="10">
        <f>(822*$C$33)/AC54</f>
        <v>863.61374999999998</v>
      </c>
      <c r="S54" s="10">
        <f>(1594*$C$33)/AC54</f>
        <v>1674.69625</v>
      </c>
      <c r="T54" s="10">
        <f>(1594*$C$33)/AC54</f>
        <v>1674.69625</v>
      </c>
      <c r="X54" s="23" t="s">
        <v>77</v>
      </c>
      <c r="AC54" s="23">
        <f>1.025 ^(AD54-AE54)</f>
        <v>0.95181439619274244</v>
      </c>
      <c r="AD54" s="23">
        <f>L54</f>
        <v>2015</v>
      </c>
      <c r="AE54" s="23">
        <f>AE59</f>
        <v>2017</v>
      </c>
    </row>
    <row r="55" spans="1:31" x14ac:dyDescent="0.2">
      <c r="A55">
        <v>2016</v>
      </c>
      <c r="B55" s="5">
        <f t="shared" ref="B55:E56" si="3">ROUND((B54+(B$57-B$54)*1/($A$57-$A$54)),1)</f>
        <v>2590.6999999999998</v>
      </c>
      <c r="C55" s="5">
        <f t="shared" si="3"/>
        <v>2014</v>
      </c>
      <c r="D55" s="5">
        <f t="shared" si="3"/>
        <v>1846.3</v>
      </c>
      <c r="E55" s="5">
        <f t="shared" si="3"/>
        <v>1842.7</v>
      </c>
      <c r="F55" s="5">
        <f t="shared" ref="F55:H56" si="4">ROUND((F54+(F$57-F$54)*1/($A$57-$A$54)),1)</f>
        <v>1309.7</v>
      </c>
      <c r="G55" s="5">
        <f t="shared" si="4"/>
        <v>1163.3</v>
      </c>
      <c r="H55" s="5">
        <f t="shared" si="4"/>
        <v>1588.3</v>
      </c>
      <c r="I55" s="5">
        <f>ROUND((I54+(I$57-I$54)*1/($A$57-$A$54)),1)</f>
        <v>1279.7</v>
      </c>
      <c r="L55">
        <v>2016</v>
      </c>
      <c r="M55" s="5">
        <f>ROUND((M54+(M$59-M$54)*1/($L$59-$L$54)),0)</f>
        <v>1987</v>
      </c>
      <c r="N55" s="5">
        <f t="shared" ref="N55:T58" si="5">ROUND((N54+(N$59-N$54)*1/($L$59-$L$54)),0)</f>
        <v>1823</v>
      </c>
      <c r="O55" s="5">
        <f t="shared" si="5"/>
        <v>1578</v>
      </c>
      <c r="P55" s="5">
        <f t="shared" si="5"/>
        <v>1339</v>
      </c>
      <c r="Q55" s="5">
        <f t="shared" si="5"/>
        <v>1045</v>
      </c>
      <c r="R55" s="5">
        <f t="shared" si="5"/>
        <v>859</v>
      </c>
      <c r="S55" s="5">
        <f t="shared" si="5"/>
        <v>1663</v>
      </c>
      <c r="T55" s="5">
        <f t="shared" si="5"/>
        <v>1663</v>
      </c>
    </row>
    <row r="56" spans="1:31" x14ac:dyDescent="0.2">
      <c r="A56">
        <v>2017</v>
      </c>
      <c r="B56" s="5">
        <f t="shared" si="3"/>
        <v>2588.4</v>
      </c>
      <c r="C56" s="5">
        <f t="shared" si="3"/>
        <v>2012</v>
      </c>
      <c r="D56" s="5">
        <f t="shared" si="3"/>
        <v>1842.6</v>
      </c>
      <c r="E56" s="5">
        <f t="shared" si="3"/>
        <v>1842.4</v>
      </c>
      <c r="F56" s="5">
        <f>ROUND((F55+(F$57-F$54)*1/($A$57-$A$54)),1)</f>
        <v>1309.4000000000001</v>
      </c>
      <c r="G56" s="5">
        <f t="shared" si="4"/>
        <v>1162.5999999999999</v>
      </c>
      <c r="H56" s="5">
        <f>ROUND((H55+(H$57-H$54)*1/($A$57-$A$54)),1)</f>
        <v>1584.6</v>
      </c>
      <c r="I56" s="5">
        <f>ROUND((I55+(I$57-I$54)*1/($A$57-$A$54)),1)</f>
        <v>1273.4000000000001</v>
      </c>
      <c r="L56">
        <v>2017</v>
      </c>
      <c r="M56" s="5">
        <f t="shared" ref="M56:M58" si="6">ROUND((M55+(M$59-M$54)*1/($L$59-$L$54)),0)</f>
        <v>1979</v>
      </c>
      <c r="N56" s="5">
        <f t="shared" si="5"/>
        <v>1816</v>
      </c>
      <c r="O56" s="5">
        <f t="shared" si="5"/>
        <v>1571</v>
      </c>
      <c r="P56" s="5">
        <f t="shared" si="5"/>
        <v>1333</v>
      </c>
      <c r="Q56" s="5">
        <f t="shared" si="5"/>
        <v>1040</v>
      </c>
      <c r="R56" s="5">
        <f t="shared" si="5"/>
        <v>855</v>
      </c>
      <c r="S56" s="5">
        <f t="shared" si="5"/>
        <v>1651</v>
      </c>
      <c r="T56" s="5">
        <f t="shared" si="5"/>
        <v>1651</v>
      </c>
    </row>
    <row r="57" spans="1:31" x14ac:dyDescent="0.2">
      <c r="A57" s="1">
        <v>2018</v>
      </c>
      <c r="B57" s="96">
        <f>(Tables!B54*$B$33)</f>
        <v>2586</v>
      </c>
      <c r="C57" s="96">
        <f>(Tables!C54*$B$33)</f>
        <v>2010</v>
      </c>
      <c r="D57" s="96">
        <f>(Tables!D54*$B$33)</f>
        <v>1839</v>
      </c>
      <c r="E57" s="96">
        <f>(Tables!E54*$B$33)</f>
        <v>1842</v>
      </c>
      <c r="F57" s="96">
        <f>(Tables!F54*$B$33)</f>
        <v>1309</v>
      </c>
      <c r="G57" s="96">
        <f>(Tables!G54*$B$33)</f>
        <v>1162</v>
      </c>
      <c r="H57" s="96">
        <f>(Tables!H54*$B$33)</f>
        <v>1581</v>
      </c>
      <c r="I57" s="96">
        <f>(Tables!I54*$B$33)</f>
        <v>1267</v>
      </c>
      <c r="L57">
        <v>2018</v>
      </c>
      <c r="M57" s="5">
        <f t="shared" si="6"/>
        <v>1971</v>
      </c>
      <c r="N57" s="5">
        <f t="shared" si="5"/>
        <v>1809</v>
      </c>
      <c r="O57" s="5">
        <f t="shared" si="5"/>
        <v>1564</v>
      </c>
      <c r="P57" s="5">
        <f t="shared" si="5"/>
        <v>1327</v>
      </c>
      <c r="Q57" s="5">
        <f t="shared" si="5"/>
        <v>1035</v>
      </c>
      <c r="R57" s="5">
        <f t="shared" si="5"/>
        <v>851</v>
      </c>
      <c r="S57" s="5">
        <f t="shared" si="5"/>
        <v>1639</v>
      </c>
      <c r="T57" s="5">
        <f t="shared" si="5"/>
        <v>1639</v>
      </c>
      <c r="AC57" s="23"/>
      <c r="AD57" s="23"/>
      <c r="AE57" s="23"/>
    </row>
    <row r="58" spans="1:31" x14ac:dyDescent="0.2">
      <c r="A58">
        <v>2019</v>
      </c>
      <c r="B58" s="5">
        <f>ROUND((B57+(B$59-B$57)*1/($A$59-$A$57)),1)</f>
        <v>2584.5</v>
      </c>
      <c r="C58" s="5">
        <f t="shared" ref="C58:H58" si="7">ROUND((C57+(C$59-C$57)*1/($A$59-$A$57)),1)</f>
        <v>2009</v>
      </c>
      <c r="D58" s="5">
        <f>ROUND((D57+(D$59-D$57)*1/($A$59-$A$57)),1)</f>
        <v>1830</v>
      </c>
      <c r="E58" s="5">
        <f>ROUND((E57+(E$59-E$57)*1/($A$59-$A$57)),1)</f>
        <v>1833.5</v>
      </c>
      <c r="F58" s="5">
        <f>ROUND((F57+(F$59-F$57)*1/($A$59-$A$57)),1)</f>
        <v>1303</v>
      </c>
      <c r="G58" s="5">
        <f t="shared" si="7"/>
        <v>1157</v>
      </c>
      <c r="H58" s="5">
        <f t="shared" si="7"/>
        <v>1572.5</v>
      </c>
      <c r="I58" s="5">
        <f>ROUND((I57+(I$59-I$57)*1/($A$59-$A$57)),1)</f>
        <v>1266</v>
      </c>
      <c r="L58">
        <v>2019</v>
      </c>
      <c r="M58" s="5">
        <f t="shared" si="6"/>
        <v>1963</v>
      </c>
      <c r="N58" s="5">
        <f t="shared" si="5"/>
        <v>1802</v>
      </c>
      <c r="O58" s="5">
        <f t="shared" si="5"/>
        <v>1557</v>
      </c>
      <c r="P58" s="5">
        <f t="shared" si="5"/>
        <v>1321</v>
      </c>
      <c r="Q58" s="5">
        <f t="shared" si="5"/>
        <v>1030</v>
      </c>
      <c r="R58" s="5">
        <f t="shared" si="5"/>
        <v>847</v>
      </c>
      <c r="S58" s="5">
        <f t="shared" si="5"/>
        <v>1627</v>
      </c>
      <c r="T58" s="5">
        <f t="shared" si="5"/>
        <v>1627</v>
      </c>
    </row>
    <row r="59" spans="1:31" x14ac:dyDescent="0.2">
      <c r="A59" s="1">
        <v>2020</v>
      </c>
      <c r="B59" s="10">
        <f>(Tables!B83*$B$33)</f>
        <v>2583</v>
      </c>
      <c r="C59" s="10">
        <f>(Tables!C83*$B$33)</f>
        <v>2008</v>
      </c>
      <c r="D59" s="10">
        <f>(Tables!D83*$B$33)</f>
        <v>1821</v>
      </c>
      <c r="E59" s="10">
        <f>(Tables!E83*$B$33)</f>
        <v>1825</v>
      </c>
      <c r="F59" s="10">
        <f>(Tables!F83*$B$33)</f>
        <v>1297</v>
      </c>
      <c r="G59" s="10">
        <f>(Tables!G83*$B$33)</f>
        <v>1152</v>
      </c>
      <c r="H59" s="10">
        <f>(Tables!H83*$B$33)</f>
        <v>1564</v>
      </c>
      <c r="I59" s="10">
        <f>(Tables!I83*$B$33)</f>
        <v>1265</v>
      </c>
      <c r="L59" s="1">
        <v>2020</v>
      </c>
      <c r="M59" s="10">
        <f>(2105*$C$33)/AC59</f>
        <v>1954.7017599860712</v>
      </c>
      <c r="N59" s="10">
        <f>(1931*$C$33)/AC59</f>
        <v>1793.1254624860348</v>
      </c>
      <c r="O59" s="10">
        <f>(1668*$C$33)/AC59</f>
        <v>1548.903817414141</v>
      </c>
      <c r="P59" s="10">
        <f>(1415*$C$33)/AC59</f>
        <v>1313.9681664514446</v>
      </c>
      <c r="Q59" s="10">
        <f>(1103*$C$33)/AC59</f>
        <v>1024.2451502444828</v>
      </c>
      <c r="R59" s="10">
        <f>(907*$C$33)/AC59</f>
        <v>842.23966570421214</v>
      </c>
      <c r="S59" s="10">
        <f>(1741*$C$33)/AC59</f>
        <v>1616.6915744112828</v>
      </c>
      <c r="T59" s="10">
        <f>(1741*$C$33)/AC59</f>
        <v>1616.6915744112828</v>
      </c>
      <c r="X59" s="23" t="s">
        <v>77</v>
      </c>
      <c r="AC59" s="23">
        <f>1.025 ^(AD59-AE59)</f>
        <v>1.0768906249999999</v>
      </c>
      <c r="AD59" s="23">
        <f>L59</f>
        <v>2020</v>
      </c>
      <c r="AE59" s="23">
        <f>AD59-3</f>
        <v>2017</v>
      </c>
    </row>
    <row r="60" spans="1:31" x14ac:dyDescent="0.2">
      <c r="A60">
        <v>2021</v>
      </c>
      <c r="B60" s="5">
        <f>ROUND((B59+(B$69-B$59)*1/($A$69-$A$59)),1)</f>
        <v>2581.9</v>
      </c>
      <c r="C60" s="5">
        <f t="shared" ref="C60:I60" si="8">ROUND((C59+(C$69-C$59)*1/($A$69-$A$59)),1)</f>
        <v>2007</v>
      </c>
      <c r="D60" s="5">
        <f t="shared" si="8"/>
        <v>1817.7</v>
      </c>
      <c r="E60" s="5">
        <f t="shared" si="8"/>
        <v>1822</v>
      </c>
      <c r="F60" s="5">
        <f t="shared" si="8"/>
        <v>1294.9000000000001</v>
      </c>
      <c r="G60" s="5">
        <f t="shared" si="8"/>
        <v>1150.0999999999999</v>
      </c>
      <c r="H60" s="5">
        <f t="shared" si="8"/>
        <v>1561</v>
      </c>
      <c r="I60" s="5">
        <f t="shared" si="8"/>
        <v>1263.3</v>
      </c>
      <c r="L60">
        <v>2021</v>
      </c>
      <c r="M60" s="5">
        <f>ROUND((M59+(M$64-M$59)*1/($L$64-$L$59)),0)</f>
        <v>1933</v>
      </c>
      <c r="N60" s="5">
        <f t="shared" ref="N60:T63" si="9">ROUND((N59+(N$64-N$59)*1/($L$64-$L$59)),0)</f>
        <v>1773</v>
      </c>
      <c r="O60" s="5">
        <f t="shared" si="9"/>
        <v>1531</v>
      </c>
      <c r="P60" s="5">
        <f t="shared" si="9"/>
        <v>1299</v>
      </c>
      <c r="Q60" s="5">
        <f t="shared" si="9"/>
        <v>1012</v>
      </c>
      <c r="R60" s="5">
        <f t="shared" si="9"/>
        <v>832</v>
      </c>
      <c r="S60" s="5">
        <f t="shared" si="9"/>
        <v>1594</v>
      </c>
      <c r="T60" s="5">
        <f t="shared" si="9"/>
        <v>1594</v>
      </c>
      <c r="AC60" s="23"/>
      <c r="AD60" s="23"/>
      <c r="AE60" s="23"/>
    </row>
    <row r="61" spans="1:31" x14ac:dyDescent="0.2">
      <c r="A61">
        <v>2022</v>
      </c>
      <c r="B61" s="5">
        <f>ROUND((B60+(B$69-B$59)*1/($A$69-$A$59)),1)</f>
        <v>2580.8000000000002</v>
      </c>
      <c r="C61" s="5">
        <f>ROUND((C60+(C$69-C$59)*1/($A$69-$A$59)),1)</f>
        <v>2006</v>
      </c>
      <c r="D61" s="5">
        <f t="shared" ref="D61:D68" si="10">ROUND((D60+(D$69-D$59)*1/($A$69-$A$59)),1)</f>
        <v>1814.4</v>
      </c>
      <c r="E61" s="5">
        <f t="shared" ref="E61:E68" si="11">ROUND((E60+(E$69-E$59)*1/($A$69-$A$59)),1)</f>
        <v>1819</v>
      </c>
      <c r="F61" s="5">
        <f>ROUND((F60+(F$69-F$59)*1/($A$69-$A$59)),1)</f>
        <v>1292.8</v>
      </c>
      <c r="G61" s="5">
        <f>ROUND((G60+(G$69-G$59)*1/($A$69-$A$59)),1)</f>
        <v>1148.2</v>
      </c>
      <c r="H61" s="5">
        <f>ROUND((H60+(H$69-H$59)*1/($A$69-$A$59)),1)</f>
        <v>1558</v>
      </c>
      <c r="I61" s="5">
        <f>ROUND((I60+(I$69-I$59)*1/($A$69-$A$59)),1)</f>
        <v>1261.5999999999999</v>
      </c>
      <c r="L61">
        <v>2022</v>
      </c>
      <c r="M61" s="5">
        <f t="shared" ref="M61:M63" si="12">ROUND((M60+(M$64-M$59)*1/($L$64-$L$59)),0)</f>
        <v>1911</v>
      </c>
      <c r="N61" s="5">
        <f t="shared" si="9"/>
        <v>1753</v>
      </c>
      <c r="O61" s="5">
        <f t="shared" si="9"/>
        <v>1513</v>
      </c>
      <c r="P61" s="5">
        <f t="shared" si="9"/>
        <v>1284</v>
      </c>
      <c r="Q61" s="5">
        <f t="shared" si="9"/>
        <v>1000</v>
      </c>
      <c r="R61" s="5">
        <f t="shared" si="9"/>
        <v>822</v>
      </c>
      <c r="S61" s="5">
        <f t="shared" si="9"/>
        <v>1571</v>
      </c>
      <c r="T61" s="5">
        <f t="shared" si="9"/>
        <v>1571</v>
      </c>
      <c r="AC61" s="23"/>
      <c r="AD61" s="23"/>
      <c r="AE61" s="23"/>
    </row>
    <row r="62" spans="1:31" x14ac:dyDescent="0.2">
      <c r="A62">
        <v>2023</v>
      </c>
      <c r="B62" s="5">
        <f t="shared" ref="B62:B68" si="13">ROUND((B61+(B$69-B$59)*1/($A$69-$A$59)),1)</f>
        <v>2579.6999999999998</v>
      </c>
      <c r="C62" s="5">
        <f t="shared" ref="C62:C68" si="14">ROUND((C61+(C$69-C$59)*1/($A$69-$A$59)),1)</f>
        <v>2005</v>
      </c>
      <c r="D62" s="5">
        <f t="shared" si="10"/>
        <v>1811.1</v>
      </c>
      <c r="E62" s="5">
        <f t="shared" si="11"/>
        <v>1816</v>
      </c>
      <c r="F62" s="5">
        <f t="shared" ref="F62:F68" si="15">ROUND((F61+(F$69-F$59)*1/($A$69-$A$59)),1)</f>
        <v>1290.7</v>
      </c>
      <c r="G62" s="5">
        <f t="shared" ref="G62:G68" si="16">ROUND((G61+(G$69-G$59)*1/($A$69-$A$59)),1)</f>
        <v>1146.3</v>
      </c>
      <c r="H62" s="5">
        <f t="shared" ref="H62:H68" si="17">ROUND((H61+(H$69-H$59)*1/($A$69-$A$59)),1)</f>
        <v>1555</v>
      </c>
      <c r="I62" s="5">
        <f t="shared" ref="I62:I68" si="18">ROUND((I61+(I$69-I$59)*1/($A$69-$A$59)),1)</f>
        <v>1259.9000000000001</v>
      </c>
      <c r="L62">
        <v>2023</v>
      </c>
      <c r="M62" s="5">
        <f t="shared" si="12"/>
        <v>1889</v>
      </c>
      <c r="N62" s="5">
        <f t="shared" si="9"/>
        <v>1733</v>
      </c>
      <c r="O62" s="5">
        <f t="shared" si="9"/>
        <v>1495</v>
      </c>
      <c r="P62" s="5">
        <f t="shared" si="9"/>
        <v>1269</v>
      </c>
      <c r="Q62" s="5">
        <f t="shared" si="9"/>
        <v>988</v>
      </c>
      <c r="R62" s="5">
        <f t="shared" si="9"/>
        <v>812</v>
      </c>
      <c r="S62" s="5">
        <f t="shared" si="9"/>
        <v>1548</v>
      </c>
      <c r="T62" s="5">
        <f t="shared" si="9"/>
        <v>1548</v>
      </c>
      <c r="AC62" s="23"/>
      <c r="AD62" s="23"/>
      <c r="AE62" s="23"/>
    </row>
    <row r="63" spans="1:31" x14ac:dyDescent="0.2">
      <c r="A63">
        <v>2024</v>
      </c>
      <c r="B63" s="5">
        <f t="shared" si="13"/>
        <v>2578.6</v>
      </c>
      <c r="C63" s="5">
        <f t="shared" si="14"/>
        <v>2004</v>
      </c>
      <c r="D63" s="5">
        <f t="shared" si="10"/>
        <v>1807.8</v>
      </c>
      <c r="E63" s="5">
        <f t="shared" si="11"/>
        <v>1813</v>
      </c>
      <c r="F63" s="5">
        <f t="shared" si="15"/>
        <v>1288.5999999999999</v>
      </c>
      <c r="G63" s="5">
        <f t="shared" si="16"/>
        <v>1144.4000000000001</v>
      </c>
      <c r="H63" s="5">
        <f t="shared" si="17"/>
        <v>1552</v>
      </c>
      <c r="I63" s="5">
        <f t="shared" si="18"/>
        <v>1258.2</v>
      </c>
      <c r="L63">
        <v>2024</v>
      </c>
      <c r="M63" s="5">
        <f t="shared" si="12"/>
        <v>1867</v>
      </c>
      <c r="N63" s="5">
        <f t="shared" si="9"/>
        <v>1713</v>
      </c>
      <c r="O63" s="5">
        <f t="shared" si="9"/>
        <v>1477</v>
      </c>
      <c r="P63" s="5">
        <f t="shared" si="9"/>
        <v>1254</v>
      </c>
      <c r="Q63" s="5">
        <f t="shared" si="9"/>
        <v>976</v>
      </c>
      <c r="R63" s="5">
        <f t="shared" si="9"/>
        <v>802</v>
      </c>
      <c r="S63" s="5">
        <f t="shared" si="9"/>
        <v>1525</v>
      </c>
      <c r="T63" s="5">
        <f t="shared" si="9"/>
        <v>1525</v>
      </c>
      <c r="AC63" s="23"/>
      <c r="AD63" s="23"/>
      <c r="AE63" s="23"/>
    </row>
    <row r="64" spans="1:31" x14ac:dyDescent="0.2">
      <c r="A64" s="8">
        <v>2025</v>
      </c>
      <c r="B64" s="5">
        <f t="shared" si="13"/>
        <v>2577.5</v>
      </c>
      <c r="C64" s="5">
        <f t="shared" si="14"/>
        <v>2003</v>
      </c>
      <c r="D64" s="5">
        <f t="shared" si="10"/>
        <v>1804.5</v>
      </c>
      <c r="E64" s="5">
        <f t="shared" si="11"/>
        <v>1810</v>
      </c>
      <c r="F64" s="5">
        <f t="shared" si="15"/>
        <v>1286.5</v>
      </c>
      <c r="G64" s="5">
        <f t="shared" si="16"/>
        <v>1142.5</v>
      </c>
      <c r="H64" s="5">
        <f t="shared" si="17"/>
        <v>1549</v>
      </c>
      <c r="I64" s="5">
        <f t="shared" si="18"/>
        <v>1256.5</v>
      </c>
      <c r="L64" s="1">
        <v>2025</v>
      </c>
      <c r="M64" s="10">
        <f>(2250*$C$33)/AC64</f>
        <v>1846.6797843294567</v>
      </c>
      <c r="N64" s="10">
        <f>(2063*$C$33)/AC64</f>
        <v>1693.2001755874085</v>
      </c>
      <c r="O64" s="10">
        <f>(1777*$C$33)/AC64</f>
        <v>1458.4666563348642</v>
      </c>
      <c r="P64" s="10">
        <f>(1507*$C$33)/AC64</f>
        <v>1236.8650822153295</v>
      </c>
      <c r="Q64" s="10">
        <f>(1174*$C$33)/AC64</f>
        <v>963.55647413456984</v>
      </c>
      <c r="R64" s="10">
        <f>(965*$C$33)/AC64</f>
        <v>792.02044083463363</v>
      </c>
      <c r="S64" s="10">
        <f>(1832*$C$33)/AC64</f>
        <v>1503.6077177295842</v>
      </c>
      <c r="T64" s="10">
        <f>(1832*$C$33)/AC64</f>
        <v>1503.6077177295842</v>
      </c>
      <c r="X64" s="23" t="s">
        <v>77</v>
      </c>
      <c r="AC64" s="23">
        <f>1.025 ^(AD64-AE64)</f>
        <v>1.2184028975099177</v>
      </c>
      <c r="AD64" s="23">
        <f>L64</f>
        <v>2025</v>
      </c>
      <c r="AE64" s="23">
        <f>AE59</f>
        <v>2017</v>
      </c>
    </row>
    <row r="65" spans="1:31" x14ac:dyDescent="0.2">
      <c r="A65">
        <v>2026</v>
      </c>
      <c r="B65" s="5">
        <f t="shared" si="13"/>
        <v>2576.4</v>
      </c>
      <c r="C65" s="5">
        <f t="shared" si="14"/>
        <v>2002</v>
      </c>
      <c r="D65" s="5">
        <f t="shared" si="10"/>
        <v>1801.2</v>
      </c>
      <c r="E65" s="5">
        <f t="shared" si="11"/>
        <v>1807</v>
      </c>
      <c r="F65" s="5">
        <f t="shared" si="15"/>
        <v>1284.4000000000001</v>
      </c>
      <c r="G65" s="5">
        <f t="shared" si="16"/>
        <v>1140.5999999999999</v>
      </c>
      <c r="H65" s="5">
        <f t="shared" si="17"/>
        <v>1546</v>
      </c>
      <c r="I65" s="5">
        <f t="shared" si="18"/>
        <v>1254.8</v>
      </c>
      <c r="L65">
        <v>2026</v>
      </c>
      <c r="M65" s="5">
        <f>ROUND((M64+(M$69-M$64)*1/($L$69-$L$64)),0)</f>
        <v>1833</v>
      </c>
      <c r="N65" s="5">
        <f t="shared" ref="N65:T68" si="19">ROUND((N64+(N$69-N$64)*1/($L$69-$L$64)),0)</f>
        <v>1680</v>
      </c>
      <c r="O65" s="5">
        <f t="shared" si="19"/>
        <v>1447</v>
      </c>
      <c r="P65" s="5">
        <f t="shared" si="19"/>
        <v>1227</v>
      </c>
      <c r="Q65" s="5">
        <f t="shared" si="19"/>
        <v>955</v>
      </c>
      <c r="R65" s="5">
        <f t="shared" si="19"/>
        <v>785</v>
      </c>
      <c r="S65" s="5">
        <f t="shared" si="19"/>
        <v>1490</v>
      </c>
      <c r="T65" s="5">
        <f t="shared" si="19"/>
        <v>1490</v>
      </c>
      <c r="AC65" s="23"/>
      <c r="AD65" s="23"/>
      <c r="AE65" s="23"/>
    </row>
    <row r="66" spans="1:31" x14ac:dyDescent="0.2">
      <c r="A66">
        <v>2027</v>
      </c>
      <c r="B66" s="5">
        <f t="shared" ref="B66:I66" si="20">ROUND((B65+(B$69-B$59)*1/($A$69-$A$59)),1)</f>
        <v>2575.3000000000002</v>
      </c>
      <c r="C66" s="5">
        <f t="shared" si="20"/>
        <v>2001</v>
      </c>
      <c r="D66" s="5">
        <f t="shared" si="20"/>
        <v>1797.9</v>
      </c>
      <c r="E66" s="5">
        <f t="shared" si="20"/>
        <v>1804</v>
      </c>
      <c r="F66" s="5">
        <f t="shared" si="20"/>
        <v>1282.3</v>
      </c>
      <c r="G66" s="5">
        <f t="shared" si="20"/>
        <v>1138.7</v>
      </c>
      <c r="H66" s="5">
        <f t="shared" si="20"/>
        <v>1543</v>
      </c>
      <c r="I66" s="5">
        <f t="shared" si="20"/>
        <v>1253.0999999999999</v>
      </c>
      <c r="L66">
        <v>2027</v>
      </c>
      <c r="M66" s="5">
        <f t="shared" ref="M66:M68" si="21">ROUND((M65+(M$69-M$64)*1/($L$69-$L$64)),0)</f>
        <v>1819</v>
      </c>
      <c r="N66" s="5">
        <f t="shared" si="19"/>
        <v>1667</v>
      </c>
      <c r="O66" s="5">
        <f t="shared" si="19"/>
        <v>1435</v>
      </c>
      <c r="P66" s="5">
        <f t="shared" si="19"/>
        <v>1217</v>
      </c>
      <c r="Q66" s="5">
        <f t="shared" si="19"/>
        <v>947</v>
      </c>
      <c r="R66" s="5">
        <f t="shared" si="19"/>
        <v>778</v>
      </c>
      <c r="S66" s="5">
        <f t="shared" si="19"/>
        <v>1476</v>
      </c>
      <c r="T66" s="5">
        <f t="shared" si="19"/>
        <v>1476</v>
      </c>
      <c r="AC66" s="23"/>
      <c r="AD66" s="23"/>
      <c r="AE66" s="23"/>
    </row>
    <row r="67" spans="1:31" x14ac:dyDescent="0.2">
      <c r="A67">
        <v>2028</v>
      </c>
      <c r="B67" s="5">
        <f t="shared" si="13"/>
        <v>2574.1999999999998</v>
      </c>
      <c r="C67" s="5">
        <f t="shared" si="14"/>
        <v>2000</v>
      </c>
      <c r="D67" s="5">
        <f t="shared" si="10"/>
        <v>1794.6</v>
      </c>
      <c r="E67" s="5">
        <f t="shared" si="11"/>
        <v>1801</v>
      </c>
      <c r="F67" s="5">
        <f t="shared" si="15"/>
        <v>1280.2</v>
      </c>
      <c r="G67" s="5">
        <f t="shared" si="16"/>
        <v>1136.8</v>
      </c>
      <c r="H67" s="5">
        <f t="shared" si="17"/>
        <v>1540</v>
      </c>
      <c r="I67" s="5">
        <f t="shared" si="18"/>
        <v>1251.4000000000001</v>
      </c>
      <c r="L67">
        <v>2028</v>
      </c>
      <c r="M67" s="5">
        <f t="shared" si="21"/>
        <v>1805</v>
      </c>
      <c r="N67" s="5">
        <f t="shared" si="19"/>
        <v>1654</v>
      </c>
      <c r="O67" s="5">
        <f t="shared" si="19"/>
        <v>1423</v>
      </c>
      <c r="P67" s="5">
        <f t="shared" si="19"/>
        <v>1207</v>
      </c>
      <c r="Q67" s="5">
        <f t="shared" si="19"/>
        <v>939</v>
      </c>
      <c r="R67" s="5">
        <f t="shared" si="19"/>
        <v>771</v>
      </c>
      <c r="S67" s="5">
        <f t="shared" si="19"/>
        <v>1462</v>
      </c>
      <c r="T67" s="5">
        <f t="shared" si="19"/>
        <v>1462</v>
      </c>
      <c r="AC67" s="23"/>
      <c r="AD67" s="23"/>
      <c r="AE67" s="23"/>
    </row>
    <row r="68" spans="1:31" x14ac:dyDescent="0.2">
      <c r="A68">
        <v>2029</v>
      </c>
      <c r="B68" s="5">
        <f t="shared" si="13"/>
        <v>2573.1</v>
      </c>
      <c r="C68" s="5">
        <f t="shared" si="14"/>
        <v>1999</v>
      </c>
      <c r="D68" s="5">
        <f t="shared" si="10"/>
        <v>1791.3</v>
      </c>
      <c r="E68" s="5">
        <f t="shared" si="11"/>
        <v>1798</v>
      </c>
      <c r="F68" s="5">
        <f t="shared" si="15"/>
        <v>1278.0999999999999</v>
      </c>
      <c r="G68" s="5">
        <f t="shared" si="16"/>
        <v>1134.9000000000001</v>
      </c>
      <c r="H68" s="5">
        <f t="shared" si="17"/>
        <v>1537</v>
      </c>
      <c r="I68" s="5">
        <f t="shared" si="18"/>
        <v>1249.7</v>
      </c>
      <c r="L68">
        <v>2029</v>
      </c>
      <c r="M68" s="5">
        <f t="shared" si="21"/>
        <v>1791</v>
      </c>
      <c r="N68" s="5">
        <f t="shared" si="19"/>
        <v>1641</v>
      </c>
      <c r="O68" s="5">
        <f t="shared" si="19"/>
        <v>1411</v>
      </c>
      <c r="P68" s="5">
        <f t="shared" si="19"/>
        <v>1197</v>
      </c>
      <c r="Q68" s="5">
        <f t="shared" si="19"/>
        <v>931</v>
      </c>
      <c r="R68" s="5">
        <f t="shared" si="19"/>
        <v>764</v>
      </c>
      <c r="S68" s="5">
        <f t="shared" si="19"/>
        <v>1448</v>
      </c>
      <c r="T68" s="5">
        <f t="shared" si="19"/>
        <v>1448</v>
      </c>
      <c r="AC68" s="23"/>
      <c r="AD68" s="23"/>
      <c r="AE68" s="23"/>
    </row>
    <row r="69" spans="1:31" x14ac:dyDescent="0.2">
      <c r="A69" s="1">
        <v>2030</v>
      </c>
      <c r="B69" s="10">
        <f>(Tables!B112*$B$33)</f>
        <v>2572</v>
      </c>
      <c r="C69" s="10">
        <f>(Tables!C112*$B$33)</f>
        <v>1998</v>
      </c>
      <c r="D69" s="10">
        <f>(Tables!D112*$B$33)</f>
        <v>1788</v>
      </c>
      <c r="E69" s="10">
        <f>(Tables!E112*$B$33)</f>
        <v>1795</v>
      </c>
      <c r="F69" s="10">
        <f>(Tables!F112*$B$33)</f>
        <v>1276</v>
      </c>
      <c r="G69" s="10">
        <f>(Tables!G112*$B$33)</f>
        <v>1133</v>
      </c>
      <c r="H69" s="10">
        <f>(Tables!H112*$B$33)</f>
        <v>1534</v>
      </c>
      <c r="I69" s="10">
        <f>(Tables!I112*$B$33)</f>
        <v>1248</v>
      </c>
      <c r="L69" s="1">
        <v>2030</v>
      </c>
      <c r="M69" s="10">
        <f>(2449*$C$33)/AC69</f>
        <v>1776.5544999765468</v>
      </c>
      <c r="N69" s="10">
        <f>(2246*$C$33)/AC69</f>
        <v>1629.294163718793</v>
      </c>
      <c r="O69" s="10">
        <f>(1929*$C$33)/AC69</f>
        <v>1399.3359046364878</v>
      </c>
      <c r="P69" s="10">
        <f>(1635*$C$33)/AC69</f>
        <v>1186.0623141942237</v>
      </c>
      <c r="Q69" s="10">
        <f>(1272*$C$33)/AC69</f>
        <v>922.73471783183641</v>
      </c>
      <c r="R69" s="10">
        <f>(1046*$C$33)/AC69</f>
        <v>758.78971293404163</v>
      </c>
      <c r="S69" s="10">
        <f>(1976*$C$33)/AC69</f>
        <v>1433.4306622922238</v>
      </c>
      <c r="T69" s="10">
        <f>(1976*$C$33)/AC69</f>
        <v>1433.4306622922238</v>
      </c>
      <c r="X69" s="23" t="s">
        <v>77</v>
      </c>
      <c r="AC69" s="23">
        <f>1.025 ^(AD69-AE69)</f>
        <v>1.3785110448524549</v>
      </c>
      <c r="AD69" s="23">
        <f>L69</f>
        <v>2030</v>
      </c>
      <c r="AE69" s="23">
        <f>AE59</f>
        <v>2017</v>
      </c>
    </row>
    <row r="70" spans="1:31" x14ac:dyDescent="0.2">
      <c r="A70">
        <v>2031</v>
      </c>
      <c r="B70" s="5">
        <f>ROUND((B69+(B$79-B$69)*1/($A$79-$A$69)),1)</f>
        <v>2570.6999999999998</v>
      </c>
      <c r="C70" s="5">
        <f t="shared" ref="C70:I70" si="22">ROUND((C69+(C$79-C$69)*1/($A$79-$A$69)),1)</f>
        <v>1997.1</v>
      </c>
      <c r="D70" s="5">
        <f t="shared" si="22"/>
        <v>1784.9</v>
      </c>
      <c r="E70" s="5">
        <f t="shared" si="22"/>
        <v>1792</v>
      </c>
      <c r="F70" s="5">
        <f t="shared" si="22"/>
        <v>1273.9000000000001</v>
      </c>
      <c r="G70" s="5">
        <f t="shared" si="22"/>
        <v>1131.2</v>
      </c>
      <c r="H70" s="5">
        <f t="shared" si="22"/>
        <v>1530.9</v>
      </c>
      <c r="I70" s="5">
        <f t="shared" si="22"/>
        <v>1245.5</v>
      </c>
      <c r="L70" s="8">
        <v>2031</v>
      </c>
      <c r="M70" s="5">
        <f t="shared" ref="M70:T73" si="23">ROUND((M69+(M$74-M$69)*1/($L$74-$L$69)),0)</f>
        <v>1763</v>
      </c>
      <c r="N70" s="5">
        <f t="shared" si="23"/>
        <v>1617</v>
      </c>
      <c r="O70" s="5">
        <f t="shared" si="23"/>
        <v>1388</v>
      </c>
      <c r="P70" s="5">
        <f t="shared" si="23"/>
        <v>1176</v>
      </c>
      <c r="Q70" s="5">
        <f t="shared" si="23"/>
        <v>915</v>
      </c>
      <c r="R70" s="5">
        <f t="shared" si="23"/>
        <v>752</v>
      </c>
      <c r="S70" s="5">
        <f t="shared" si="23"/>
        <v>1420</v>
      </c>
      <c r="T70" s="5">
        <f t="shared" si="23"/>
        <v>1420</v>
      </c>
      <c r="AC70" s="23"/>
      <c r="AD70" s="23"/>
      <c r="AE70" s="23"/>
    </row>
    <row r="71" spans="1:31" x14ac:dyDescent="0.2">
      <c r="A71">
        <v>2032</v>
      </c>
      <c r="B71" s="5">
        <f>ROUND((B70+(B$79-B$69)*1/($A$79-$A$69)),1)</f>
        <v>2569.4</v>
      </c>
      <c r="C71" s="5">
        <f t="shared" ref="C71:I71" si="24">ROUND((C70+(C$79-C$69)*1/($A$79-$A$69)),1)</f>
        <v>1996.2</v>
      </c>
      <c r="D71" s="5">
        <f t="shared" si="24"/>
        <v>1781.8</v>
      </c>
      <c r="E71" s="5">
        <f t="shared" si="24"/>
        <v>1789</v>
      </c>
      <c r="F71" s="5">
        <f t="shared" si="24"/>
        <v>1271.8</v>
      </c>
      <c r="G71" s="5">
        <f t="shared" si="24"/>
        <v>1129.4000000000001</v>
      </c>
      <c r="H71" s="5">
        <f t="shared" si="24"/>
        <v>1527.8</v>
      </c>
      <c r="I71" s="5">
        <f t="shared" si="24"/>
        <v>1243</v>
      </c>
      <c r="L71" s="8">
        <v>2032</v>
      </c>
      <c r="M71" s="5">
        <f t="shared" si="23"/>
        <v>1750</v>
      </c>
      <c r="N71" s="5">
        <f t="shared" si="23"/>
        <v>1605</v>
      </c>
      <c r="O71" s="5">
        <f t="shared" si="23"/>
        <v>1377</v>
      </c>
      <c r="P71" s="5">
        <f t="shared" si="23"/>
        <v>1166</v>
      </c>
      <c r="Q71" s="5">
        <f t="shared" si="23"/>
        <v>907</v>
      </c>
      <c r="R71" s="5">
        <f t="shared" si="23"/>
        <v>746</v>
      </c>
      <c r="S71" s="5">
        <f t="shared" si="23"/>
        <v>1407</v>
      </c>
      <c r="T71" s="5">
        <f t="shared" si="23"/>
        <v>1407</v>
      </c>
      <c r="AC71" s="23"/>
      <c r="AD71" s="23"/>
      <c r="AE71" s="23"/>
    </row>
    <row r="72" spans="1:31" x14ac:dyDescent="0.2">
      <c r="A72">
        <v>2033</v>
      </c>
      <c r="B72" s="5">
        <f t="shared" ref="B72:B78" si="25">ROUND((B71+(B$79-B$69)*1/($A$79-$A$69)),1)</f>
        <v>2568.1</v>
      </c>
      <c r="C72" s="5">
        <f t="shared" ref="C72:C78" si="26">ROUND((C71+(C$79-C$69)*1/($A$79-$A$69)),1)</f>
        <v>1995.3</v>
      </c>
      <c r="D72" s="5">
        <f t="shared" ref="D72:D78" si="27">ROUND((D71+(D$79-D$69)*1/($A$79-$A$69)),1)</f>
        <v>1778.7</v>
      </c>
      <c r="E72" s="5">
        <f t="shared" ref="E72:E78" si="28">ROUND((E71+(E$79-E$69)*1/($A$79-$A$69)),1)</f>
        <v>1786</v>
      </c>
      <c r="F72" s="5">
        <f t="shared" ref="F72:F78" si="29">ROUND((F71+(F$79-F$69)*1/($A$79-$A$69)),1)</f>
        <v>1269.7</v>
      </c>
      <c r="G72" s="5">
        <f t="shared" ref="G72:G78" si="30">ROUND((G71+(G$79-G$69)*1/($A$79-$A$69)),1)</f>
        <v>1127.5999999999999</v>
      </c>
      <c r="H72" s="5">
        <f t="shared" ref="H72:H78" si="31">ROUND((H71+(H$79-H$69)*1/($A$79-$A$69)),1)</f>
        <v>1524.7</v>
      </c>
      <c r="I72" s="5">
        <f t="shared" ref="I72:I78" si="32">ROUND((I71+(I$79-I$69)*1/($A$79-$A$69)),1)</f>
        <v>1240.5</v>
      </c>
      <c r="L72" s="8">
        <v>2033</v>
      </c>
      <c r="M72" s="5">
        <f t="shared" si="23"/>
        <v>1737</v>
      </c>
      <c r="N72" s="5">
        <f t="shared" si="23"/>
        <v>1593</v>
      </c>
      <c r="O72" s="5">
        <f t="shared" si="23"/>
        <v>1366</v>
      </c>
      <c r="P72" s="5">
        <f t="shared" si="23"/>
        <v>1156</v>
      </c>
      <c r="Q72" s="5">
        <f t="shared" si="23"/>
        <v>899</v>
      </c>
      <c r="R72" s="5">
        <f t="shared" si="23"/>
        <v>740</v>
      </c>
      <c r="S72" s="5">
        <f t="shared" si="23"/>
        <v>1394</v>
      </c>
      <c r="T72" s="5">
        <f t="shared" si="23"/>
        <v>1394</v>
      </c>
      <c r="AC72" s="23"/>
      <c r="AD72" s="23"/>
      <c r="AE72" s="23"/>
    </row>
    <row r="73" spans="1:31" x14ac:dyDescent="0.2">
      <c r="A73">
        <v>2034</v>
      </c>
      <c r="B73" s="5">
        <f t="shared" si="25"/>
        <v>2566.8000000000002</v>
      </c>
      <c r="C73" s="5">
        <f t="shared" si="26"/>
        <v>1994.4</v>
      </c>
      <c r="D73" s="5">
        <f t="shared" si="27"/>
        <v>1775.6</v>
      </c>
      <c r="E73" s="5">
        <f t="shared" si="28"/>
        <v>1783</v>
      </c>
      <c r="F73" s="5">
        <f t="shared" si="29"/>
        <v>1267.5999999999999</v>
      </c>
      <c r="G73" s="5">
        <f t="shared" si="30"/>
        <v>1125.8</v>
      </c>
      <c r="H73" s="5">
        <f t="shared" si="31"/>
        <v>1521.6</v>
      </c>
      <c r="I73" s="5">
        <f t="shared" si="32"/>
        <v>1238</v>
      </c>
      <c r="L73" s="8">
        <v>2034</v>
      </c>
      <c r="M73" s="5">
        <f t="shared" si="23"/>
        <v>1724</v>
      </c>
      <c r="N73" s="5">
        <f t="shared" si="23"/>
        <v>1581</v>
      </c>
      <c r="O73" s="5">
        <f t="shared" si="23"/>
        <v>1355</v>
      </c>
      <c r="P73" s="5">
        <f t="shared" si="23"/>
        <v>1146</v>
      </c>
      <c r="Q73" s="5">
        <f t="shared" si="23"/>
        <v>891</v>
      </c>
      <c r="R73" s="5">
        <f t="shared" si="23"/>
        <v>734</v>
      </c>
      <c r="S73" s="5">
        <f t="shared" si="23"/>
        <v>1381</v>
      </c>
      <c r="T73" s="5">
        <f t="shared" si="23"/>
        <v>1381</v>
      </c>
      <c r="AC73" s="23"/>
      <c r="AD73" s="23"/>
      <c r="AE73" s="23"/>
    </row>
    <row r="74" spans="1:31" x14ac:dyDescent="0.2">
      <c r="A74" s="8">
        <v>2035</v>
      </c>
      <c r="B74" s="5">
        <f>ROUND((B73+(B$79-B$69)*1/($A$79-$A$69)),1)</f>
        <v>2565.5</v>
      </c>
      <c r="C74" s="5">
        <f t="shared" si="26"/>
        <v>1993.5</v>
      </c>
      <c r="D74" s="5">
        <f>ROUND((D73+(D$79-D$69)*1/($A$79-$A$69)),1)</f>
        <v>1772.5</v>
      </c>
      <c r="E74" s="5">
        <f>ROUND((E73+(E$79-E$69)*1/($A$79-$A$69)),1)</f>
        <v>1780</v>
      </c>
      <c r="F74" s="5">
        <f t="shared" si="29"/>
        <v>1265.5</v>
      </c>
      <c r="G74" s="5">
        <f t="shared" si="30"/>
        <v>1124</v>
      </c>
      <c r="H74" s="5">
        <f t="shared" si="31"/>
        <v>1518.5</v>
      </c>
      <c r="I74" s="5">
        <f t="shared" si="32"/>
        <v>1235.5</v>
      </c>
      <c r="L74" s="1">
        <v>2035</v>
      </c>
      <c r="M74" s="10">
        <f>(2666*$C$33)/AC74</f>
        <v>1709.3483143032622</v>
      </c>
      <c r="N74" s="10">
        <f>(2444*$C$33)/AC74</f>
        <v>1567.0094824295472</v>
      </c>
      <c r="O74" s="10">
        <f>(2094*$C$33)/AC74</f>
        <v>1342.6014141601765</v>
      </c>
      <c r="P74" s="10">
        <f>(1773*$C$33)/AC74</f>
        <v>1136.7871572616968</v>
      </c>
      <c r="Q74" s="10">
        <f>(1379*$C$33)/AC74</f>
        <v>884.16778898131975</v>
      </c>
      <c r="R74" s="10">
        <f>(1134*$C$33)/AC74</f>
        <v>727.08214119276045</v>
      </c>
      <c r="S74" s="10">
        <f>(2132*$C$33)/AC74</f>
        <v>1366.965718715137</v>
      </c>
      <c r="T74" s="10">
        <f>(2132*$C$33)/AC74</f>
        <v>1366.965718715137</v>
      </c>
      <c r="X74" s="23" t="s">
        <v>77</v>
      </c>
      <c r="AC74" s="23">
        <f>1.025 ^(AD74-AE74)</f>
        <v>1.559658717706504</v>
      </c>
      <c r="AD74" s="23">
        <f>L74</f>
        <v>2035</v>
      </c>
      <c r="AE74" s="23">
        <f>AE59</f>
        <v>2017</v>
      </c>
    </row>
    <row r="75" spans="1:31" x14ac:dyDescent="0.2">
      <c r="A75">
        <v>2036</v>
      </c>
      <c r="B75" s="5">
        <f>ROUND((B74+(B$79-B$69)*1/($A$79-$A$69)),1)</f>
        <v>2564.1999999999998</v>
      </c>
      <c r="C75" s="5">
        <f t="shared" si="26"/>
        <v>1992.6</v>
      </c>
      <c r="D75" s="5">
        <f t="shared" si="27"/>
        <v>1769.4</v>
      </c>
      <c r="E75" s="5">
        <f>ROUND((E74+(E$79-E$69)*1/($A$79-$A$69)),1)</f>
        <v>1777</v>
      </c>
      <c r="F75" s="5">
        <f t="shared" si="29"/>
        <v>1263.4000000000001</v>
      </c>
      <c r="G75" s="5">
        <f t="shared" si="30"/>
        <v>1122.2</v>
      </c>
      <c r="H75" s="5">
        <f>ROUND((H74+(H$79-H$69)*1/($A$79-$A$69)),1)</f>
        <v>1515.4</v>
      </c>
      <c r="I75" s="5">
        <f>ROUND((I74+(I$79-I$69)*1/($A$79-$A$69)),1)</f>
        <v>1233</v>
      </c>
      <c r="L75" s="8">
        <v>2036</v>
      </c>
      <c r="M75" s="5">
        <f>ROUND((M74+(M$79-M$74)*1/($L$79-$L$74)),0)</f>
        <v>1696</v>
      </c>
      <c r="N75" s="5">
        <f t="shared" ref="N75:T78" si="33">ROUND((N74+(N$79-N$74)*1/($L$79-$L$74)),0)</f>
        <v>1555</v>
      </c>
      <c r="O75" s="5">
        <f t="shared" si="33"/>
        <v>1332</v>
      </c>
      <c r="P75" s="5">
        <f t="shared" si="33"/>
        <v>1127</v>
      </c>
      <c r="Q75" s="5">
        <f t="shared" si="33"/>
        <v>877</v>
      </c>
      <c r="R75" s="5">
        <f t="shared" si="33"/>
        <v>721</v>
      </c>
      <c r="S75" s="5">
        <f t="shared" si="33"/>
        <v>1352</v>
      </c>
      <c r="T75" s="5">
        <f t="shared" si="33"/>
        <v>1352</v>
      </c>
      <c r="AC75" s="23"/>
      <c r="AD75" s="23"/>
      <c r="AE75" s="23"/>
    </row>
    <row r="76" spans="1:31" x14ac:dyDescent="0.2">
      <c r="A76">
        <v>2037</v>
      </c>
      <c r="B76" s="5">
        <f t="shared" si="25"/>
        <v>2562.9</v>
      </c>
      <c r="C76" s="5">
        <f t="shared" si="26"/>
        <v>1991.7</v>
      </c>
      <c r="D76" s="5">
        <f t="shared" si="27"/>
        <v>1766.3</v>
      </c>
      <c r="E76" s="5">
        <f t="shared" si="28"/>
        <v>1774</v>
      </c>
      <c r="F76" s="5">
        <f t="shared" si="29"/>
        <v>1261.3</v>
      </c>
      <c r="G76" s="5">
        <f t="shared" si="30"/>
        <v>1120.4000000000001</v>
      </c>
      <c r="H76" s="5">
        <f t="shared" si="31"/>
        <v>1512.3</v>
      </c>
      <c r="I76" s="5">
        <f t="shared" si="32"/>
        <v>1230.5</v>
      </c>
      <c r="L76" s="8">
        <v>2037</v>
      </c>
      <c r="M76" s="5">
        <f>ROUND((M75+(M$79-M$74)*1/($L$79-$L$74)),0)</f>
        <v>1683</v>
      </c>
      <c r="N76" s="5">
        <f t="shared" si="33"/>
        <v>1543</v>
      </c>
      <c r="O76" s="5">
        <f t="shared" si="33"/>
        <v>1321</v>
      </c>
      <c r="P76" s="5">
        <f t="shared" si="33"/>
        <v>1118</v>
      </c>
      <c r="Q76" s="5">
        <f t="shared" si="33"/>
        <v>870</v>
      </c>
      <c r="R76" s="5">
        <f t="shared" si="33"/>
        <v>715</v>
      </c>
      <c r="S76" s="5">
        <f t="shared" si="33"/>
        <v>1337</v>
      </c>
      <c r="T76" s="5">
        <f t="shared" si="33"/>
        <v>1337</v>
      </c>
      <c r="AC76" s="23"/>
      <c r="AD76" s="23"/>
      <c r="AE76" s="23"/>
    </row>
    <row r="77" spans="1:31" x14ac:dyDescent="0.2">
      <c r="A77">
        <v>2038</v>
      </c>
      <c r="B77" s="5">
        <f t="shared" si="25"/>
        <v>2561.6</v>
      </c>
      <c r="C77" s="5">
        <f t="shared" si="26"/>
        <v>1990.8</v>
      </c>
      <c r="D77" s="5">
        <f t="shared" si="27"/>
        <v>1763.2</v>
      </c>
      <c r="E77" s="5">
        <f t="shared" si="28"/>
        <v>1771</v>
      </c>
      <c r="F77" s="5">
        <f t="shared" si="29"/>
        <v>1259.2</v>
      </c>
      <c r="G77" s="5">
        <f t="shared" si="30"/>
        <v>1118.5999999999999</v>
      </c>
      <c r="H77" s="5">
        <f t="shared" si="31"/>
        <v>1509.2</v>
      </c>
      <c r="I77" s="5">
        <f t="shared" si="32"/>
        <v>1228</v>
      </c>
      <c r="L77" s="8">
        <v>2038</v>
      </c>
      <c r="M77" s="5">
        <f t="shared" ref="M77:M78" si="34">ROUND((M76+(M$79-M$74)*1/($L$79-$L$74)),0)</f>
        <v>1670</v>
      </c>
      <c r="N77" s="5">
        <f t="shared" si="33"/>
        <v>1531</v>
      </c>
      <c r="O77" s="5">
        <f t="shared" si="33"/>
        <v>1310</v>
      </c>
      <c r="P77" s="5">
        <f t="shared" si="33"/>
        <v>1109</v>
      </c>
      <c r="Q77" s="5">
        <f t="shared" si="33"/>
        <v>863</v>
      </c>
      <c r="R77" s="5">
        <f t="shared" si="33"/>
        <v>709</v>
      </c>
      <c r="S77" s="5">
        <f t="shared" si="33"/>
        <v>1322</v>
      </c>
      <c r="T77" s="5">
        <f t="shared" si="33"/>
        <v>1322</v>
      </c>
      <c r="AC77" s="23"/>
      <c r="AD77" s="23"/>
      <c r="AE77" s="23"/>
    </row>
    <row r="78" spans="1:31" x14ac:dyDescent="0.2">
      <c r="A78">
        <v>2039</v>
      </c>
      <c r="B78" s="5">
        <f t="shared" si="25"/>
        <v>2560.3000000000002</v>
      </c>
      <c r="C78" s="5">
        <f t="shared" si="26"/>
        <v>1989.9</v>
      </c>
      <c r="D78" s="5">
        <f t="shared" si="27"/>
        <v>1760.1</v>
      </c>
      <c r="E78" s="5">
        <f t="shared" si="28"/>
        <v>1768</v>
      </c>
      <c r="F78" s="5">
        <f t="shared" si="29"/>
        <v>1257.0999999999999</v>
      </c>
      <c r="G78" s="5">
        <f t="shared" si="30"/>
        <v>1116.8</v>
      </c>
      <c r="H78" s="5">
        <f t="shared" si="31"/>
        <v>1506.1</v>
      </c>
      <c r="I78" s="5">
        <f t="shared" si="32"/>
        <v>1225.5</v>
      </c>
      <c r="L78" s="8">
        <v>2039</v>
      </c>
      <c r="M78" s="5">
        <f t="shared" si="34"/>
        <v>1657</v>
      </c>
      <c r="N78" s="5">
        <f t="shared" si="33"/>
        <v>1519</v>
      </c>
      <c r="O78" s="5">
        <f t="shared" si="33"/>
        <v>1299</v>
      </c>
      <c r="P78" s="5">
        <f t="shared" si="33"/>
        <v>1100</v>
      </c>
      <c r="Q78" s="5">
        <f t="shared" si="33"/>
        <v>856</v>
      </c>
      <c r="R78" s="5">
        <f t="shared" si="33"/>
        <v>703</v>
      </c>
      <c r="S78" s="5">
        <f t="shared" si="33"/>
        <v>1307</v>
      </c>
      <c r="T78" s="5">
        <f t="shared" si="33"/>
        <v>1307</v>
      </c>
      <c r="AC78" s="23"/>
      <c r="AD78" s="23"/>
      <c r="AE78" s="23"/>
    </row>
    <row r="79" spans="1:31" x14ac:dyDescent="0.2">
      <c r="A79" s="1">
        <v>2040</v>
      </c>
      <c r="B79" s="10">
        <f>(Tables!B141*$B$33)</f>
        <v>2559</v>
      </c>
      <c r="C79" s="10">
        <f>(Tables!C141*$B$33)</f>
        <v>1989</v>
      </c>
      <c r="D79" s="10">
        <f>(Tables!D141*$B$33)</f>
        <v>1757</v>
      </c>
      <c r="E79" s="10">
        <f>(Tables!E141*$B$33)</f>
        <v>1765</v>
      </c>
      <c r="F79" s="10">
        <f>(Tables!F141*$B$33)</f>
        <v>1255</v>
      </c>
      <c r="G79" s="10">
        <f>(Tables!G141*$B$33)</f>
        <v>1115</v>
      </c>
      <c r="H79" s="10">
        <f>(Tables!H141*$B$33)</f>
        <v>1503</v>
      </c>
      <c r="I79" s="10">
        <f>(Tables!I141*$B$33)</f>
        <v>1223</v>
      </c>
      <c r="L79" s="1">
        <v>2040</v>
      </c>
      <c r="M79" s="10">
        <f>(2902*$C$33)/AC79</f>
        <v>1644.5553847925139</v>
      </c>
      <c r="N79" s="10">
        <f>(2660*$C$33)/AC79</f>
        <v>1507.4146531867978</v>
      </c>
      <c r="O79" s="10">
        <f>(2273*$C$33)/AC79</f>
        <v>1288.1028220652599</v>
      </c>
      <c r="P79" s="10">
        <f>(1924*$C$33)/AC79</f>
        <v>1090.3254859892477</v>
      </c>
      <c r="Q79" s="10">
        <f>(1496*$C$33)/AC79</f>
        <v>847.77906810806371</v>
      </c>
      <c r="R79" s="10">
        <f>(1230*$C$33)/AC79</f>
        <v>697.03760278938398</v>
      </c>
      <c r="S79" s="10">
        <f>(2284*$C$33)/AC79</f>
        <v>1294.3364916837015</v>
      </c>
      <c r="T79" s="10">
        <f>(2284*$C$33)/AC79</f>
        <v>1294.3364916837015</v>
      </c>
      <c r="X79" s="23" t="s">
        <v>77</v>
      </c>
      <c r="AC79" s="23">
        <f>1.025 ^(AD79-AE79)</f>
        <v>1.7646106825195991</v>
      </c>
      <c r="AD79" s="23">
        <f>L79</f>
        <v>2040</v>
      </c>
      <c r="AE79" s="23">
        <f>AE59</f>
        <v>2017</v>
      </c>
    </row>
    <row r="80" spans="1:31" x14ac:dyDescent="0.2">
      <c r="A80">
        <v>2041</v>
      </c>
      <c r="B80" s="5">
        <f>ROUND((B79+(B$89-B$79)*1/($A$89-$A$79)),1)</f>
        <v>2558.4</v>
      </c>
      <c r="C80" s="5">
        <f t="shared" ref="C80:I80" si="35">ROUND((C79+(C$89-C$79)*1/($A$89-$A$79)),1)</f>
        <v>1988.5</v>
      </c>
      <c r="D80" s="5">
        <f t="shared" si="35"/>
        <v>1755.4</v>
      </c>
      <c r="E80" s="5">
        <f t="shared" si="35"/>
        <v>1763.6</v>
      </c>
      <c r="F80" s="5">
        <f t="shared" si="35"/>
        <v>1254</v>
      </c>
      <c r="G80" s="5">
        <f t="shared" si="35"/>
        <v>1114.0999999999999</v>
      </c>
      <c r="H80" s="5">
        <f t="shared" si="35"/>
        <v>1500.9</v>
      </c>
      <c r="I80" s="5">
        <f t="shared" si="35"/>
        <v>1221.8</v>
      </c>
      <c r="L80" s="8">
        <v>2041</v>
      </c>
      <c r="M80" s="5">
        <f>ROUND((M79+(M$84-M$79)*1/($L$84-$L$79)),0)</f>
        <v>1606</v>
      </c>
      <c r="N80" s="5">
        <f t="shared" ref="N80:T83" si="36">ROUND((N79+(N$84-N$79)*1/($L$84-$L$79)),0)</f>
        <v>1472</v>
      </c>
      <c r="O80" s="5">
        <f t="shared" si="36"/>
        <v>1258</v>
      </c>
      <c r="P80" s="5">
        <f t="shared" si="36"/>
        <v>1065</v>
      </c>
      <c r="Q80" s="5">
        <f t="shared" si="36"/>
        <v>828</v>
      </c>
      <c r="R80" s="5">
        <f t="shared" si="36"/>
        <v>681</v>
      </c>
      <c r="S80" s="5">
        <f t="shared" si="36"/>
        <v>1264</v>
      </c>
      <c r="T80" s="5">
        <f t="shared" si="36"/>
        <v>1264</v>
      </c>
    </row>
    <row r="81" spans="1:31" x14ac:dyDescent="0.2">
      <c r="A81">
        <v>2042</v>
      </c>
      <c r="B81" s="5">
        <f>ROUND((B80+(B$89-B$79)*1/($A$89-$A$79)),1)</f>
        <v>2557.8000000000002</v>
      </c>
      <c r="C81" s="5">
        <f>ROUND((C80+(C$89-C$79)*1/($A$89-$A$79)),1)</f>
        <v>1988</v>
      </c>
      <c r="D81" s="5">
        <f t="shared" ref="D81:D88" si="37">ROUND((D80+(D$89-D$79)*1/($A$89-$A$79)),1)</f>
        <v>1753.8</v>
      </c>
      <c r="E81" s="5">
        <f t="shared" ref="E81:E88" si="38">ROUND((E80+(E$89-E$79)*1/($A$89-$A$79)),1)</f>
        <v>1762.2</v>
      </c>
      <c r="F81" s="5">
        <f>ROUND((F80+(F$89-F$79)*1/($A$89-$A$79)),1)</f>
        <v>1253</v>
      </c>
      <c r="G81" s="5">
        <f t="shared" ref="G81:G88" si="39">ROUND((G80+(G$89-G$79)*1/($A$89-$A$79)),1)</f>
        <v>1113.2</v>
      </c>
      <c r="H81" s="5">
        <f t="shared" ref="H81:H88" si="40">ROUND((H80+(H$89-H$79)*1/($A$89-$A$79)),1)</f>
        <v>1498.8</v>
      </c>
      <c r="I81" s="5">
        <f>ROUND((I80+(I$89-I$79)*1/($A$89-$A$79)),1)</f>
        <v>1220.5999999999999</v>
      </c>
      <c r="L81" s="8">
        <v>2042</v>
      </c>
      <c r="M81" s="5">
        <f t="shared" ref="M81:M83" si="41">ROUND((M80+(M$84-M$79)*1/($L$84-$L$79)),0)</f>
        <v>1568</v>
      </c>
      <c r="N81" s="5">
        <f t="shared" si="36"/>
        <v>1437</v>
      </c>
      <c r="O81" s="5">
        <f t="shared" si="36"/>
        <v>1228</v>
      </c>
      <c r="P81" s="5">
        <f t="shared" si="36"/>
        <v>1040</v>
      </c>
      <c r="Q81" s="5">
        <f t="shared" si="36"/>
        <v>808</v>
      </c>
      <c r="R81" s="5">
        <f t="shared" si="36"/>
        <v>665</v>
      </c>
      <c r="S81" s="5">
        <f t="shared" si="36"/>
        <v>1234</v>
      </c>
      <c r="T81" s="5">
        <f t="shared" si="36"/>
        <v>1234</v>
      </c>
    </row>
    <row r="82" spans="1:31" x14ac:dyDescent="0.2">
      <c r="A82">
        <v>2043</v>
      </c>
      <c r="B82" s="5">
        <f t="shared" ref="B82:B88" si="42">ROUND((B81+(B$89-B$79)*1/($A$89-$A$79)),1)</f>
        <v>2557.1999999999998</v>
      </c>
      <c r="C82" s="5">
        <f t="shared" ref="C82:C88" si="43">ROUND((C81+(C$89-C$79)*1/($A$89-$A$79)),1)</f>
        <v>1987.5</v>
      </c>
      <c r="D82" s="5">
        <f t="shared" si="37"/>
        <v>1752.2</v>
      </c>
      <c r="E82" s="5">
        <f t="shared" si="38"/>
        <v>1760.8</v>
      </c>
      <c r="F82" s="5">
        <f t="shared" ref="F82:F88" si="44">ROUND((F81+(F$89-F$79)*1/($A$89-$A$79)),1)</f>
        <v>1252</v>
      </c>
      <c r="G82" s="5">
        <f t="shared" si="39"/>
        <v>1112.3</v>
      </c>
      <c r="H82" s="5">
        <f t="shared" si="40"/>
        <v>1496.7</v>
      </c>
      <c r="I82" s="5">
        <f t="shared" ref="I82:I88" si="45">ROUND((I81+(I$89-I$79)*1/($A$89-$A$79)),1)</f>
        <v>1219.4000000000001</v>
      </c>
      <c r="L82" s="8">
        <v>2043</v>
      </c>
      <c r="M82" s="5">
        <f t="shared" si="41"/>
        <v>1530</v>
      </c>
      <c r="N82" s="5">
        <f t="shared" si="36"/>
        <v>1402</v>
      </c>
      <c r="O82" s="5">
        <f t="shared" si="36"/>
        <v>1198</v>
      </c>
      <c r="P82" s="5">
        <f t="shared" si="36"/>
        <v>1015</v>
      </c>
      <c r="Q82" s="5">
        <f t="shared" si="36"/>
        <v>788</v>
      </c>
      <c r="R82" s="5">
        <f t="shared" si="36"/>
        <v>649</v>
      </c>
      <c r="S82" s="5">
        <f t="shared" si="36"/>
        <v>1204</v>
      </c>
      <c r="T82" s="5">
        <f t="shared" si="36"/>
        <v>1204</v>
      </c>
    </row>
    <row r="83" spans="1:31" x14ac:dyDescent="0.2">
      <c r="A83">
        <v>2044</v>
      </c>
      <c r="B83" s="5">
        <f t="shared" si="42"/>
        <v>2556.6</v>
      </c>
      <c r="C83" s="5">
        <f t="shared" si="43"/>
        <v>1987</v>
      </c>
      <c r="D83" s="5">
        <f t="shared" si="37"/>
        <v>1750.6</v>
      </c>
      <c r="E83" s="5">
        <f t="shared" si="38"/>
        <v>1759.4</v>
      </c>
      <c r="F83" s="5">
        <f t="shared" si="44"/>
        <v>1251</v>
      </c>
      <c r="G83" s="5">
        <f t="shared" si="39"/>
        <v>1111.4000000000001</v>
      </c>
      <c r="H83" s="5">
        <f t="shared" si="40"/>
        <v>1494.6</v>
      </c>
      <c r="I83" s="5">
        <f t="shared" si="45"/>
        <v>1218.2</v>
      </c>
      <c r="L83" s="8">
        <v>2044</v>
      </c>
      <c r="M83" s="5">
        <f t="shared" si="41"/>
        <v>1492</v>
      </c>
      <c r="N83" s="5">
        <f t="shared" si="36"/>
        <v>1367</v>
      </c>
      <c r="O83" s="5">
        <f t="shared" si="36"/>
        <v>1168</v>
      </c>
      <c r="P83" s="5">
        <f t="shared" si="36"/>
        <v>990</v>
      </c>
      <c r="Q83" s="5">
        <f t="shared" si="36"/>
        <v>768</v>
      </c>
      <c r="R83" s="5">
        <f t="shared" si="36"/>
        <v>633</v>
      </c>
      <c r="S83" s="5">
        <f t="shared" si="36"/>
        <v>1174</v>
      </c>
      <c r="T83" s="5">
        <f t="shared" si="36"/>
        <v>1174</v>
      </c>
    </row>
    <row r="84" spans="1:31" x14ac:dyDescent="0.2">
      <c r="A84">
        <v>2045</v>
      </c>
      <c r="B84" s="5">
        <f t="shared" si="42"/>
        <v>2556</v>
      </c>
      <c r="C84" s="5">
        <f t="shared" si="43"/>
        <v>1986.5</v>
      </c>
      <c r="D84" s="5">
        <f t="shared" si="37"/>
        <v>1749</v>
      </c>
      <c r="E84" s="5">
        <f t="shared" si="38"/>
        <v>1758</v>
      </c>
      <c r="F84" s="5">
        <f t="shared" si="44"/>
        <v>1250</v>
      </c>
      <c r="G84" s="5">
        <f t="shared" si="39"/>
        <v>1110.5</v>
      </c>
      <c r="H84" s="5">
        <f t="shared" si="40"/>
        <v>1492.5</v>
      </c>
      <c r="I84" s="5">
        <f t="shared" si="45"/>
        <v>1217</v>
      </c>
      <c r="L84" s="8">
        <v>2045</v>
      </c>
      <c r="M84" s="10">
        <f>(2902*$C$33)/AC84</f>
        <v>1453.547328060183</v>
      </c>
      <c r="N84" s="10">
        <f>(2660*$C$33)/AC84</f>
        <v>1332.3349044245647</v>
      </c>
      <c r="O84" s="10">
        <f>(2273*$C$33)/AC84</f>
        <v>1138.4952021642991</v>
      </c>
      <c r="P84" s="10">
        <f>(1924*$C$33)/AC84</f>
        <v>963.68885568152723</v>
      </c>
      <c r="Q84" s="10">
        <f>(1496*$C$33)/AC84</f>
        <v>749.31316429291303</v>
      </c>
      <c r="R84" s="10">
        <f>(1230*$C$33)/AC84</f>
        <v>616.07967385045663</v>
      </c>
      <c r="S84" s="10">
        <f>(2284*$C$33)/AC84</f>
        <v>1144.0048577840998</v>
      </c>
      <c r="T84" s="10">
        <f>(2284*$C$33)/AC84</f>
        <v>1144.0048577840998</v>
      </c>
      <c r="X84" s="23" t="s">
        <v>77</v>
      </c>
      <c r="AC84" s="23">
        <f>1.025 ^(AD84-AE84)</f>
        <v>1.9964950187572048</v>
      </c>
      <c r="AD84" s="23">
        <f>L84</f>
        <v>2045</v>
      </c>
      <c r="AE84" s="23">
        <f>AE64</f>
        <v>2017</v>
      </c>
    </row>
    <row r="85" spans="1:31" x14ac:dyDescent="0.2">
      <c r="A85">
        <v>2046</v>
      </c>
      <c r="B85" s="5">
        <f>ROUND((B84+(B$89-B$79)*1/($A$89-$A$79)),1)</f>
        <v>2555.4</v>
      </c>
      <c r="C85" s="5">
        <f t="shared" si="43"/>
        <v>1986</v>
      </c>
      <c r="D85" s="5">
        <f>ROUND((D84+(D$89-D$79)*1/($A$89-$A$79)),1)</f>
        <v>1747.4</v>
      </c>
      <c r="E85" s="5">
        <f>ROUND((E84+(E$89-E$79)*1/($A$89-$A$79)),1)</f>
        <v>1756.6</v>
      </c>
      <c r="F85" s="5">
        <f>ROUND((F84+(F$89-F$79)*1/($A$89-$A$79)),1)</f>
        <v>1249</v>
      </c>
      <c r="G85" s="5">
        <f t="shared" si="39"/>
        <v>1109.5999999999999</v>
      </c>
      <c r="H85" s="5">
        <f t="shared" si="40"/>
        <v>1490.4</v>
      </c>
      <c r="I85" s="5">
        <f>ROUND((I84+(I$89-I$79)*1/($A$89-$A$79)),1)</f>
        <v>1215.8</v>
      </c>
      <c r="L85" s="8">
        <v>2046</v>
      </c>
      <c r="M85" s="5">
        <f>ROUND((M84+(M$89-M$84)*1/($L$89-$L$84)),0)</f>
        <v>1420</v>
      </c>
      <c r="N85" s="5">
        <f t="shared" ref="N85:T88" si="46">ROUND((N84+(N$89-N$84)*1/($L$89-$L$84)),0)</f>
        <v>1301</v>
      </c>
      <c r="O85" s="5">
        <f t="shared" si="46"/>
        <v>1112</v>
      </c>
      <c r="P85" s="5">
        <f t="shared" si="46"/>
        <v>941</v>
      </c>
      <c r="Q85" s="5">
        <f t="shared" si="46"/>
        <v>732</v>
      </c>
      <c r="R85" s="5">
        <f t="shared" si="46"/>
        <v>602</v>
      </c>
      <c r="S85" s="5">
        <f t="shared" si="46"/>
        <v>1117</v>
      </c>
      <c r="T85" s="5">
        <f t="shared" si="46"/>
        <v>1117</v>
      </c>
    </row>
    <row r="86" spans="1:31" x14ac:dyDescent="0.2">
      <c r="A86">
        <v>2047</v>
      </c>
      <c r="B86" s="5">
        <f t="shared" si="42"/>
        <v>2554.8000000000002</v>
      </c>
      <c r="C86" s="5">
        <f t="shared" si="43"/>
        <v>1985.5</v>
      </c>
      <c r="D86" s="5">
        <f t="shared" si="37"/>
        <v>1745.8</v>
      </c>
      <c r="E86" s="5">
        <f t="shared" si="38"/>
        <v>1755.2</v>
      </c>
      <c r="F86" s="5">
        <f t="shared" si="44"/>
        <v>1248</v>
      </c>
      <c r="G86" s="5">
        <f t="shared" si="39"/>
        <v>1108.7</v>
      </c>
      <c r="H86" s="5">
        <f t="shared" si="40"/>
        <v>1488.3</v>
      </c>
      <c r="I86" s="5">
        <f t="shared" si="45"/>
        <v>1214.5999999999999</v>
      </c>
      <c r="L86" s="8">
        <v>2047</v>
      </c>
      <c r="M86" s="5">
        <f t="shared" ref="M86:M88" si="47">ROUND((M85+(M$89-M$84)*1/($L$89-$L$84)),0)</f>
        <v>1386</v>
      </c>
      <c r="N86" s="5">
        <f t="shared" si="46"/>
        <v>1270</v>
      </c>
      <c r="O86" s="5">
        <f t="shared" si="46"/>
        <v>1086</v>
      </c>
      <c r="P86" s="5">
        <f t="shared" si="46"/>
        <v>919</v>
      </c>
      <c r="Q86" s="5">
        <f t="shared" si="46"/>
        <v>715</v>
      </c>
      <c r="R86" s="5">
        <f t="shared" si="46"/>
        <v>588</v>
      </c>
      <c r="S86" s="5">
        <f t="shared" si="46"/>
        <v>1090</v>
      </c>
      <c r="T86" s="5">
        <f t="shared" si="46"/>
        <v>1090</v>
      </c>
    </row>
    <row r="87" spans="1:31" x14ac:dyDescent="0.2">
      <c r="A87">
        <v>2048</v>
      </c>
      <c r="B87" s="5">
        <f t="shared" si="42"/>
        <v>2554.1999999999998</v>
      </c>
      <c r="C87" s="5">
        <f t="shared" si="43"/>
        <v>1985</v>
      </c>
      <c r="D87" s="5">
        <f t="shared" si="37"/>
        <v>1744.2</v>
      </c>
      <c r="E87" s="5">
        <f t="shared" si="38"/>
        <v>1753.8</v>
      </c>
      <c r="F87" s="5">
        <f t="shared" si="44"/>
        <v>1247</v>
      </c>
      <c r="G87" s="5">
        <f t="shared" si="39"/>
        <v>1107.8</v>
      </c>
      <c r="H87" s="5">
        <f t="shared" si="40"/>
        <v>1486.2</v>
      </c>
      <c r="I87" s="5">
        <f t="shared" si="45"/>
        <v>1213.4000000000001</v>
      </c>
      <c r="L87" s="8">
        <v>2048</v>
      </c>
      <c r="M87" s="5">
        <f t="shared" si="47"/>
        <v>1352</v>
      </c>
      <c r="N87" s="5">
        <f t="shared" si="46"/>
        <v>1239</v>
      </c>
      <c r="O87" s="5">
        <f t="shared" si="46"/>
        <v>1060</v>
      </c>
      <c r="P87" s="5">
        <f t="shared" si="46"/>
        <v>897</v>
      </c>
      <c r="Q87" s="5">
        <f t="shared" si="46"/>
        <v>698</v>
      </c>
      <c r="R87" s="5">
        <f t="shared" si="46"/>
        <v>574</v>
      </c>
      <c r="S87" s="5">
        <f t="shared" si="46"/>
        <v>1063</v>
      </c>
      <c r="T87" s="5">
        <f t="shared" si="46"/>
        <v>1063</v>
      </c>
    </row>
    <row r="88" spans="1:31" x14ac:dyDescent="0.2">
      <c r="A88">
        <v>2049</v>
      </c>
      <c r="B88" s="5">
        <f t="shared" si="42"/>
        <v>2553.6</v>
      </c>
      <c r="C88" s="5">
        <f t="shared" si="43"/>
        <v>1984.5</v>
      </c>
      <c r="D88" s="5">
        <f t="shared" si="37"/>
        <v>1742.6</v>
      </c>
      <c r="E88" s="5">
        <f t="shared" si="38"/>
        <v>1752.4</v>
      </c>
      <c r="F88" s="5">
        <f t="shared" si="44"/>
        <v>1246</v>
      </c>
      <c r="G88" s="5">
        <f t="shared" si="39"/>
        <v>1106.9000000000001</v>
      </c>
      <c r="H88" s="5">
        <f t="shared" si="40"/>
        <v>1484.1</v>
      </c>
      <c r="I88" s="5">
        <f t="shared" si="45"/>
        <v>1212.2</v>
      </c>
      <c r="L88" s="8">
        <v>2049</v>
      </c>
      <c r="M88" s="5">
        <f t="shared" si="47"/>
        <v>1318</v>
      </c>
      <c r="N88" s="5">
        <f t="shared" si="46"/>
        <v>1208</v>
      </c>
      <c r="O88" s="5">
        <f t="shared" si="46"/>
        <v>1034</v>
      </c>
      <c r="P88" s="5">
        <f t="shared" si="46"/>
        <v>875</v>
      </c>
      <c r="Q88" s="5">
        <f t="shared" si="46"/>
        <v>681</v>
      </c>
      <c r="R88" s="5">
        <f t="shared" si="46"/>
        <v>560</v>
      </c>
      <c r="S88" s="5">
        <f t="shared" si="46"/>
        <v>1036</v>
      </c>
      <c r="T88" s="5">
        <f t="shared" si="46"/>
        <v>1036</v>
      </c>
    </row>
    <row r="89" spans="1:31" x14ac:dyDescent="0.2">
      <c r="A89" s="1">
        <v>2050</v>
      </c>
      <c r="B89" s="10">
        <f>(Tables!B170*$B$33)</f>
        <v>2553</v>
      </c>
      <c r="C89" s="10">
        <f>(Tables!C170*$B$33)</f>
        <v>1984</v>
      </c>
      <c r="D89" s="10">
        <f>(Tables!D170*$B$33)</f>
        <v>1741</v>
      </c>
      <c r="E89" s="10">
        <f>(Tables!E170*$B$33)</f>
        <v>1751</v>
      </c>
      <c r="F89" s="10">
        <f>(Tables!F170*$B$33)</f>
        <v>1245</v>
      </c>
      <c r="G89" s="10">
        <f>(Tables!G170*$B$33)</f>
        <v>1106</v>
      </c>
      <c r="H89" s="10">
        <f>(Tables!H170*$B$33)</f>
        <v>1482</v>
      </c>
      <c r="I89" s="10">
        <f>(Tables!I170*$B$33)</f>
        <v>1211</v>
      </c>
      <c r="L89" s="8">
        <v>2050</v>
      </c>
      <c r="M89" s="10">
        <f>(2902*$C$33)/AC89</f>
        <v>1284.72403814935</v>
      </c>
      <c r="N89" s="10">
        <f>(2660*$C$33)/AC89</f>
        <v>1177.5899178074676</v>
      </c>
      <c r="O89" s="10">
        <f>(2273*$C$33)/AC89</f>
        <v>1006.2638658557796</v>
      </c>
      <c r="P89" s="10">
        <f>(1924*$C$33)/AC89</f>
        <v>851.76052701562696</v>
      </c>
      <c r="Q89" s="10">
        <f>(1496*$C$33)/AC89</f>
        <v>662.28365302254565</v>
      </c>
      <c r="R89" s="10">
        <f>(1230*$C$33)/AC89</f>
        <v>544.52466124179887</v>
      </c>
      <c r="S89" s="10">
        <f>(2284*$C$33)/AC89</f>
        <v>1011.1335985985925</v>
      </c>
      <c r="T89" s="10">
        <f>(2284*$C$33)/AC89</f>
        <v>1011.1335985985925</v>
      </c>
      <c r="X89" s="23" t="s">
        <v>77</v>
      </c>
      <c r="AC89" s="23">
        <f>1.025 ^(AD89-AE89)</f>
        <v>2.2588508612171236</v>
      </c>
      <c r="AD89" s="23">
        <f>L89</f>
        <v>2050</v>
      </c>
      <c r="AE89" s="23">
        <f>AE69</f>
        <v>2017</v>
      </c>
    </row>
    <row r="92" spans="1:31" x14ac:dyDescent="0.2">
      <c r="B92" s="2" t="s">
        <v>13</v>
      </c>
      <c r="C92" s="2" t="s">
        <v>13</v>
      </c>
      <c r="D92" s="2" t="s">
        <v>14</v>
      </c>
      <c r="E92" s="2" t="s">
        <v>14</v>
      </c>
      <c r="F92" s="2" t="s">
        <v>14</v>
      </c>
      <c r="G92" s="2" t="s">
        <v>14</v>
      </c>
      <c r="H92" s="2" t="s">
        <v>14</v>
      </c>
      <c r="I92" s="2" t="s">
        <v>15</v>
      </c>
      <c r="M92" s="2" t="s">
        <v>13</v>
      </c>
      <c r="N92" s="2" t="s">
        <v>13</v>
      </c>
      <c r="O92" s="2" t="s">
        <v>14</v>
      </c>
      <c r="P92" s="2" t="s">
        <v>14</v>
      </c>
      <c r="Q92" s="2" t="s">
        <v>14</v>
      </c>
      <c r="R92" s="2" t="s">
        <v>14</v>
      </c>
      <c r="S92" s="2" t="s">
        <v>14</v>
      </c>
      <c r="T92" s="2" t="s">
        <v>15</v>
      </c>
    </row>
    <row r="93" spans="1:31" ht="51" customHeight="1" x14ac:dyDescent="0.2">
      <c r="A93" s="11" t="s">
        <v>20</v>
      </c>
      <c r="B93" s="24" t="s">
        <v>79</v>
      </c>
      <c r="C93" s="24" t="s">
        <v>80</v>
      </c>
      <c r="D93" s="24" t="s">
        <v>81</v>
      </c>
      <c r="E93" s="24" t="s">
        <v>82</v>
      </c>
      <c r="F93" s="24" t="s">
        <v>83</v>
      </c>
      <c r="G93" s="24" t="s">
        <v>84</v>
      </c>
      <c r="H93" s="24" t="s">
        <v>85</v>
      </c>
      <c r="I93" s="24" t="s">
        <v>86</v>
      </c>
      <c r="L93" s="11" t="s">
        <v>20</v>
      </c>
      <c r="M93" s="24" t="s">
        <v>79</v>
      </c>
      <c r="N93" s="24" t="s">
        <v>80</v>
      </c>
      <c r="O93" s="24" t="s">
        <v>81</v>
      </c>
      <c r="P93" s="24" t="s">
        <v>82</v>
      </c>
      <c r="Q93" s="24" t="s">
        <v>83</v>
      </c>
      <c r="R93" s="24" t="s">
        <v>84</v>
      </c>
      <c r="S93" s="24" t="s">
        <v>85</v>
      </c>
      <c r="T93" s="24" t="s">
        <v>86</v>
      </c>
    </row>
    <row r="94" spans="1:31" x14ac:dyDescent="0.2">
      <c r="A94" s="107">
        <v>2003</v>
      </c>
      <c r="B94" s="108">
        <v>0</v>
      </c>
      <c r="C94" s="108">
        <v>0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8">
        <v>0</v>
      </c>
      <c r="L94" s="107">
        <v>2003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8">
        <v>0</v>
      </c>
      <c r="T94" s="108">
        <v>0</v>
      </c>
    </row>
    <row r="95" spans="1:31" x14ac:dyDescent="0.2">
      <c r="A95" s="106">
        <v>2004</v>
      </c>
      <c r="B95" s="108">
        <v>0</v>
      </c>
      <c r="C95" s="108">
        <v>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8">
        <v>0</v>
      </c>
      <c r="L95" s="106">
        <v>2004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8">
        <v>0</v>
      </c>
      <c r="T95" s="108">
        <v>0</v>
      </c>
    </row>
    <row r="96" spans="1:31" x14ac:dyDescent="0.2">
      <c r="A96" s="106">
        <v>2005</v>
      </c>
      <c r="B96" s="108">
        <v>0</v>
      </c>
      <c r="C96" s="108">
        <v>0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8">
        <v>0</v>
      </c>
      <c r="L96" s="106">
        <v>2005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8">
        <v>0</v>
      </c>
      <c r="T96" s="108">
        <v>0</v>
      </c>
    </row>
    <row r="97" spans="1:24" x14ac:dyDescent="0.2">
      <c r="A97" s="107">
        <v>2006</v>
      </c>
      <c r="B97" s="108">
        <v>0</v>
      </c>
      <c r="C97" s="108">
        <v>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8">
        <v>0</v>
      </c>
      <c r="L97" s="107">
        <v>2006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8">
        <v>0</v>
      </c>
      <c r="T97" s="108">
        <v>0</v>
      </c>
    </row>
    <row r="98" spans="1:24" x14ac:dyDescent="0.2">
      <c r="A98" s="106">
        <v>2007</v>
      </c>
      <c r="B98" s="108">
        <v>0</v>
      </c>
      <c r="C98" s="108">
        <v>0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8">
        <v>0</v>
      </c>
      <c r="L98" s="106">
        <v>2007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8">
        <v>0</v>
      </c>
      <c r="T98" s="108">
        <v>0</v>
      </c>
    </row>
    <row r="99" spans="1:24" x14ac:dyDescent="0.2">
      <c r="A99" s="106">
        <v>2008</v>
      </c>
      <c r="B99" s="108">
        <v>0</v>
      </c>
      <c r="C99" s="108">
        <v>0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8">
        <v>0</v>
      </c>
      <c r="L99" s="106">
        <v>2008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0</v>
      </c>
    </row>
    <row r="100" spans="1:24" x14ac:dyDescent="0.2">
      <c r="A100" s="107">
        <v>2009</v>
      </c>
      <c r="B100" s="108">
        <v>0</v>
      </c>
      <c r="C100" s="108">
        <v>0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8">
        <v>0</v>
      </c>
      <c r="L100" s="107">
        <v>2009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8">
        <v>0</v>
      </c>
      <c r="T100" s="108">
        <v>0</v>
      </c>
    </row>
    <row r="101" spans="1:24" x14ac:dyDescent="0.2">
      <c r="A101" s="106">
        <v>2010</v>
      </c>
      <c r="B101" s="108">
        <v>0</v>
      </c>
      <c r="C101" s="108">
        <v>0</v>
      </c>
      <c r="D101" s="108">
        <v>0</v>
      </c>
      <c r="E101" s="108">
        <v>0</v>
      </c>
      <c r="F101" s="108">
        <v>0</v>
      </c>
      <c r="G101" s="108">
        <v>0</v>
      </c>
      <c r="H101" s="108">
        <v>0</v>
      </c>
      <c r="I101" s="108">
        <v>0</v>
      </c>
      <c r="L101" s="106">
        <v>2010</v>
      </c>
      <c r="M101" s="108">
        <v>0</v>
      </c>
      <c r="N101" s="108">
        <v>0</v>
      </c>
      <c r="O101" s="108">
        <v>0</v>
      </c>
      <c r="P101" s="108">
        <v>0</v>
      </c>
      <c r="Q101" s="108">
        <v>0</v>
      </c>
      <c r="R101" s="108">
        <v>0</v>
      </c>
      <c r="S101" s="108">
        <v>0</v>
      </c>
      <c r="T101" s="108">
        <v>0</v>
      </c>
    </row>
    <row r="102" spans="1:24" x14ac:dyDescent="0.2">
      <c r="A102" s="107">
        <v>2011</v>
      </c>
      <c r="B102" s="108">
        <v>0</v>
      </c>
      <c r="C102" s="108">
        <v>0</v>
      </c>
      <c r="D102" s="108">
        <v>0</v>
      </c>
      <c r="E102" s="108">
        <v>0</v>
      </c>
      <c r="F102" s="108">
        <v>0</v>
      </c>
      <c r="G102" s="108">
        <v>0</v>
      </c>
      <c r="H102" s="108">
        <v>0</v>
      </c>
      <c r="I102" s="108">
        <v>0</v>
      </c>
      <c r="L102" s="107">
        <v>2011</v>
      </c>
      <c r="M102" s="108">
        <v>0</v>
      </c>
      <c r="N102" s="108">
        <v>0</v>
      </c>
      <c r="O102" s="108">
        <v>0</v>
      </c>
      <c r="P102" s="108">
        <v>0</v>
      </c>
      <c r="Q102" s="108">
        <v>0</v>
      </c>
      <c r="R102" s="108">
        <v>0</v>
      </c>
      <c r="S102" s="108">
        <v>0</v>
      </c>
      <c r="T102" s="108">
        <v>0</v>
      </c>
    </row>
    <row r="103" spans="1:24" x14ac:dyDescent="0.2">
      <c r="A103" s="106">
        <v>2012</v>
      </c>
      <c r="B103" s="108">
        <v>0</v>
      </c>
      <c r="C103" s="108">
        <v>0</v>
      </c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0</v>
      </c>
      <c r="L103" s="106">
        <v>2012</v>
      </c>
      <c r="M103" s="108">
        <v>0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</row>
    <row r="104" spans="1:24" x14ac:dyDescent="0.2">
      <c r="A104" s="107">
        <v>2013</v>
      </c>
      <c r="B104" s="108">
        <v>0</v>
      </c>
      <c r="C104" s="108">
        <v>0</v>
      </c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L104" s="107">
        <v>2013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8">
        <v>0</v>
      </c>
      <c r="T104" s="108">
        <v>0</v>
      </c>
    </row>
    <row r="105" spans="1:24" x14ac:dyDescent="0.2">
      <c r="A105" s="106">
        <v>2014</v>
      </c>
      <c r="B105" s="108">
        <v>0</v>
      </c>
      <c r="C105" s="108">
        <v>0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L105" s="106">
        <v>2014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8">
        <v>0</v>
      </c>
      <c r="T105" s="108">
        <v>0</v>
      </c>
    </row>
    <row r="106" spans="1:24" x14ac:dyDescent="0.2">
      <c r="A106" s="1">
        <v>2015</v>
      </c>
      <c r="B106" s="10">
        <f t="shared" ref="B106:I106" si="48">B28</f>
        <v>8727</v>
      </c>
      <c r="C106" s="10">
        <f t="shared" si="48"/>
        <v>8667</v>
      </c>
      <c r="D106" s="10">
        <f t="shared" si="48"/>
        <v>9827</v>
      </c>
      <c r="E106" s="10">
        <f t="shared" si="48"/>
        <v>10872</v>
      </c>
      <c r="F106" s="10">
        <f t="shared" si="48"/>
        <v>10338</v>
      </c>
      <c r="G106" s="10">
        <f t="shared" si="48"/>
        <v>8987</v>
      </c>
      <c r="H106" s="10">
        <f t="shared" si="48"/>
        <v>6829</v>
      </c>
      <c r="I106" s="10">
        <f t="shared" si="48"/>
        <v>6364</v>
      </c>
      <c r="L106" s="1">
        <v>2015</v>
      </c>
      <c r="M106" s="12">
        <v>9614</v>
      </c>
      <c r="N106" s="12">
        <v>7810</v>
      </c>
      <c r="O106" s="12">
        <v>12688</v>
      </c>
      <c r="P106" s="12">
        <v>12037</v>
      </c>
      <c r="Q106" s="12">
        <v>10189</v>
      </c>
      <c r="R106" s="12">
        <v>9305</v>
      </c>
      <c r="S106" s="12">
        <v>8353</v>
      </c>
      <c r="T106" s="12">
        <v>8353</v>
      </c>
      <c r="X106" s="23" t="s">
        <v>78</v>
      </c>
    </row>
    <row r="107" spans="1:24" x14ac:dyDescent="0.2">
      <c r="A107">
        <v>2016</v>
      </c>
      <c r="B107" s="5">
        <f>ROUND((B106+(B$109-B$106)*1/($A$109-$A$106)),1)</f>
        <v>8722.2999999999993</v>
      </c>
      <c r="C107" s="5">
        <f t="shared" ref="C107:I108" si="49">ROUND((C106+(C$109-C$106)*1/($A$109-$A$106)),1)</f>
        <v>8662.7000000000007</v>
      </c>
      <c r="D107" s="5">
        <f t="shared" si="49"/>
        <v>9807.2999999999993</v>
      </c>
      <c r="E107" s="5">
        <f t="shared" si="49"/>
        <v>10850.3</v>
      </c>
      <c r="F107" s="5">
        <f t="shared" si="49"/>
        <v>10317.299999999999</v>
      </c>
      <c r="G107" s="5">
        <f>ROUND((G106+(G$109-G$106)*1/($A$109-$A$106)),1)</f>
        <v>8969</v>
      </c>
      <c r="H107" s="5">
        <f>ROUND((H106+(H$109-H$106)*1/($A$109-$A$106)),1)</f>
        <v>6815.7</v>
      </c>
      <c r="I107" s="5">
        <f>ROUND((I106+(I$109-I$106)*1/($A$109-$A$106)),1)</f>
        <v>6332.7</v>
      </c>
      <c r="L107">
        <v>2016</v>
      </c>
      <c r="M107">
        <f>ROUND((M106+(M$111-M$106)*1/($L$111-$L$106)),0)</f>
        <v>9571</v>
      </c>
      <c r="N107">
        <f t="shared" ref="N107:T110" si="50">ROUND((N106+(N$111-N$106)*1/($L$111-$L$106)),0)</f>
        <v>7775</v>
      </c>
      <c r="O107">
        <f t="shared" si="50"/>
        <v>12613</v>
      </c>
      <c r="P107">
        <f t="shared" si="50"/>
        <v>11966</v>
      </c>
      <c r="Q107">
        <f t="shared" si="50"/>
        <v>10189</v>
      </c>
      <c r="R107">
        <f t="shared" si="50"/>
        <v>9305</v>
      </c>
      <c r="S107">
        <f t="shared" si="50"/>
        <v>8199</v>
      </c>
      <c r="T107">
        <f t="shared" si="50"/>
        <v>8199</v>
      </c>
    </row>
    <row r="108" spans="1:24" x14ac:dyDescent="0.2">
      <c r="A108">
        <v>2017</v>
      </c>
      <c r="B108" s="5">
        <f>ROUND((B107+(B$109-B$106)*1/($A$109-$A$106)),1)</f>
        <v>8717.6</v>
      </c>
      <c r="C108" s="5">
        <f>ROUND((C107+(C$109-C$106)*1/($A$109-$A$106)),1)</f>
        <v>8658.4</v>
      </c>
      <c r="D108" s="5">
        <f>ROUND((D107+(D$109-D$106)*1/($A$109-$A$106)),1)</f>
        <v>9787.6</v>
      </c>
      <c r="E108" s="5">
        <f>ROUND((E107+(E$109-E$106)*1/($A$109-$A$106)),1)</f>
        <v>10828.6</v>
      </c>
      <c r="F108" s="5">
        <f t="shared" si="49"/>
        <v>10296.6</v>
      </c>
      <c r="G108" s="5">
        <f>ROUND((G107+(G$109-G$106)*1/($A$109-$A$106)),1)</f>
        <v>8951</v>
      </c>
      <c r="H108" s="5">
        <f t="shared" si="49"/>
        <v>6802.4</v>
      </c>
      <c r="I108" s="5">
        <f t="shared" si="49"/>
        <v>6301.4</v>
      </c>
      <c r="L108">
        <v>2017</v>
      </c>
      <c r="M108">
        <f t="shared" ref="M108:M110" si="51">ROUND((M107+(M$111-M$106)*1/($L$111-$L$106)),0)</f>
        <v>9528</v>
      </c>
      <c r="N108">
        <f t="shared" si="50"/>
        <v>7740</v>
      </c>
      <c r="O108">
        <f t="shared" si="50"/>
        <v>12538</v>
      </c>
      <c r="P108">
        <f t="shared" si="50"/>
        <v>11895</v>
      </c>
      <c r="Q108">
        <f t="shared" si="50"/>
        <v>10189</v>
      </c>
      <c r="R108">
        <f t="shared" si="50"/>
        <v>9305</v>
      </c>
      <c r="S108">
        <f t="shared" si="50"/>
        <v>8045</v>
      </c>
      <c r="T108">
        <f t="shared" si="50"/>
        <v>8045</v>
      </c>
    </row>
    <row r="109" spans="1:24" x14ac:dyDescent="0.2">
      <c r="A109" s="1">
        <v>2018</v>
      </c>
      <c r="B109" s="96">
        <f>B$27*Tables!B40</f>
        <v>8713</v>
      </c>
      <c r="C109" s="96">
        <f>C$27*Tables!C40</f>
        <v>8654</v>
      </c>
      <c r="D109" s="96">
        <f>D$27*Tables!D40</f>
        <v>9768</v>
      </c>
      <c r="E109" s="96">
        <f>E$27*Tables!E40</f>
        <v>10807</v>
      </c>
      <c r="F109" s="96">
        <f>F$27*Tables!F40</f>
        <v>10276</v>
      </c>
      <c r="G109" s="96">
        <f>G$27*Tables!G40</f>
        <v>8933</v>
      </c>
      <c r="H109" s="96">
        <f>H$27*Tables!H40</f>
        <v>6789</v>
      </c>
      <c r="I109" s="96">
        <f>I$27*Tables!I40</f>
        <v>6270</v>
      </c>
      <c r="L109">
        <v>2018</v>
      </c>
      <c r="M109">
        <f t="shared" si="51"/>
        <v>9485</v>
      </c>
      <c r="N109">
        <f t="shared" si="50"/>
        <v>7705</v>
      </c>
      <c r="O109">
        <f t="shared" si="50"/>
        <v>12463</v>
      </c>
      <c r="P109">
        <f t="shared" si="50"/>
        <v>11824</v>
      </c>
      <c r="Q109">
        <f t="shared" si="50"/>
        <v>10189</v>
      </c>
      <c r="R109">
        <f t="shared" si="50"/>
        <v>9305</v>
      </c>
      <c r="S109">
        <f t="shared" si="50"/>
        <v>7891</v>
      </c>
      <c r="T109">
        <f t="shared" si="50"/>
        <v>7891</v>
      </c>
    </row>
    <row r="110" spans="1:24" x14ac:dyDescent="0.2">
      <c r="A110">
        <v>2019</v>
      </c>
      <c r="B110" s="5">
        <f>ROUND((B109+(B$111-B$109)*1/($A$111-$A$109)),1)</f>
        <v>8709</v>
      </c>
      <c r="C110" s="5">
        <f>ROUND((C109+(C$111-C$109)*1/($A$111-$A$109)),1)</f>
        <v>8649.5</v>
      </c>
      <c r="D110" s="5">
        <f t="shared" ref="D110:G110" si="52">ROUND((D109+(D$111-D$109)*1/($A$111-$A$109)),1)</f>
        <v>9748.5</v>
      </c>
      <c r="E110" s="5">
        <f>ROUND((E109+(E$111-E$109)*1/($A$111-$A$109)),1)</f>
        <v>10785.5</v>
      </c>
      <c r="F110" s="5">
        <f t="shared" si="52"/>
        <v>10255</v>
      </c>
      <c r="G110" s="5">
        <f t="shared" si="52"/>
        <v>8915</v>
      </c>
      <c r="H110" s="5">
        <f>ROUND((H109+(H$111-H$109)*1/($A$111-$A$109)),1)</f>
        <v>6775</v>
      </c>
      <c r="I110" s="5">
        <f>ROUND((I109+(I$111-I$109)*1/($A$111-$A$109)),1)</f>
        <v>6285.5</v>
      </c>
      <c r="L110">
        <v>2019</v>
      </c>
      <c r="M110">
        <f t="shared" si="51"/>
        <v>9442</v>
      </c>
      <c r="N110">
        <f t="shared" si="50"/>
        <v>7670</v>
      </c>
      <c r="O110">
        <f t="shared" si="50"/>
        <v>12388</v>
      </c>
      <c r="P110">
        <f t="shared" si="50"/>
        <v>11753</v>
      </c>
      <c r="Q110">
        <f t="shared" si="50"/>
        <v>10189</v>
      </c>
      <c r="R110">
        <f t="shared" si="50"/>
        <v>9305</v>
      </c>
      <c r="S110">
        <f t="shared" si="50"/>
        <v>7737</v>
      </c>
      <c r="T110">
        <f t="shared" si="50"/>
        <v>7737</v>
      </c>
    </row>
    <row r="111" spans="1:24" x14ac:dyDescent="0.2">
      <c r="A111" s="1">
        <v>2020</v>
      </c>
      <c r="B111" s="96">
        <f>B$27*Tables!B69</f>
        <v>8705</v>
      </c>
      <c r="C111" s="96">
        <f>C$27*Tables!C69</f>
        <v>8645</v>
      </c>
      <c r="D111" s="96">
        <f>D$27*Tables!D69</f>
        <v>9729</v>
      </c>
      <c r="E111" s="96">
        <f>E$27*Tables!E69</f>
        <v>10764</v>
      </c>
      <c r="F111" s="96">
        <f>F$27*Tables!F69</f>
        <v>10234</v>
      </c>
      <c r="G111" s="96">
        <f>G$27*Tables!G69</f>
        <v>8897</v>
      </c>
      <c r="H111" s="96">
        <f>H$27*Tables!H69</f>
        <v>6761</v>
      </c>
      <c r="I111" s="96">
        <f>I$27*Tables!I69</f>
        <v>6301</v>
      </c>
      <c r="L111" s="1">
        <v>2020</v>
      </c>
      <c r="M111" s="12">
        <v>9398</v>
      </c>
      <c r="N111" s="12">
        <v>7635</v>
      </c>
      <c r="O111" s="12">
        <v>12311</v>
      </c>
      <c r="P111" s="12">
        <v>11680</v>
      </c>
      <c r="Q111" s="12">
        <v>10189</v>
      </c>
      <c r="R111" s="12">
        <v>9305</v>
      </c>
      <c r="S111" s="12">
        <v>7584</v>
      </c>
      <c r="T111" s="12">
        <v>7584</v>
      </c>
      <c r="X111" s="23" t="s">
        <v>78</v>
      </c>
    </row>
    <row r="112" spans="1:24" x14ac:dyDescent="0.2">
      <c r="A112">
        <v>2021</v>
      </c>
      <c r="B112" s="5">
        <f>ROUND((B111+(B$121-B$111)*1/($A$121-$A$111)),1)</f>
        <v>8700.6</v>
      </c>
      <c r="C112" s="5">
        <f t="shared" ref="C112:I120" si="53">ROUND((C111+(C$121-C$111)*1/($A$121-$A$111)),1)</f>
        <v>8640.7000000000007</v>
      </c>
      <c r="D112" s="5">
        <f t="shared" si="53"/>
        <v>9709.6</v>
      </c>
      <c r="E112" s="5">
        <f t="shared" si="53"/>
        <v>10742.5</v>
      </c>
      <c r="F112" s="5">
        <f t="shared" si="53"/>
        <v>10213.6</v>
      </c>
      <c r="G112" s="5">
        <f t="shared" si="53"/>
        <v>8879.2999999999993</v>
      </c>
      <c r="H112" s="5">
        <f t="shared" si="53"/>
        <v>6747.6</v>
      </c>
      <c r="I112" s="5">
        <f t="shared" si="53"/>
        <v>6288.4</v>
      </c>
      <c r="L112">
        <v>2021</v>
      </c>
      <c r="M112">
        <f>ROUND((M111+(M$116-M$111)*1/($L$116-$L$111)),0)</f>
        <v>9393</v>
      </c>
      <c r="N112">
        <f t="shared" ref="N112:T115" si="54">ROUND((N111+(N$116-N$111)*1/($L$116-$L$111)),0)</f>
        <v>7631</v>
      </c>
      <c r="O112">
        <f t="shared" si="54"/>
        <v>12287</v>
      </c>
      <c r="P112">
        <f t="shared" si="54"/>
        <v>11657</v>
      </c>
      <c r="Q112">
        <f t="shared" si="54"/>
        <v>10128</v>
      </c>
      <c r="R112">
        <f t="shared" si="54"/>
        <v>9250</v>
      </c>
      <c r="S112">
        <f t="shared" si="54"/>
        <v>7432</v>
      </c>
      <c r="T112">
        <f t="shared" si="54"/>
        <v>7432</v>
      </c>
    </row>
    <row r="113" spans="1:24" x14ac:dyDescent="0.2">
      <c r="A113">
        <v>2022</v>
      </c>
      <c r="B113" s="5">
        <f t="shared" ref="B113:B120" si="55">ROUND((B112+(B$121-B$111)*1/($A$121-$A$111)),1)</f>
        <v>8696.2000000000007</v>
      </c>
      <c r="C113" s="5">
        <f t="shared" si="53"/>
        <v>8636.4</v>
      </c>
      <c r="D113" s="5">
        <f t="shared" si="53"/>
        <v>9690.2000000000007</v>
      </c>
      <c r="E113" s="5">
        <f t="shared" si="53"/>
        <v>10721</v>
      </c>
      <c r="F113" s="5">
        <f t="shared" si="53"/>
        <v>10193.200000000001</v>
      </c>
      <c r="G113" s="5">
        <f t="shared" si="53"/>
        <v>8861.6</v>
      </c>
      <c r="H113" s="5">
        <f>ROUND((H112+(H$121-H$111)*1/($A$121-$A$111)),1)</f>
        <v>6734.2</v>
      </c>
      <c r="I113" s="5">
        <f t="shared" si="53"/>
        <v>6275.8</v>
      </c>
      <c r="L113">
        <v>2022</v>
      </c>
      <c r="M113">
        <f t="shared" ref="M113:M115" si="56">ROUND((M112+(M$116-M$111)*1/($L$116-$L$111)),0)</f>
        <v>9388</v>
      </c>
      <c r="N113">
        <f t="shared" si="54"/>
        <v>7627</v>
      </c>
      <c r="O113">
        <f t="shared" si="54"/>
        <v>12263</v>
      </c>
      <c r="P113">
        <f t="shared" si="54"/>
        <v>11634</v>
      </c>
      <c r="Q113">
        <f t="shared" si="54"/>
        <v>10067</v>
      </c>
      <c r="R113">
        <f t="shared" si="54"/>
        <v>9195</v>
      </c>
      <c r="S113">
        <f t="shared" si="54"/>
        <v>7280</v>
      </c>
      <c r="T113">
        <f t="shared" si="54"/>
        <v>7280</v>
      </c>
    </row>
    <row r="114" spans="1:24" x14ac:dyDescent="0.2">
      <c r="A114">
        <v>2023</v>
      </c>
      <c r="B114" s="5">
        <f>ROUND((B113+(B$121-B$111)*1/($A$121-$A$111)),1)</f>
        <v>8691.7999999999993</v>
      </c>
      <c r="C114" s="5">
        <f>ROUND((C113+(C$121-C$111)*1/($A$121-$A$111)),1)</f>
        <v>8632.1</v>
      </c>
      <c r="D114" s="5">
        <f>ROUND((D113+(D$121-D$111)*1/($A$121-$A$111)),1)</f>
        <v>9670.7999999999993</v>
      </c>
      <c r="E114" s="5">
        <f t="shared" si="53"/>
        <v>10699.5</v>
      </c>
      <c r="F114" s="5">
        <f>ROUND((F113+(F$121-F$111)*1/($A$121-$A$111)),1)</f>
        <v>10172.799999999999</v>
      </c>
      <c r="G114" s="5">
        <f>ROUND((G113+(G$121-G$111)*1/($A$121-$A$111)),1)</f>
        <v>8843.9</v>
      </c>
      <c r="H114" s="5">
        <f>ROUND((H113+(H$121-H$111)*1/($A$121-$A$111)),1)</f>
        <v>6720.8</v>
      </c>
      <c r="I114" s="5">
        <f>ROUND((I113+(I$121-I$111)*1/($A$121-$A$111)),1)</f>
        <v>6263.2</v>
      </c>
      <c r="L114">
        <v>2023</v>
      </c>
      <c r="M114">
        <f t="shared" si="56"/>
        <v>9383</v>
      </c>
      <c r="N114">
        <f t="shared" si="54"/>
        <v>7623</v>
      </c>
      <c r="O114">
        <f t="shared" si="54"/>
        <v>12239</v>
      </c>
      <c r="P114">
        <f t="shared" si="54"/>
        <v>11611</v>
      </c>
      <c r="Q114">
        <f t="shared" si="54"/>
        <v>10006</v>
      </c>
      <c r="R114">
        <f t="shared" si="54"/>
        <v>9140</v>
      </c>
      <c r="S114">
        <f t="shared" si="54"/>
        <v>7128</v>
      </c>
      <c r="T114">
        <f t="shared" si="54"/>
        <v>7128</v>
      </c>
    </row>
    <row r="115" spans="1:24" x14ac:dyDescent="0.2">
      <c r="A115">
        <v>2024</v>
      </c>
      <c r="B115" s="5">
        <f t="shared" si="55"/>
        <v>8687.4</v>
      </c>
      <c r="C115" s="5">
        <f t="shared" si="53"/>
        <v>8627.7999999999993</v>
      </c>
      <c r="D115" s="5">
        <f t="shared" si="53"/>
        <v>9651.4</v>
      </c>
      <c r="E115" s="5">
        <f t="shared" si="53"/>
        <v>10678</v>
      </c>
      <c r="F115" s="5">
        <f>ROUND((F114+(F$121-F$111)*1/($A$121-$A$111)),1)</f>
        <v>10152.4</v>
      </c>
      <c r="G115" s="5">
        <f t="shared" si="53"/>
        <v>8826.2000000000007</v>
      </c>
      <c r="H115" s="5">
        <f t="shared" si="53"/>
        <v>6707.4</v>
      </c>
      <c r="I115" s="5">
        <f t="shared" si="53"/>
        <v>6250.6</v>
      </c>
      <c r="L115">
        <v>2024</v>
      </c>
      <c r="M115">
        <f t="shared" si="56"/>
        <v>9378</v>
      </c>
      <c r="N115">
        <f t="shared" si="54"/>
        <v>7619</v>
      </c>
      <c r="O115">
        <f t="shared" si="54"/>
        <v>12215</v>
      </c>
      <c r="P115">
        <f t="shared" si="54"/>
        <v>11588</v>
      </c>
      <c r="Q115">
        <f t="shared" si="54"/>
        <v>9945</v>
      </c>
      <c r="R115">
        <f t="shared" si="54"/>
        <v>9085</v>
      </c>
      <c r="S115">
        <f t="shared" si="54"/>
        <v>6976</v>
      </c>
      <c r="T115">
        <f t="shared" si="54"/>
        <v>6976</v>
      </c>
    </row>
    <row r="116" spans="1:24" x14ac:dyDescent="0.2">
      <c r="A116" s="8">
        <v>2025</v>
      </c>
      <c r="B116" s="5">
        <f t="shared" si="55"/>
        <v>8683</v>
      </c>
      <c r="C116" s="5">
        <f t="shared" si="53"/>
        <v>8623.5</v>
      </c>
      <c r="D116" s="5">
        <f t="shared" si="53"/>
        <v>9632</v>
      </c>
      <c r="E116" s="5">
        <f t="shared" si="53"/>
        <v>10656.5</v>
      </c>
      <c r="F116" s="5">
        <f t="shared" si="53"/>
        <v>10132</v>
      </c>
      <c r="G116" s="5">
        <f t="shared" si="53"/>
        <v>8808.5</v>
      </c>
      <c r="H116" s="5">
        <f t="shared" si="53"/>
        <v>6694</v>
      </c>
      <c r="I116" s="5">
        <f t="shared" si="53"/>
        <v>6238</v>
      </c>
      <c r="L116" s="1">
        <v>2025</v>
      </c>
      <c r="M116" s="12">
        <v>9375</v>
      </c>
      <c r="N116" s="12">
        <v>7616</v>
      </c>
      <c r="O116" s="12">
        <v>12189</v>
      </c>
      <c r="P116" s="12">
        <v>11564</v>
      </c>
      <c r="Q116" s="12">
        <v>9886</v>
      </c>
      <c r="R116" s="12">
        <v>9029</v>
      </c>
      <c r="S116" s="12">
        <v>6826</v>
      </c>
      <c r="T116" s="12">
        <v>6826</v>
      </c>
      <c r="X116" s="23" t="s">
        <v>78</v>
      </c>
    </row>
    <row r="117" spans="1:24" x14ac:dyDescent="0.2">
      <c r="A117">
        <v>2026</v>
      </c>
      <c r="B117" s="5">
        <f t="shared" si="55"/>
        <v>8678.6</v>
      </c>
      <c r="C117" s="5">
        <f>ROUND((C116+(C$121-C$111)*1/($A$121-$A$111)),1)</f>
        <v>8619.2000000000007</v>
      </c>
      <c r="D117" s="5">
        <f t="shared" si="53"/>
        <v>9612.6</v>
      </c>
      <c r="E117" s="5">
        <f t="shared" si="53"/>
        <v>10635</v>
      </c>
      <c r="F117" s="5">
        <f t="shared" si="53"/>
        <v>10111.6</v>
      </c>
      <c r="G117" s="5">
        <f>ROUND((G116+(G$121-G$111)*1/($A$121-$A$111)),1)</f>
        <v>8790.7999999999993</v>
      </c>
      <c r="H117" s="5">
        <f t="shared" si="53"/>
        <v>6680.6</v>
      </c>
      <c r="I117" s="5">
        <f t="shared" si="53"/>
        <v>6225.4</v>
      </c>
      <c r="L117">
        <v>2026</v>
      </c>
      <c r="M117">
        <f>ROUND((M116+(M$121-M$116)*1/($L$121-$L$116)),0)</f>
        <v>9370</v>
      </c>
      <c r="N117">
        <f t="shared" ref="N117:T120" si="57">ROUND((N116+(N$121-N$116)*1/($L$121-$L$116)),0)</f>
        <v>7612</v>
      </c>
      <c r="O117">
        <f t="shared" si="57"/>
        <v>12165</v>
      </c>
      <c r="P117">
        <f t="shared" si="57"/>
        <v>11541</v>
      </c>
      <c r="Q117">
        <f t="shared" si="57"/>
        <v>9866</v>
      </c>
      <c r="R117">
        <f t="shared" si="57"/>
        <v>9011</v>
      </c>
      <c r="S117">
        <f t="shared" si="57"/>
        <v>6702</v>
      </c>
      <c r="T117">
        <f t="shared" si="57"/>
        <v>6702</v>
      </c>
    </row>
    <row r="118" spans="1:24" x14ac:dyDescent="0.2">
      <c r="A118">
        <v>2027</v>
      </c>
      <c r="B118" s="5">
        <f t="shared" si="55"/>
        <v>8674.2000000000007</v>
      </c>
      <c r="C118" s="5">
        <f t="shared" si="53"/>
        <v>8614.9</v>
      </c>
      <c r="D118" s="5">
        <f t="shared" si="53"/>
        <v>9593.2000000000007</v>
      </c>
      <c r="E118" s="5">
        <f t="shared" si="53"/>
        <v>10613.5</v>
      </c>
      <c r="F118" s="5">
        <f t="shared" si="53"/>
        <v>10091.200000000001</v>
      </c>
      <c r="G118" s="5">
        <f t="shared" si="53"/>
        <v>8773.1</v>
      </c>
      <c r="H118" s="5">
        <f t="shared" si="53"/>
        <v>6667.2</v>
      </c>
      <c r="I118" s="5">
        <f>ROUND((I117+(I$121-I$111)*1/($A$121-$A$111)),1)</f>
        <v>6212.8</v>
      </c>
      <c r="L118">
        <v>2027</v>
      </c>
      <c r="M118">
        <f t="shared" ref="M118:M120" si="58">ROUND((M117+(M$121-M$116)*1/($L$121-$L$116)),0)</f>
        <v>9365</v>
      </c>
      <c r="N118">
        <f t="shared" si="57"/>
        <v>7608</v>
      </c>
      <c r="O118">
        <f t="shared" si="57"/>
        <v>12141</v>
      </c>
      <c r="P118">
        <f t="shared" si="57"/>
        <v>11518</v>
      </c>
      <c r="Q118">
        <f t="shared" si="57"/>
        <v>9846</v>
      </c>
      <c r="R118">
        <f t="shared" si="57"/>
        <v>8993</v>
      </c>
      <c r="S118">
        <f t="shared" si="57"/>
        <v>6578</v>
      </c>
      <c r="T118">
        <f t="shared" si="57"/>
        <v>6578</v>
      </c>
    </row>
    <row r="119" spans="1:24" x14ac:dyDescent="0.2">
      <c r="A119">
        <v>2028</v>
      </c>
      <c r="B119" s="5">
        <f>ROUND((B118+(B$121-B$111)*1/($A$121-$A$111)),1)</f>
        <v>8669.7999999999993</v>
      </c>
      <c r="C119" s="5">
        <f t="shared" si="53"/>
        <v>8610.6</v>
      </c>
      <c r="D119" s="5">
        <f>ROUND((D118+(D$121-D$111)*1/($A$121-$A$111)),1)</f>
        <v>9573.7999999999993</v>
      </c>
      <c r="E119" s="5">
        <f>ROUND((E118+(E$121-E$111)*1/($A$121-$A$111)),1)</f>
        <v>10592</v>
      </c>
      <c r="F119" s="5">
        <f>ROUND((F118+(F$121-F$111)*1/($A$121-$A$111)),1)</f>
        <v>10070.799999999999</v>
      </c>
      <c r="G119" s="5">
        <f>ROUND((G118+(G$121-G$111)*1/($A$121-$A$111)),1)</f>
        <v>8755.4</v>
      </c>
      <c r="H119" s="5">
        <f>ROUND((H118+(H$121-H$111)*1/($A$121-$A$111)),1)</f>
        <v>6653.8</v>
      </c>
      <c r="I119" s="5">
        <f t="shared" si="53"/>
        <v>6200.2</v>
      </c>
      <c r="L119">
        <v>2028</v>
      </c>
      <c r="M119">
        <f t="shared" si="58"/>
        <v>9360</v>
      </c>
      <c r="N119">
        <f t="shared" si="57"/>
        <v>7604</v>
      </c>
      <c r="O119">
        <f t="shared" si="57"/>
        <v>12117</v>
      </c>
      <c r="P119">
        <f t="shared" si="57"/>
        <v>11495</v>
      </c>
      <c r="Q119">
        <f t="shared" si="57"/>
        <v>9826</v>
      </c>
      <c r="R119">
        <f t="shared" si="57"/>
        <v>8975</v>
      </c>
      <c r="S119">
        <f t="shared" si="57"/>
        <v>6454</v>
      </c>
      <c r="T119">
        <f t="shared" si="57"/>
        <v>6454</v>
      </c>
    </row>
    <row r="120" spans="1:24" x14ac:dyDescent="0.2">
      <c r="A120">
        <v>2029</v>
      </c>
      <c r="B120" s="5">
        <f t="shared" si="55"/>
        <v>8665.4</v>
      </c>
      <c r="C120" s="5">
        <f t="shared" si="53"/>
        <v>8606.2999999999993</v>
      </c>
      <c r="D120" s="5">
        <f t="shared" si="53"/>
        <v>9554.4</v>
      </c>
      <c r="E120" s="5">
        <f t="shared" si="53"/>
        <v>10570.5</v>
      </c>
      <c r="F120" s="5">
        <f t="shared" si="53"/>
        <v>10050.4</v>
      </c>
      <c r="G120" s="5">
        <f t="shared" si="53"/>
        <v>8737.7000000000007</v>
      </c>
      <c r="H120" s="5">
        <f t="shared" si="53"/>
        <v>6640.4</v>
      </c>
      <c r="I120" s="5">
        <f t="shared" si="53"/>
        <v>6187.6</v>
      </c>
      <c r="L120">
        <v>2029</v>
      </c>
      <c r="M120">
        <f t="shared" si="58"/>
        <v>9355</v>
      </c>
      <c r="N120">
        <f t="shared" si="57"/>
        <v>7600</v>
      </c>
      <c r="O120">
        <f t="shared" si="57"/>
        <v>12093</v>
      </c>
      <c r="P120">
        <f t="shared" si="57"/>
        <v>11472</v>
      </c>
      <c r="Q120">
        <f t="shared" si="57"/>
        <v>9806</v>
      </c>
      <c r="R120">
        <f t="shared" si="57"/>
        <v>8957</v>
      </c>
      <c r="S120">
        <f t="shared" si="57"/>
        <v>6330</v>
      </c>
      <c r="T120">
        <f t="shared" si="57"/>
        <v>6330</v>
      </c>
    </row>
    <row r="121" spans="1:24" x14ac:dyDescent="0.2">
      <c r="A121" s="1">
        <v>2030</v>
      </c>
      <c r="B121" s="10">
        <f>B$27*Tables!B98</f>
        <v>8661</v>
      </c>
      <c r="C121" s="10">
        <f>C$27*Tables!C98</f>
        <v>8602</v>
      </c>
      <c r="D121" s="10">
        <f>D$27*Tables!D98</f>
        <v>9535</v>
      </c>
      <c r="E121" s="10">
        <f>E$27*Tables!E98</f>
        <v>10549</v>
      </c>
      <c r="F121" s="10">
        <f>F$27*Tables!F98</f>
        <v>10030</v>
      </c>
      <c r="G121" s="10">
        <f>G$27*Tables!G98</f>
        <v>8720</v>
      </c>
      <c r="H121" s="10">
        <f>H$27*Tables!H98</f>
        <v>6627</v>
      </c>
      <c r="I121" s="10">
        <f>I$27*Tables!I98</f>
        <v>6175</v>
      </c>
      <c r="L121" s="1">
        <v>2030</v>
      </c>
      <c r="M121" s="12">
        <v>9351</v>
      </c>
      <c r="N121" s="12">
        <v>7597</v>
      </c>
      <c r="O121" s="12">
        <v>12069</v>
      </c>
      <c r="P121" s="12">
        <v>11449</v>
      </c>
      <c r="Q121" s="12">
        <v>9788</v>
      </c>
      <c r="R121" s="12">
        <v>8939</v>
      </c>
      <c r="S121" s="12">
        <v>6205</v>
      </c>
      <c r="T121" s="12">
        <v>6205</v>
      </c>
      <c r="X121" s="23" t="s">
        <v>78</v>
      </c>
    </row>
    <row r="122" spans="1:24" x14ac:dyDescent="0.2">
      <c r="A122">
        <v>2031</v>
      </c>
      <c r="B122" s="5">
        <f t="shared" ref="B122:I122" si="59">ROUND((B121+(B$131-B$121)*1/($A$131-$A$121)),1)</f>
        <v>8656.7000000000007</v>
      </c>
      <c r="C122" s="5">
        <f t="shared" si="59"/>
        <v>8597.7000000000007</v>
      </c>
      <c r="D122" s="5">
        <f t="shared" si="59"/>
        <v>9516.1</v>
      </c>
      <c r="E122" s="5">
        <f t="shared" si="59"/>
        <v>10528</v>
      </c>
      <c r="F122" s="5">
        <f t="shared" si="59"/>
        <v>10010.1</v>
      </c>
      <c r="G122" s="5">
        <f t="shared" si="59"/>
        <v>8702.7000000000007</v>
      </c>
      <c r="H122" s="5">
        <f t="shared" si="59"/>
        <v>6613.8</v>
      </c>
      <c r="I122" s="5">
        <f t="shared" si="59"/>
        <v>6162.8</v>
      </c>
      <c r="L122" s="8">
        <v>2031</v>
      </c>
      <c r="M122">
        <f t="shared" ref="M122:T125" si="60">ROUND((M121+(M$126-M$121)*1/($L$126-$L$121)),0)</f>
        <v>9347</v>
      </c>
      <c r="N122">
        <f t="shared" si="60"/>
        <v>7593</v>
      </c>
      <c r="O122">
        <f t="shared" si="60"/>
        <v>12045</v>
      </c>
      <c r="P122">
        <f t="shared" si="60"/>
        <v>11426</v>
      </c>
      <c r="Q122">
        <f t="shared" si="60"/>
        <v>9769</v>
      </c>
      <c r="R122">
        <f t="shared" si="60"/>
        <v>8921</v>
      </c>
      <c r="S122">
        <f t="shared" si="60"/>
        <v>6102</v>
      </c>
      <c r="T122">
        <f t="shared" si="60"/>
        <v>6102</v>
      </c>
    </row>
    <row r="123" spans="1:24" x14ac:dyDescent="0.2">
      <c r="A123">
        <v>2032</v>
      </c>
      <c r="B123" s="5">
        <f t="shared" ref="B123:B129" si="61">ROUND((B122+(B$131-B$121)*1/($A$131-$A$121)),1)</f>
        <v>8652.4</v>
      </c>
      <c r="C123" s="5">
        <f t="shared" ref="C123:I130" si="62">ROUND((C122+(C$131-C$121)*1/($A$131-$A$121)),1)</f>
        <v>8593.4</v>
      </c>
      <c r="D123" s="5">
        <f t="shared" si="62"/>
        <v>9497.2000000000007</v>
      </c>
      <c r="E123" s="5">
        <f t="shared" si="62"/>
        <v>10507</v>
      </c>
      <c r="F123" s="5">
        <f t="shared" si="62"/>
        <v>9990.2000000000007</v>
      </c>
      <c r="G123" s="5">
        <f>ROUND((G122+(G$131-G$121)*1/($A$131-$A$121)),1)</f>
        <v>8685.4</v>
      </c>
      <c r="H123" s="5">
        <f t="shared" si="62"/>
        <v>6600.6</v>
      </c>
      <c r="I123" s="5">
        <f t="shared" si="62"/>
        <v>6150.6</v>
      </c>
      <c r="L123" s="8">
        <v>2032</v>
      </c>
      <c r="M123">
        <f t="shared" si="60"/>
        <v>9343</v>
      </c>
      <c r="N123">
        <f t="shared" si="60"/>
        <v>7589</v>
      </c>
      <c r="O123">
        <f t="shared" si="60"/>
        <v>12021</v>
      </c>
      <c r="P123">
        <f t="shared" si="60"/>
        <v>11403</v>
      </c>
      <c r="Q123">
        <f t="shared" si="60"/>
        <v>9750</v>
      </c>
      <c r="R123">
        <f t="shared" si="60"/>
        <v>8903</v>
      </c>
      <c r="S123">
        <f t="shared" si="60"/>
        <v>5999</v>
      </c>
      <c r="T123">
        <f t="shared" si="60"/>
        <v>5999</v>
      </c>
    </row>
    <row r="124" spans="1:24" x14ac:dyDescent="0.2">
      <c r="A124">
        <v>2033</v>
      </c>
      <c r="B124" s="5">
        <f t="shared" si="61"/>
        <v>8648.1</v>
      </c>
      <c r="C124" s="5">
        <f t="shared" si="62"/>
        <v>8589.1</v>
      </c>
      <c r="D124" s="5">
        <f t="shared" si="62"/>
        <v>9478.2999999999993</v>
      </c>
      <c r="E124" s="5">
        <f t="shared" si="62"/>
        <v>10486</v>
      </c>
      <c r="F124" s="5">
        <f t="shared" si="62"/>
        <v>9970.2999999999993</v>
      </c>
      <c r="G124" s="5">
        <f t="shared" si="62"/>
        <v>8668.1</v>
      </c>
      <c r="H124" s="5">
        <f t="shared" si="62"/>
        <v>6587.4</v>
      </c>
      <c r="I124" s="5">
        <f t="shared" si="62"/>
        <v>6138.4</v>
      </c>
      <c r="L124" s="8">
        <v>2033</v>
      </c>
      <c r="M124">
        <f t="shared" si="60"/>
        <v>9339</v>
      </c>
      <c r="N124">
        <f t="shared" si="60"/>
        <v>7585</v>
      </c>
      <c r="O124">
        <f t="shared" si="60"/>
        <v>11997</v>
      </c>
      <c r="P124">
        <f t="shared" si="60"/>
        <v>11380</v>
      </c>
      <c r="Q124">
        <f t="shared" si="60"/>
        <v>9731</v>
      </c>
      <c r="R124">
        <f t="shared" si="60"/>
        <v>8885</v>
      </c>
      <c r="S124">
        <f t="shared" si="60"/>
        <v>5896</v>
      </c>
      <c r="T124">
        <f t="shared" si="60"/>
        <v>5896</v>
      </c>
    </row>
    <row r="125" spans="1:24" x14ac:dyDescent="0.2">
      <c r="A125">
        <v>2034</v>
      </c>
      <c r="B125" s="5">
        <f t="shared" si="61"/>
        <v>8643.7999999999993</v>
      </c>
      <c r="C125" s="5">
        <f>ROUND((C124+(C$131-C$121)*1/($A$131-$A$121)),1)</f>
        <v>8584.7999999999993</v>
      </c>
      <c r="D125" s="5">
        <f t="shared" si="62"/>
        <v>9459.4</v>
      </c>
      <c r="E125" s="5">
        <f t="shared" si="62"/>
        <v>10465</v>
      </c>
      <c r="F125" s="5">
        <f t="shared" si="62"/>
        <v>9950.4</v>
      </c>
      <c r="G125" s="5">
        <f t="shared" si="62"/>
        <v>8650.7999999999993</v>
      </c>
      <c r="H125" s="5">
        <f t="shared" si="62"/>
        <v>6574.2</v>
      </c>
      <c r="I125" s="5">
        <f t="shared" si="62"/>
        <v>6126.2</v>
      </c>
      <c r="L125" s="8">
        <v>2034</v>
      </c>
      <c r="M125">
        <f t="shared" si="60"/>
        <v>9335</v>
      </c>
      <c r="N125">
        <f t="shared" si="60"/>
        <v>7581</v>
      </c>
      <c r="O125">
        <f t="shared" si="60"/>
        <v>11973</v>
      </c>
      <c r="P125">
        <f t="shared" si="60"/>
        <v>11357</v>
      </c>
      <c r="Q125">
        <f t="shared" si="60"/>
        <v>9712</v>
      </c>
      <c r="R125">
        <f t="shared" si="60"/>
        <v>8867</v>
      </c>
      <c r="S125">
        <f t="shared" si="60"/>
        <v>5793</v>
      </c>
      <c r="T125">
        <f t="shared" si="60"/>
        <v>5793</v>
      </c>
    </row>
    <row r="126" spans="1:24" x14ac:dyDescent="0.2">
      <c r="A126" s="8">
        <v>2035</v>
      </c>
      <c r="B126" s="5">
        <f t="shared" si="61"/>
        <v>8639.5</v>
      </c>
      <c r="C126" s="5">
        <f t="shared" si="62"/>
        <v>8580.5</v>
      </c>
      <c r="D126" s="5">
        <f t="shared" si="62"/>
        <v>9440.5</v>
      </c>
      <c r="E126" s="5">
        <f t="shared" si="62"/>
        <v>10444</v>
      </c>
      <c r="F126" s="5">
        <f t="shared" si="62"/>
        <v>9930.5</v>
      </c>
      <c r="G126" s="5">
        <f t="shared" si="62"/>
        <v>8633.5</v>
      </c>
      <c r="H126" s="5">
        <f t="shared" si="62"/>
        <v>6561</v>
      </c>
      <c r="I126" s="5">
        <f t="shared" si="62"/>
        <v>6114</v>
      </c>
      <c r="L126" s="1">
        <v>2035</v>
      </c>
      <c r="M126" s="12">
        <v>9329</v>
      </c>
      <c r="N126" s="12">
        <v>7577</v>
      </c>
      <c r="O126" s="12">
        <v>11949</v>
      </c>
      <c r="P126" s="12">
        <v>11336</v>
      </c>
      <c r="Q126" s="12">
        <v>9691</v>
      </c>
      <c r="R126" s="12">
        <v>8850</v>
      </c>
      <c r="S126" s="12">
        <v>5688</v>
      </c>
      <c r="T126" s="12">
        <v>5688</v>
      </c>
      <c r="X126" s="23" t="s">
        <v>78</v>
      </c>
    </row>
    <row r="127" spans="1:24" x14ac:dyDescent="0.2">
      <c r="A127">
        <v>2036</v>
      </c>
      <c r="B127" s="5">
        <f t="shared" si="61"/>
        <v>8635.2000000000007</v>
      </c>
      <c r="C127" s="5">
        <f t="shared" si="62"/>
        <v>8576.2000000000007</v>
      </c>
      <c r="D127" s="5">
        <f t="shared" si="62"/>
        <v>9421.6</v>
      </c>
      <c r="E127" s="5">
        <f t="shared" si="62"/>
        <v>10423</v>
      </c>
      <c r="F127" s="5">
        <f>ROUND((F126+(F$131-F$121)*1/($A$131-$A$121)),1)</f>
        <v>9910.6</v>
      </c>
      <c r="G127" s="5">
        <f t="shared" si="62"/>
        <v>8616.2000000000007</v>
      </c>
      <c r="H127" s="5">
        <f t="shared" si="62"/>
        <v>6547.8</v>
      </c>
      <c r="I127" s="5">
        <f>ROUND((I126+(I$131-I$121)*1/($A$131-$A$121)),1)</f>
        <v>6101.8</v>
      </c>
      <c r="L127" s="8">
        <v>2036</v>
      </c>
      <c r="M127">
        <f>ROUND((M126+(M$131-M$126)*1/($L$131-$L$126)),0)</f>
        <v>9324</v>
      </c>
      <c r="N127">
        <f t="shared" ref="N127:T130" si="63">ROUND((N126+(N$131-N$126)*1/($L$131-$L$126)),0)</f>
        <v>7573</v>
      </c>
      <c r="O127">
        <f t="shared" si="63"/>
        <v>11925</v>
      </c>
      <c r="P127">
        <f t="shared" si="63"/>
        <v>11313</v>
      </c>
      <c r="Q127">
        <f t="shared" si="63"/>
        <v>9672</v>
      </c>
      <c r="R127">
        <f t="shared" si="63"/>
        <v>8833</v>
      </c>
      <c r="S127">
        <f t="shared" si="63"/>
        <v>5688</v>
      </c>
      <c r="T127">
        <f t="shared" si="63"/>
        <v>5688</v>
      </c>
    </row>
    <row r="128" spans="1:24" x14ac:dyDescent="0.2">
      <c r="A128">
        <v>2037</v>
      </c>
      <c r="B128" s="5">
        <f t="shared" si="61"/>
        <v>8630.9</v>
      </c>
      <c r="C128" s="5">
        <f t="shared" si="62"/>
        <v>8571.9</v>
      </c>
      <c r="D128" s="5">
        <f t="shared" si="62"/>
        <v>9402.7000000000007</v>
      </c>
      <c r="E128" s="5">
        <f t="shared" si="62"/>
        <v>10402</v>
      </c>
      <c r="F128" s="5">
        <f t="shared" si="62"/>
        <v>9890.7000000000007</v>
      </c>
      <c r="G128" s="5">
        <f t="shared" si="62"/>
        <v>8598.9</v>
      </c>
      <c r="H128" s="5">
        <f t="shared" si="62"/>
        <v>6534.6</v>
      </c>
      <c r="I128" s="5">
        <f t="shared" si="62"/>
        <v>6089.6</v>
      </c>
      <c r="L128" s="8">
        <v>2037</v>
      </c>
      <c r="M128">
        <f t="shared" ref="M128:M130" si="64">ROUND((M127+(M$131-M$126)*1/($L$131-$L$126)),0)</f>
        <v>9319</v>
      </c>
      <c r="N128">
        <f t="shared" si="63"/>
        <v>7569</v>
      </c>
      <c r="O128">
        <f t="shared" si="63"/>
        <v>11901</v>
      </c>
      <c r="P128">
        <f t="shared" si="63"/>
        <v>11290</v>
      </c>
      <c r="Q128">
        <f t="shared" si="63"/>
        <v>9653</v>
      </c>
      <c r="R128">
        <f t="shared" si="63"/>
        <v>8816</v>
      </c>
      <c r="S128">
        <f t="shared" si="63"/>
        <v>5688</v>
      </c>
      <c r="T128">
        <f t="shared" si="63"/>
        <v>5688</v>
      </c>
    </row>
    <row r="129" spans="1:44" x14ac:dyDescent="0.2">
      <c r="A129">
        <v>2038</v>
      </c>
      <c r="B129" s="5">
        <f t="shared" si="61"/>
        <v>8626.6</v>
      </c>
      <c r="C129" s="5">
        <f t="shared" si="62"/>
        <v>8567.6</v>
      </c>
      <c r="D129" s="5">
        <f t="shared" si="62"/>
        <v>9383.7999999999993</v>
      </c>
      <c r="E129" s="5">
        <f t="shared" si="62"/>
        <v>10381</v>
      </c>
      <c r="F129" s="5">
        <f t="shared" si="62"/>
        <v>9870.7999999999993</v>
      </c>
      <c r="G129" s="5">
        <f t="shared" si="62"/>
        <v>8581.6</v>
      </c>
      <c r="H129" s="5">
        <f t="shared" si="62"/>
        <v>6521.4</v>
      </c>
      <c r="I129" s="5">
        <f>ROUND((I128+(I$131-I$121)*1/($A$131-$A$121)),1)</f>
        <v>6077.4</v>
      </c>
      <c r="L129" s="8">
        <v>2038</v>
      </c>
      <c r="M129">
        <f t="shared" si="64"/>
        <v>9314</v>
      </c>
      <c r="N129">
        <f t="shared" si="63"/>
        <v>7565</v>
      </c>
      <c r="O129">
        <f t="shared" si="63"/>
        <v>11877</v>
      </c>
      <c r="P129">
        <f t="shared" si="63"/>
        <v>11267</v>
      </c>
      <c r="Q129">
        <f t="shared" si="63"/>
        <v>9634</v>
      </c>
      <c r="R129">
        <f t="shared" si="63"/>
        <v>8799</v>
      </c>
      <c r="S129">
        <f t="shared" si="63"/>
        <v>5688</v>
      </c>
      <c r="T129">
        <f t="shared" si="63"/>
        <v>5688</v>
      </c>
    </row>
    <row r="130" spans="1:44" x14ac:dyDescent="0.2">
      <c r="A130">
        <v>2039</v>
      </c>
      <c r="B130" s="5">
        <f>ROUND((B129+(B$131-B$121)*1/($A$131-$A$121)),1)</f>
        <v>8622.2999999999993</v>
      </c>
      <c r="C130" s="5">
        <f t="shared" si="62"/>
        <v>8563.2999999999993</v>
      </c>
      <c r="D130" s="5">
        <f t="shared" si="62"/>
        <v>9364.9</v>
      </c>
      <c r="E130" s="5">
        <f t="shared" si="62"/>
        <v>10360</v>
      </c>
      <c r="F130" s="5">
        <f t="shared" si="62"/>
        <v>9850.9</v>
      </c>
      <c r="G130" s="5">
        <f t="shared" si="62"/>
        <v>8564.2999999999993</v>
      </c>
      <c r="H130" s="5">
        <f t="shared" si="62"/>
        <v>6508.2</v>
      </c>
      <c r="I130" s="5">
        <f t="shared" si="62"/>
        <v>6065.2</v>
      </c>
      <c r="L130" s="8">
        <v>2039</v>
      </c>
      <c r="M130">
        <f t="shared" si="64"/>
        <v>9309</v>
      </c>
      <c r="N130">
        <f t="shared" si="63"/>
        <v>7561</v>
      </c>
      <c r="O130">
        <f t="shared" si="63"/>
        <v>11853</v>
      </c>
      <c r="P130">
        <f t="shared" si="63"/>
        <v>11244</v>
      </c>
      <c r="Q130">
        <f t="shared" si="63"/>
        <v>9615</v>
      </c>
      <c r="R130">
        <f t="shared" si="63"/>
        <v>8782</v>
      </c>
      <c r="S130">
        <f t="shared" si="63"/>
        <v>5688</v>
      </c>
      <c r="T130">
        <f t="shared" si="63"/>
        <v>5688</v>
      </c>
    </row>
    <row r="131" spans="1:44" x14ac:dyDescent="0.2">
      <c r="A131" s="1">
        <v>2040</v>
      </c>
      <c r="B131" s="10">
        <f>B$27*Tables!B127</f>
        <v>8618</v>
      </c>
      <c r="C131" s="10">
        <f>C$27*Tables!C127</f>
        <v>8559</v>
      </c>
      <c r="D131" s="10">
        <f>D$27*Tables!D127</f>
        <v>9346</v>
      </c>
      <c r="E131" s="10">
        <f>E$27*Tables!E127</f>
        <v>10339</v>
      </c>
      <c r="F131" s="10">
        <f>F$27*Tables!F127</f>
        <v>9831</v>
      </c>
      <c r="G131" s="10">
        <f>G$27*Tables!G127</f>
        <v>8547</v>
      </c>
      <c r="H131" s="10">
        <f>H$27*Tables!H127</f>
        <v>6495</v>
      </c>
      <c r="I131" s="10">
        <f>I$27*Tables!I127</f>
        <v>6053</v>
      </c>
      <c r="L131" s="1">
        <v>2040</v>
      </c>
      <c r="M131" s="12">
        <v>9305</v>
      </c>
      <c r="N131" s="12">
        <v>7559</v>
      </c>
      <c r="O131" s="12">
        <v>11831</v>
      </c>
      <c r="P131" s="12">
        <v>11223</v>
      </c>
      <c r="Q131" s="12">
        <v>9595</v>
      </c>
      <c r="R131" s="12">
        <v>8763</v>
      </c>
      <c r="S131" s="12">
        <v>5688</v>
      </c>
      <c r="T131" s="12">
        <v>5688</v>
      </c>
      <c r="X131" s="23" t="s">
        <v>78</v>
      </c>
    </row>
    <row r="132" spans="1:44" x14ac:dyDescent="0.2">
      <c r="A132">
        <v>2041</v>
      </c>
      <c r="B132" s="5">
        <f>ROUND((B131+(B$141-B$131)*1/($A$141-$A$131)),1)</f>
        <v>8615.9</v>
      </c>
      <c r="C132" s="5">
        <f t="shared" ref="C132:I140" si="65">ROUND((C131+(C$141-C$131)*1/($A$141-$A$131)),1)</f>
        <v>8556.9</v>
      </c>
      <c r="D132" s="5">
        <f t="shared" si="65"/>
        <v>9336.6</v>
      </c>
      <c r="E132" s="5">
        <f t="shared" si="65"/>
        <v>10328.700000000001</v>
      </c>
      <c r="F132" s="5">
        <f t="shared" si="65"/>
        <v>9821.2000000000007</v>
      </c>
      <c r="G132" s="5">
        <f t="shared" si="65"/>
        <v>8538.4</v>
      </c>
      <c r="H132" s="5">
        <f t="shared" si="65"/>
        <v>6488.5</v>
      </c>
      <c r="I132" s="5">
        <f t="shared" si="65"/>
        <v>6046.9</v>
      </c>
      <c r="L132" s="8">
        <v>2041</v>
      </c>
      <c r="M132">
        <f>ROUND((M131+(M$136-M$131)*1/($L$136-$L$131)),0)</f>
        <v>9300</v>
      </c>
      <c r="N132">
        <f t="shared" ref="N132:T135" si="66">ROUND((N131+(N$136-N$131)*1/($L$136-$L$131)),0)</f>
        <v>7555</v>
      </c>
      <c r="O132">
        <f t="shared" si="66"/>
        <v>11808</v>
      </c>
      <c r="P132">
        <f t="shared" si="66"/>
        <v>11201</v>
      </c>
      <c r="Q132">
        <f t="shared" si="66"/>
        <v>9576</v>
      </c>
      <c r="R132">
        <f t="shared" si="66"/>
        <v>8746</v>
      </c>
      <c r="S132">
        <f t="shared" si="66"/>
        <v>5688</v>
      </c>
      <c r="T132">
        <f t="shared" si="66"/>
        <v>5688</v>
      </c>
    </row>
    <row r="133" spans="1:44" x14ac:dyDescent="0.2">
      <c r="A133">
        <v>2042</v>
      </c>
      <c r="B133" s="5">
        <f t="shared" ref="B133:B140" si="67">ROUND((B132+(B$141-B$131)*1/($A$141-$A$131)),1)</f>
        <v>8613.7999999999993</v>
      </c>
      <c r="C133" s="5">
        <f t="shared" si="65"/>
        <v>8554.7999999999993</v>
      </c>
      <c r="D133" s="5">
        <f t="shared" si="65"/>
        <v>9327.2000000000007</v>
      </c>
      <c r="E133" s="5">
        <f t="shared" si="65"/>
        <v>10318.4</v>
      </c>
      <c r="F133" s="5">
        <f t="shared" si="65"/>
        <v>9811.4</v>
      </c>
      <c r="G133" s="5">
        <f t="shared" si="65"/>
        <v>8529.7999999999993</v>
      </c>
      <c r="H133" s="5">
        <f t="shared" si="65"/>
        <v>6482</v>
      </c>
      <c r="I133" s="5">
        <f t="shared" si="65"/>
        <v>6040.8</v>
      </c>
      <c r="L133" s="8">
        <v>2042</v>
      </c>
      <c r="M133">
        <f t="shared" ref="M133:M135" si="68">ROUND((M132+(M$136-M$131)*1/($L$136-$L$131)),0)</f>
        <v>9295</v>
      </c>
      <c r="N133">
        <f t="shared" si="66"/>
        <v>7551</v>
      </c>
      <c r="O133">
        <f t="shared" si="66"/>
        <v>11785</v>
      </c>
      <c r="P133">
        <f t="shared" si="66"/>
        <v>11179</v>
      </c>
      <c r="Q133">
        <f t="shared" si="66"/>
        <v>9557</v>
      </c>
      <c r="R133">
        <f t="shared" si="66"/>
        <v>8729</v>
      </c>
      <c r="S133">
        <f t="shared" si="66"/>
        <v>5688</v>
      </c>
      <c r="T133">
        <f t="shared" si="66"/>
        <v>5688</v>
      </c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44" x14ac:dyDescent="0.2">
      <c r="A134">
        <v>2043</v>
      </c>
      <c r="B134" s="5">
        <f>ROUND((B133+(B$141-B$131)*1/($A$141-$A$131)),1)</f>
        <v>8611.7000000000007</v>
      </c>
      <c r="C134" s="5">
        <f>ROUND((C133+(C$141-C$131)*1/($A$141-$A$131)),1)</f>
        <v>8552.7000000000007</v>
      </c>
      <c r="D134" s="5">
        <f>ROUND((D133+(D$141-D$131)*1/($A$141-$A$131)),1)</f>
        <v>9317.7999999999993</v>
      </c>
      <c r="E134" s="5">
        <f>ROUND((E133+(E$141-E$131)*1/($A$141-$A$131)),1)</f>
        <v>10308.1</v>
      </c>
      <c r="F134" s="5">
        <f t="shared" si="65"/>
        <v>9801.6</v>
      </c>
      <c r="G134" s="5">
        <f>ROUND((G133+(G$141-G$131)*1/($A$141-$A$131)),1)</f>
        <v>8521.2000000000007</v>
      </c>
      <c r="H134" s="5">
        <f>ROUND((H133+(H$141-H$131)*1/($A$141-$A$131)),1)</f>
        <v>6475.5</v>
      </c>
      <c r="I134" s="5">
        <f>ROUND((I133+(I$141-I$131)*1/($A$141-$A$131)),1)</f>
        <v>6034.7</v>
      </c>
      <c r="L134" s="8">
        <v>2043</v>
      </c>
      <c r="M134">
        <f t="shared" si="68"/>
        <v>9290</v>
      </c>
      <c r="N134">
        <f t="shared" si="66"/>
        <v>7547</v>
      </c>
      <c r="O134">
        <f t="shared" si="66"/>
        <v>11762</v>
      </c>
      <c r="P134">
        <f t="shared" si="66"/>
        <v>11157</v>
      </c>
      <c r="Q134">
        <f t="shared" si="66"/>
        <v>9538</v>
      </c>
      <c r="R134">
        <f t="shared" si="66"/>
        <v>8712</v>
      </c>
      <c r="S134">
        <f t="shared" si="66"/>
        <v>5688</v>
      </c>
      <c r="T134">
        <f t="shared" si="66"/>
        <v>5688</v>
      </c>
      <c r="X134" s="8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>
        <v>2044</v>
      </c>
      <c r="B135" s="5">
        <f t="shared" si="67"/>
        <v>8609.6</v>
      </c>
      <c r="C135" s="5">
        <f t="shared" si="65"/>
        <v>8550.6</v>
      </c>
      <c r="D135" s="5">
        <f t="shared" si="65"/>
        <v>9308.4</v>
      </c>
      <c r="E135" s="5">
        <f t="shared" si="65"/>
        <v>10297.799999999999</v>
      </c>
      <c r="F135" s="5">
        <f t="shared" si="65"/>
        <v>9791.7999999999993</v>
      </c>
      <c r="G135" s="5">
        <f t="shared" si="65"/>
        <v>8512.6</v>
      </c>
      <c r="H135" s="5">
        <f>ROUND((H134+(H$141-H$131)*1/($A$141-$A$131)),1)</f>
        <v>6469</v>
      </c>
      <c r="I135" s="5">
        <f>ROUND((I134+(I$141-I$131)*1/($A$141-$A$131)),1)</f>
        <v>6028.6</v>
      </c>
      <c r="L135" s="8">
        <v>2044</v>
      </c>
      <c r="M135">
        <f t="shared" si="68"/>
        <v>9285</v>
      </c>
      <c r="N135">
        <f t="shared" si="66"/>
        <v>7543</v>
      </c>
      <c r="O135">
        <f t="shared" si="66"/>
        <v>11739</v>
      </c>
      <c r="P135">
        <f t="shared" si="66"/>
        <v>11135</v>
      </c>
      <c r="Q135">
        <f t="shared" si="66"/>
        <v>9519</v>
      </c>
      <c r="R135">
        <f t="shared" si="66"/>
        <v>8695</v>
      </c>
      <c r="S135">
        <f t="shared" si="66"/>
        <v>5688</v>
      </c>
      <c r="T135">
        <f t="shared" si="66"/>
        <v>5688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8">
        <v>2045</v>
      </c>
      <c r="B136" s="5">
        <f t="shared" si="67"/>
        <v>8607.5</v>
      </c>
      <c r="C136" s="5">
        <f t="shared" si="65"/>
        <v>8548.5</v>
      </c>
      <c r="D136" s="5">
        <f t="shared" si="65"/>
        <v>9299</v>
      </c>
      <c r="E136" s="5">
        <f t="shared" si="65"/>
        <v>10287.5</v>
      </c>
      <c r="F136" s="5">
        <f t="shared" si="65"/>
        <v>9782</v>
      </c>
      <c r="G136" s="5">
        <f t="shared" si="65"/>
        <v>8504</v>
      </c>
      <c r="H136" s="5">
        <f t="shared" si="65"/>
        <v>6462.5</v>
      </c>
      <c r="I136" s="5">
        <f t="shared" si="65"/>
        <v>6022.5</v>
      </c>
      <c r="L136" s="1">
        <v>2045</v>
      </c>
      <c r="M136" s="12">
        <v>9281</v>
      </c>
      <c r="N136" s="12">
        <v>7541</v>
      </c>
      <c r="O136" s="12">
        <v>11714</v>
      </c>
      <c r="P136" s="12">
        <v>11111</v>
      </c>
      <c r="Q136" s="12">
        <v>9500</v>
      </c>
      <c r="R136" s="12">
        <v>8677</v>
      </c>
      <c r="S136" s="12">
        <v>5688</v>
      </c>
      <c r="T136" s="12">
        <v>5688</v>
      </c>
      <c r="X136" s="23" t="s">
        <v>88</v>
      </c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>
        <v>2046</v>
      </c>
      <c r="B137" s="5">
        <f t="shared" si="67"/>
        <v>8605.4</v>
      </c>
      <c r="C137" s="5">
        <f>ROUND((C136+(C$141-C$131)*1/($A$141-$A$131)),1)</f>
        <v>8546.4</v>
      </c>
      <c r="D137" s="5">
        <f t="shared" si="65"/>
        <v>9289.6</v>
      </c>
      <c r="E137" s="5">
        <f t="shared" si="65"/>
        <v>10277.200000000001</v>
      </c>
      <c r="F137" s="5">
        <f>ROUND((F136+(F$141-F$131)*1/($A$141-$A$131)),1)</f>
        <v>9772.2000000000007</v>
      </c>
      <c r="G137" s="5">
        <f t="shared" si="65"/>
        <v>8495.4</v>
      </c>
      <c r="H137" s="5">
        <f t="shared" si="65"/>
        <v>6456</v>
      </c>
      <c r="I137" s="5">
        <f t="shared" si="65"/>
        <v>6016.4</v>
      </c>
      <c r="L137" s="8">
        <v>2046</v>
      </c>
      <c r="M137">
        <f>ROUND((M136+(M$141-M$136)*1/($L$141-$L$136)),0)</f>
        <v>9276</v>
      </c>
      <c r="N137">
        <f t="shared" ref="N137:T140" si="69">ROUND((N136+(N$141-N$136)*1/($L$141-$L$136)),0)</f>
        <v>7537</v>
      </c>
      <c r="O137">
        <f t="shared" si="69"/>
        <v>11691</v>
      </c>
      <c r="P137">
        <f t="shared" si="69"/>
        <v>11089</v>
      </c>
      <c r="Q137">
        <f t="shared" si="69"/>
        <v>9481</v>
      </c>
      <c r="R137">
        <f t="shared" si="69"/>
        <v>8660</v>
      </c>
      <c r="S137">
        <f t="shared" si="69"/>
        <v>5688</v>
      </c>
      <c r="T137">
        <f t="shared" si="69"/>
        <v>5688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>
        <v>2047</v>
      </c>
      <c r="B138" s="5">
        <f>ROUND((B137+(B$141-B$131)*1/($A$141-$A$131)),1)</f>
        <v>8603.2999999999993</v>
      </c>
      <c r="C138" s="5">
        <f>ROUND((C137+(C$141-C$131)*1/($A$141-$A$131)),1)</f>
        <v>8544.2999999999993</v>
      </c>
      <c r="D138" s="5">
        <f>ROUND((D137+(D$141-D$131)*1/($A$141-$A$131)),1)</f>
        <v>9280.2000000000007</v>
      </c>
      <c r="E138" s="5">
        <f>ROUND((E137+(E$141-E$131)*1/($A$141-$A$131)),1)</f>
        <v>10266.9</v>
      </c>
      <c r="F138" s="5">
        <f>ROUND((F137+(F$141-F$131)*1/($A$141-$A$131)),1)</f>
        <v>9762.4</v>
      </c>
      <c r="G138" s="5">
        <f>ROUND((G137+(G$141-G$131)*1/($A$141-$A$131)),1)</f>
        <v>8486.7999999999993</v>
      </c>
      <c r="H138" s="5">
        <f>ROUND((H137+(H$141-H$131)*1/($A$141-$A$131)),1)</f>
        <v>6449.5</v>
      </c>
      <c r="I138" s="5">
        <f>ROUND((I137+(I$141-I$131)*1/($A$141-$A$131)),1)</f>
        <v>6010.3</v>
      </c>
      <c r="L138" s="8">
        <v>2047</v>
      </c>
      <c r="M138">
        <f t="shared" ref="M138:M140" si="70">ROUND((M137+(M$141-M$136)*1/($L$141-$L$136)),0)</f>
        <v>9271</v>
      </c>
      <c r="N138">
        <f t="shared" si="69"/>
        <v>7533</v>
      </c>
      <c r="O138">
        <f t="shared" si="69"/>
        <v>11668</v>
      </c>
      <c r="P138">
        <f t="shared" si="69"/>
        <v>11067</v>
      </c>
      <c r="Q138">
        <f t="shared" si="69"/>
        <v>9462</v>
      </c>
      <c r="R138">
        <f t="shared" si="69"/>
        <v>8643</v>
      </c>
      <c r="S138">
        <f t="shared" si="69"/>
        <v>5688</v>
      </c>
      <c r="T138">
        <f t="shared" si="69"/>
        <v>5688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44" x14ac:dyDescent="0.2">
      <c r="A139">
        <v>2048</v>
      </c>
      <c r="B139" s="5">
        <f t="shared" si="67"/>
        <v>8601.2000000000007</v>
      </c>
      <c r="C139" s="5">
        <f t="shared" si="65"/>
        <v>8542.2000000000007</v>
      </c>
      <c r="D139" s="5">
        <f t="shared" si="65"/>
        <v>9270.7999999999993</v>
      </c>
      <c r="E139" s="5">
        <f t="shared" si="65"/>
        <v>10256.6</v>
      </c>
      <c r="F139" s="5">
        <f t="shared" si="65"/>
        <v>9752.6</v>
      </c>
      <c r="G139" s="5">
        <f t="shared" si="65"/>
        <v>8478.2000000000007</v>
      </c>
      <c r="H139" s="5">
        <f t="shared" si="65"/>
        <v>6443</v>
      </c>
      <c r="I139" s="5">
        <f t="shared" si="65"/>
        <v>6004.2</v>
      </c>
      <c r="L139" s="8">
        <v>2048</v>
      </c>
      <c r="M139">
        <f t="shared" si="70"/>
        <v>9266</v>
      </c>
      <c r="N139">
        <f t="shared" si="69"/>
        <v>7529</v>
      </c>
      <c r="O139">
        <f t="shared" si="69"/>
        <v>11645</v>
      </c>
      <c r="P139">
        <f t="shared" si="69"/>
        <v>11045</v>
      </c>
      <c r="Q139">
        <f t="shared" si="69"/>
        <v>9443</v>
      </c>
      <c r="R139">
        <f t="shared" si="69"/>
        <v>8626</v>
      </c>
      <c r="S139">
        <f t="shared" si="69"/>
        <v>5688</v>
      </c>
      <c r="T139">
        <f t="shared" si="69"/>
        <v>5688</v>
      </c>
      <c r="X139" s="8"/>
      <c r="AB139" s="5"/>
      <c r="AC139" s="5"/>
      <c r="AD139" s="5"/>
      <c r="AE139" s="5"/>
      <c r="AF139" s="5"/>
      <c r="AG139" s="5"/>
      <c r="AH139" s="5"/>
      <c r="AI139" s="5"/>
    </row>
    <row r="140" spans="1:44" x14ac:dyDescent="0.2">
      <c r="A140">
        <v>2049</v>
      </c>
      <c r="B140" s="5">
        <f t="shared" si="67"/>
        <v>8599.1</v>
      </c>
      <c r="C140" s="5">
        <f t="shared" si="65"/>
        <v>8540.1</v>
      </c>
      <c r="D140" s="5">
        <f t="shared" si="65"/>
        <v>9261.4</v>
      </c>
      <c r="E140" s="5">
        <f t="shared" si="65"/>
        <v>10246.299999999999</v>
      </c>
      <c r="F140" s="5">
        <f t="shared" si="65"/>
        <v>9742.7999999999993</v>
      </c>
      <c r="G140" s="5">
        <f>ROUND((G139+(G$141-G$131)*1/($A$141-$A$131)),1)</f>
        <v>8469.6</v>
      </c>
      <c r="H140" s="5">
        <f t="shared" si="65"/>
        <v>6436.5</v>
      </c>
      <c r="I140" s="5">
        <f t="shared" si="65"/>
        <v>5998.1</v>
      </c>
      <c r="L140" s="8">
        <v>2049</v>
      </c>
      <c r="M140">
        <f t="shared" si="70"/>
        <v>9261</v>
      </c>
      <c r="N140">
        <f t="shared" si="69"/>
        <v>7525</v>
      </c>
      <c r="O140">
        <f t="shared" si="69"/>
        <v>11622</v>
      </c>
      <c r="P140">
        <f t="shared" si="69"/>
        <v>11023</v>
      </c>
      <c r="Q140">
        <f t="shared" si="69"/>
        <v>9424</v>
      </c>
      <c r="R140">
        <f t="shared" si="69"/>
        <v>8609</v>
      </c>
      <c r="S140">
        <f t="shared" si="69"/>
        <v>5688</v>
      </c>
      <c r="T140">
        <f t="shared" si="69"/>
        <v>5688</v>
      </c>
    </row>
    <row r="141" spans="1:44" x14ac:dyDescent="0.2">
      <c r="A141" s="1">
        <v>2050</v>
      </c>
      <c r="B141" s="10">
        <f>B$27*Tables!B156</f>
        <v>8597</v>
      </c>
      <c r="C141" s="10">
        <f>C$27*Tables!C156</f>
        <v>8538</v>
      </c>
      <c r="D141" s="10">
        <f>D$27*Tables!D156</f>
        <v>9252</v>
      </c>
      <c r="E141" s="10">
        <f>E$27*Tables!E156</f>
        <v>10236</v>
      </c>
      <c r="F141" s="10">
        <f>F$27*Tables!F156</f>
        <v>9733</v>
      </c>
      <c r="G141" s="10">
        <f>G$27*Tables!G156</f>
        <v>8461</v>
      </c>
      <c r="H141" s="10">
        <f>H$27*Tables!H156</f>
        <v>6430</v>
      </c>
      <c r="I141" s="10">
        <f>I$27*Tables!I156</f>
        <v>5992</v>
      </c>
      <c r="L141" s="1">
        <v>2050</v>
      </c>
      <c r="M141" s="12">
        <v>9257</v>
      </c>
      <c r="N141" s="12">
        <v>7523</v>
      </c>
      <c r="O141" s="12">
        <v>11598</v>
      </c>
      <c r="P141" s="12">
        <v>11000</v>
      </c>
      <c r="Q141" s="12">
        <v>9406</v>
      </c>
      <c r="R141" s="12">
        <v>8592</v>
      </c>
      <c r="S141" s="12">
        <v>5688</v>
      </c>
      <c r="T141" s="12">
        <v>5688</v>
      </c>
      <c r="X141" s="23" t="s">
        <v>88</v>
      </c>
    </row>
    <row r="144" spans="1:44" x14ac:dyDescent="0.2">
      <c r="B144" s="2" t="s">
        <v>13</v>
      </c>
      <c r="C144" s="2" t="s">
        <v>13</v>
      </c>
      <c r="D144" s="2" t="s">
        <v>14</v>
      </c>
      <c r="E144" s="2" t="s">
        <v>14</v>
      </c>
      <c r="F144" s="2" t="s">
        <v>14</v>
      </c>
      <c r="G144" s="2" t="s">
        <v>14</v>
      </c>
      <c r="H144" s="2" t="s">
        <v>14</v>
      </c>
      <c r="I144" s="2" t="s">
        <v>15</v>
      </c>
      <c r="M144" s="2" t="s">
        <v>13</v>
      </c>
      <c r="N144" s="2" t="s">
        <v>13</v>
      </c>
      <c r="O144" s="2" t="s">
        <v>14</v>
      </c>
      <c r="P144" s="2" t="s">
        <v>14</v>
      </c>
      <c r="Q144" s="2" t="s">
        <v>14</v>
      </c>
      <c r="R144" s="2" t="s">
        <v>14</v>
      </c>
      <c r="S144" s="2" t="s">
        <v>14</v>
      </c>
      <c r="T144" s="2" t="s">
        <v>15</v>
      </c>
    </row>
    <row r="145" spans="1:24" ht="42" customHeight="1" x14ac:dyDescent="0.2">
      <c r="A145" t="s">
        <v>23</v>
      </c>
      <c r="B145" s="24" t="s">
        <v>79</v>
      </c>
      <c r="C145" s="24" t="s">
        <v>80</v>
      </c>
      <c r="D145" s="24" t="s">
        <v>81</v>
      </c>
      <c r="E145" s="24" t="s">
        <v>82</v>
      </c>
      <c r="F145" s="24" t="s">
        <v>83</v>
      </c>
      <c r="G145" s="24" t="s">
        <v>84</v>
      </c>
      <c r="H145" s="24" t="s">
        <v>85</v>
      </c>
      <c r="I145" s="24" t="s">
        <v>86</v>
      </c>
      <c r="L145" t="s">
        <v>23</v>
      </c>
      <c r="M145" s="24" t="s">
        <v>79</v>
      </c>
      <c r="N145" s="24" t="s">
        <v>80</v>
      </c>
      <c r="O145" s="24" t="s">
        <v>81</v>
      </c>
      <c r="P145" s="24" t="s">
        <v>82</v>
      </c>
      <c r="Q145" s="24" t="s">
        <v>83</v>
      </c>
      <c r="R145" s="24" t="s">
        <v>84</v>
      </c>
      <c r="S145" s="24" t="s">
        <v>85</v>
      </c>
      <c r="T145" s="24" t="s">
        <v>86</v>
      </c>
    </row>
    <row r="146" spans="1:24" x14ac:dyDescent="0.2">
      <c r="A146" s="107">
        <v>2003</v>
      </c>
      <c r="B146" s="108">
        <v>0</v>
      </c>
      <c r="C146" s="108">
        <v>0</v>
      </c>
      <c r="D146" s="108">
        <v>0</v>
      </c>
      <c r="E146" s="108">
        <v>0</v>
      </c>
      <c r="F146" s="108">
        <v>0</v>
      </c>
      <c r="G146" s="108">
        <v>0</v>
      </c>
      <c r="H146" s="108">
        <v>0</v>
      </c>
      <c r="I146" s="108">
        <v>0</v>
      </c>
      <c r="L146" s="107">
        <v>2003</v>
      </c>
      <c r="M146" s="108">
        <v>0</v>
      </c>
      <c r="N146" s="108">
        <v>0</v>
      </c>
      <c r="O146" s="108">
        <v>0</v>
      </c>
      <c r="P146" s="108">
        <v>0</v>
      </c>
      <c r="Q146" s="108">
        <v>0</v>
      </c>
      <c r="R146" s="108">
        <v>0</v>
      </c>
      <c r="S146" s="108">
        <v>0</v>
      </c>
      <c r="T146" s="108">
        <v>0</v>
      </c>
    </row>
    <row r="147" spans="1:24" x14ac:dyDescent="0.2">
      <c r="A147" s="106">
        <v>2004</v>
      </c>
      <c r="B147" s="108">
        <v>0</v>
      </c>
      <c r="C147" s="108">
        <v>0</v>
      </c>
      <c r="D147" s="108">
        <v>0</v>
      </c>
      <c r="E147" s="108">
        <v>0</v>
      </c>
      <c r="F147" s="108">
        <v>0</v>
      </c>
      <c r="G147" s="108">
        <v>0</v>
      </c>
      <c r="H147" s="108">
        <v>0</v>
      </c>
      <c r="I147" s="108">
        <v>0</v>
      </c>
      <c r="L147" s="106">
        <v>2004</v>
      </c>
      <c r="M147" s="108">
        <v>0</v>
      </c>
      <c r="N147" s="108">
        <v>0</v>
      </c>
      <c r="O147" s="108">
        <v>0</v>
      </c>
      <c r="P147" s="108">
        <v>0</v>
      </c>
      <c r="Q147" s="108">
        <v>0</v>
      </c>
      <c r="R147" s="108">
        <v>0</v>
      </c>
      <c r="S147" s="108">
        <v>0</v>
      </c>
      <c r="T147" s="108">
        <v>0</v>
      </c>
    </row>
    <row r="148" spans="1:24" x14ac:dyDescent="0.2">
      <c r="A148" s="106">
        <v>2005</v>
      </c>
      <c r="B148" s="108">
        <v>0</v>
      </c>
      <c r="C148" s="108">
        <v>0</v>
      </c>
      <c r="D148" s="108">
        <v>0</v>
      </c>
      <c r="E148" s="108">
        <v>0</v>
      </c>
      <c r="F148" s="108">
        <v>0</v>
      </c>
      <c r="G148" s="108">
        <v>0</v>
      </c>
      <c r="H148" s="108">
        <v>0</v>
      </c>
      <c r="I148" s="108">
        <v>0</v>
      </c>
      <c r="L148" s="106">
        <v>2005</v>
      </c>
      <c r="M148" s="108">
        <v>0</v>
      </c>
      <c r="N148" s="108">
        <v>0</v>
      </c>
      <c r="O148" s="108">
        <v>0</v>
      </c>
      <c r="P148" s="108">
        <v>0</v>
      </c>
      <c r="Q148" s="108">
        <v>0</v>
      </c>
      <c r="R148" s="108">
        <v>0</v>
      </c>
      <c r="S148" s="108">
        <v>0</v>
      </c>
      <c r="T148" s="108">
        <v>0</v>
      </c>
    </row>
    <row r="149" spans="1:24" x14ac:dyDescent="0.2">
      <c r="A149" s="107">
        <v>2006</v>
      </c>
      <c r="B149" s="108">
        <v>0</v>
      </c>
      <c r="C149" s="108">
        <v>0</v>
      </c>
      <c r="D149" s="108">
        <v>0</v>
      </c>
      <c r="E149" s="108">
        <v>0</v>
      </c>
      <c r="F149" s="108">
        <v>0</v>
      </c>
      <c r="G149" s="108">
        <v>0</v>
      </c>
      <c r="H149" s="108">
        <v>0</v>
      </c>
      <c r="I149" s="108">
        <v>0</v>
      </c>
      <c r="L149" s="107">
        <v>2006</v>
      </c>
      <c r="M149" s="108">
        <v>0</v>
      </c>
      <c r="N149" s="108">
        <v>0</v>
      </c>
      <c r="O149" s="108">
        <v>0</v>
      </c>
      <c r="P149" s="108">
        <v>0</v>
      </c>
      <c r="Q149" s="108">
        <v>0</v>
      </c>
      <c r="R149" s="108">
        <v>0</v>
      </c>
      <c r="S149" s="108">
        <v>0</v>
      </c>
      <c r="T149" s="108">
        <v>0</v>
      </c>
    </row>
    <row r="150" spans="1:24" x14ac:dyDescent="0.2">
      <c r="A150" s="106">
        <v>2007</v>
      </c>
      <c r="B150" s="108">
        <v>0</v>
      </c>
      <c r="C150" s="108">
        <v>0</v>
      </c>
      <c r="D150" s="108">
        <v>0</v>
      </c>
      <c r="E150" s="108">
        <v>0</v>
      </c>
      <c r="F150" s="108">
        <v>0</v>
      </c>
      <c r="G150" s="108">
        <v>0</v>
      </c>
      <c r="H150" s="108">
        <v>0</v>
      </c>
      <c r="I150" s="108">
        <v>0</v>
      </c>
      <c r="L150" s="106">
        <v>2007</v>
      </c>
      <c r="M150" s="108">
        <v>0</v>
      </c>
      <c r="N150" s="108">
        <v>0</v>
      </c>
      <c r="O150" s="108">
        <v>0</v>
      </c>
      <c r="P150" s="108">
        <v>0</v>
      </c>
      <c r="Q150" s="108">
        <v>0</v>
      </c>
      <c r="R150" s="108">
        <v>0</v>
      </c>
      <c r="S150" s="108">
        <v>0</v>
      </c>
      <c r="T150" s="108">
        <v>0</v>
      </c>
    </row>
    <row r="151" spans="1:24" x14ac:dyDescent="0.2">
      <c r="A151" s="106">
        <v>2008</v>
      </c>
      <c r="B151" s="108">
        <v>0</v>
      </c>
      <c r="C151" s="108">
        <v>0</v>
      </c>
      <c r="D151" s="108">
        <v>0</v>
      </c>
      <c r="E151" s="108">
        <v>0</v>
      </c>
      <c r="F151" s="108">
        <v>0</v>
      </c>
      <c r="G151" s="108">
        <v>0</v>
      </c>
      <c r="H151" s="108">
        <v>0</v>
      </c>
      <c r="I151" s="108">
        <v>0</v>
      </c>
      <c r="L151" s="106">
        <v>2008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</row>
    <row r="152" spans="1:24" x14ac:dyDescent="0.2">
      <c r="A152" s="107">
        <v>2009</v>
      </c>
      <c r="B152" s="108">
        <v>0</v>
      </c>
      <c r="C152" s="108">
        <v>0</v>
      </c>
      <c r="D152" s="108">
        <v>0</v>
      </c>
      <c r="E152" s="108">
        <v>0</v>
      </c>
      <c r="F152" s="108">
        <v>0</v>
      </c>
      <c r="G152" s="108">
        <v>0</v>
      </c>
      <c r="H152" s="108">
        <v>0</v>
      </c>
      <c r="I152" s="108">
        <v>0</v>
      </c>
      <c r="L152" s="107">
        <v>2009</v>
      </c>
      <c r="M152" s="108">
        <v>0</v>
      </c>
      <c r="N152" s="108">
        <v>0</v>
      </c>
      <c r="O152" s="108">
        <v>0</v>
      </c>
      <c r="P152" s="108">
        <v>0</v>
      </c>
      <c r="Q152" s="108">
        <v>0</v>
      </c>
      <c r="R152" s="108">
        <v>0</v>
      </c>
      <c r="S152" s="108">
        <v>0</v>
      </c>
      <c r="T152" s="108">
        <v>0</v>
      </c>
    </row>
    <row r="153" spans="1:24" x14ac:dyDescent="0.2">
      <c r="A153" s="106">
        <v>2010</v>
      </c>
      <c r="B153" s="108">
        <v>0</v>
      </c>
      <c r="C153" s="108">
        <v>0</v>
      </c>
      <c r="D153" s="108">
        <v>0</v>
      </c>
      <c r="E153" s="108">
        <v>0</v>
      </c>
      <c r="F153" s="108">
        <v>0</v>
      </c>
      <c r="G153" s="108">
        <v>0</v>
      </c>
      <c r="H153" s="108">
        <v>0</v>
      </c>
      <c r="I153" s="108">
        <v>0</v>
      </c>
      <c r="L153" s="106">
        <v>2010</v>
      </c>
      <c r="M153" s="108">
        <v>0</v>
      </c>
      <c r="N153" s="108">
        <v>0</v>
      </c>
      <c r="O153" s="108">
        <v>0</v>
      </c>
      <c r="P153" s="108">
        <v>0</v>
      </c>
      <c r="Q153" s="108">
        <v>0</v>
      </c>
      <c r="R153" s="108">
        <v>0</v>
      </c>
      <c r="S153" s="108">
        <v>0</v>
      </c>
      <c r="T153" s="108">
        <v>0</v>
      </c>
    </row>
    <row r="154" spans="1:24" x14ac:dyDescent="0.2">
      <c r="A154" s="107">
        <v>2011</v>
      </c>
      <c r="B154" s="108">
        <v>0</v>
      </c>
      <c r="C154" s="108">
        <v>0</v>
      </c>
      <c r="D154" s="108">
        <v>0</v>
      </c>
      <c r="E154" s="108">
        <v>0</v>
      </c>
      <c r="F154" s="108">
        <v>0</v>
      </c>
      <c r="G154" s="108">
        <v>0</v>
      </c>
      <c r="H154" s="108">
        <v>0</v>
      </c>
      <c r="I154" s="108">
        <v>0</v>
      </c>
      <c r="L154" s="107">
        <v>2011</v>
      </c>
      <c r="M154" s="108">
        <v>0</v>
      </c>
      <c r="N154" s="108">
        <v>0</v>
      </c>
      <c r="O154" s="108">
        <v>0</v>
      </c>
      <c r="P154" s="108">
        <v>0</v>
      </c>
      <c r="Q154" s="108">
        <v>0</v>
      </c>
      <c r="R154" s="108">
        <v>0</v>
      </c>
      <c r="S154" s="108">
        <v>0</v>
      </c>
      <c r="T154" s="108">
        <v>0</v>
      </c>
    </row>
    <row r="155" spans="1:24" x14ac:dyDescent="0.2">
      <c r="A155" s="106">
        <v>2012</v>
      </c>
      <c r="B155" s="108">
        <v>0</v>
      </c>
      <c r="C155" s="108">
        <v>0</v>
      </c>
      <c r="D155" s="108">
        <v>0</v>
      </c>
      <c r="E155" s="108">
        <v>0</v>
      </c>
      <c r="F155" s="108">
        <v>0</v>
      </c>
      <c r="G155" s="108">
        <v>0</v>
      </c>
      <c r="H155" s="108">
        <v>0</v>
      </c>
      <c r="I155" s="108">
        <v>0</v>
      </c>
      <c r="L155" s="106">
        <v>2012</v>
      </c>
      <c r="M155" s="108">
        <v>0</v>
      </c>
      <c r="N155" s="108">
        <v>0</v>
      </c>
      <c r="O155" s="108">
        <v>0</v>
      </c>
      <c r="P155" s="108">
        <v>0</v>
      </c>
      <c r="Q155" s="108">
        <v>0</v>
      </c>
      <c r="R155" s="108">
        <v>0</v>
      </c>
      <c r="S155" s="108">
        <v>0</v>
      </c>
      <c r="T155" s="108">
        <v>0</v>
      </c>
    </row>
    <row r="156" spans="1:24" x14ac:dyDescent="0.2">
      <c r="A156" s="107">
        <v>2013</v>
      </c>
      <c r="B156" s="108">
        <v>0</v>
      </c>
      <c r="C156" s="108">
        <v>0</v>
      </c>
      <c r="D156" s="108">
        <v>0</v>
      </c>
      <c r="E156" s="108">
        <v>0</v>
      </c>
      <c r="F156" s="108">
        <v>0</v>
      </c>
      <c r="G156" s="108">
        <v>0</v>
      </c>
      <c r="H156" s="108">
        <v>0</v>
      </c>
      <c r="I156" s="108">
        <v>0</v>
      </c>
      <c r="L156" s="107">
        <v>2013</v>
      </c>
      <c r="M156" s="108">
        <v>0</v>
      </c>
      <c r="N156" s="108">
        <v>0</v>
      </c>
      <c r="O156" s="108">
        <v>0</v>
      </c>
      <c r="P156" s="108">
        <v>0</v>
      </c>
      <c r="Q156" s="108">
        <v>0</v>
      </c>
      <c r="R156" s="108">
        <v>0</v>
      </c>
      <c r="S156" s="108">
        <v>0</v>
      </c>
      <c r="T156" s="108">
        <v>0</v>
      </c>
    </row>
    <row r="157" spans="1:24" x14ac:dyDescent="0.2">
      <c r="A157" s="106">
        <v>2014</v>
      </c>
      <c r="B157" s="108">
        <v>0</v>
      </c>
      <c r="C157" s="108">
        <v>0</v>
      </c>
      <c r="D157" s="108">
        <v>0</v>
      </c>
      <c r="E157" s="108">
        <v>0</v>
      </c>
      <c r="F157" s="108">
        <v>0</v>
      </c>
      <c r="G157" s="108">
        <v>0</v>
      </c>
      <c r="H157" s="108">
        <v>0</v>
      </c>
      <c r="I157" s="108">
        <v>0</v>
      </c>
      <c r="L157" s="106">
        <v>2014</v>
      </c>
      <c r="M157" s="108">
        <v>0</v>
      </c>
      <c r="N157" s="108">
        <v>0</v>
      </c>
      <c r="O157" s="108">
        <v>0</v>
      </c>
      <c r="P157" s="108">
        <v>0</v>
      </c>
      <c r="Q157" s="108">
        <v>0</v>
      </c>
      <c r="R157" s="108">
        <v>0</v>
      </c>
      <c r="S157" s="108">
        <v>0</v>
      </c>
      <c r="T157" s="108">
        <v>0</v>
      </c>
    </row>
    <row r="158" spans="1:24" x14ac:dyDescent="0.2">
      <c r="A158" s="1">
        <v>2015</v>
      </c>
      <c r="B158" s="100">
        <f t="shared" ref="B158:I158" si="71">B29</f>
        <v>0.78099999999999992</v>
      </c>
      <c r="C158" s="100">
        <f t="shared" si="71"/>
        <v>0.77370000000000005</v>
      </c>
      <c r="D158" s="100">
        <f t="shared" si="71"/>
        <v>0.65930000000000011</v>
      </c>
      <c r="E158" s="100">
        <f t="shared" si="71"/>
        <v>0.68379999999999996</v>
      </c>
      <c r="F158" s="100">
        <f t="shared" si="71"/>
        <v>0.71010000000000006</v>
      </c>
      <c r="G158" s="100">
        <f t="shared" si="71"/>
        <v>0.71970000000000001</v>
      </c>
      <c r="H158" s="100">
        <f t="shared" si="71"/>
        <v>0.64950000000000008</v>
      </c>
      <c r="I158" s="100">
        <f t="shared" si="71"/>
        <v>0.82950000000000002</v>
      </c>
      <c r="L158" s="1">
        <v>2015</v>
      </c>
      <c r="M158" s="12">
        <v>0.78500000000000003</v>
      </c>
      <c r="N158" s="12">
        <v>0.85799999999999998</v>
      </c>
      <c r="O158" s="12">
        <v>0.68400000000000005</v>
      </c>
      <c r="P158" s="12">
        <v>0.70350000000000001</v>
      </c>
      <c r="Q158" s="12">
        <v>0.74399999999999999</v>
      </c>
      <c r="R158" s="12">
        <v>0.69199999999999995</v>
      </c>
      <c r="S158" s="12">
        <v>0.48499999999999999</v>
      </c>
      <c r="T158" s="12">
        <v>0.48499999999999999</v>
      </c>
      <c r="X158" s="23" t="s">
        <v>78</v>
      </c>
    </row>
    <row r="159" spans="1:24" x14ac:dyDescent="0.2">
      <c r="A159">
        <v>2016</v>
      </c>
      <c r="B159" s="25">
        <f>ROUND((B158+(B$161-B$158)*1/($A$161-$A$158)),4)</f>
        <v>0.78120000000000001</v>
      </c>
      <c r="C159" s="25">
        <f t="shared" ref="C159:I160" si="72">ROUND((C158+(C$161-C$158)*1/($A$161-$A$158)),4)</f>
        <v>0.77390000000000003</v>
      </c>
      <c r="D159" s="25">
        <f t="shared" si="72"/>
        <v>0.6593</v>
      </c>
      <c r="E159" s="25">
        <f t="shared" si="72"/>
        <v>0.68440000000000001</v>
      </c>
      <c r="F159" s="25">
        <f t="shared" si="72"/>
        <v>0.71079999999999999</v>
      </c>
      <c r="G159" s="25">
        <f t="shared" si="72"/>
        <v>0.72050000000000003</v>
      </c>
      <c r="H159" s="25">
        <f t="shared" si="72"/>
        <v>0.65080000000000005</v>
      </c>
      <c r="I159" s="25">
        <f t="shared" si="72"/>
        <v>0.8337</v>
      </c>
      <c r="L159">
        <v>2016</v>
      </c>
      <c r="M159">
        <f>ROUND((M158+(M$163-M$158)*1/($L$163-$L$158)),4)</f>
        <v>0.78659999999999997</v>
      </c>
      <c r="N159">
        <f t="shared" ref="N159:T162" si="73">ROUND((N158+(N$163-N$158)*1/($L$163-$L$158)),4)</f>
        <v>0.8619</v>
      </c>
      <c r="O159">
        <f t="shared" si="73"/>
        <v>0.68559999999999999</v>
      </c>
      <c r="P159">
        <f t="shared" si="73"/>
        <v>0.70520000000000005</v>
      </c>
      <c r="Q159">
        <f t="shared" si="73"/>
        <v>0.73619999999999997</v>
      </c>
      <c r="R159">
        <f t="shared" si="73"/>
        <v>0.69199999999999995</v>
      </c>
      <c r="S159">
        <f t="shared" si="73"/>
        <v>0.49330000000000002</v>
      </c>
      <c r="T159">
        <f t="shared" si="73"/>
        <v>0.49330000000000002</v>
      </c>
    </row>
    <row r="160" spans="1:24" x14ac:dyDescent="0.2">
      <c r="A160">
        <v>2017</v>
      </c>
      <c r="B160" s="25">
        <f>ROUND((B159+(B$161-B$158)*1/($A$161-$A$158)),4)</f>
        <v>0.78139999999999998</v>
      </c>
      <c r="C160" s="25">
        <f t="shared" si="72"/>
        <v>0.77410000000000001</v>
      </c>
      <c r="D160" s="25">
        <f t="shared" si="72"/>
        <v>0.6593</v>
      </c>
      <c r="E160" s="25">
        <f>ROUND((E159+(E$161-E$158)*1/($A$161-$A$158)),4)</f>
        <v>0.68500000000000005</v>
      </c>
      <c r="F160" s="25">
        <f>ROUND((F159+(F$161-F$158)*1/($A$161-$A$158)),4)</f>
        <v>0.71150000000000002</v>
      </c>
      <c r="G160" s="25">
        <f t="shared" si="72"/>
        <v>0.72130000000000005</v>
      </c>
      <c r="H160" s="25">
        <f t="shared" si="72"/>
        <v>0.65210000000000001</v>
      </c>
      <c r="I160" s="25">
        <f t="shared" si="72"/>
        <v>0.83789999999999998</v>
      </c>
      <c r="L160">
        <v>2017</v>
      </c>
      <c r="M160">
        <f t="shared" ref="M160:M162" si="74">ROUND((M159+(M$163-M$158)*1/($L$163-$L$158)),4)</f>
        <v>0.78820000000000001</v>
      </c>
      <c r="N160">
        <f t="shared" si="73"/>
        <v>0.86580000000000001</v>
      </c>
      <c r="O160">
        <f t="shared" si="73"/>
        <v>0.68720000000000003</v>
      </c>
      <c r="P160">
        <f t="shared" si="73"/>
        <v>0.70689999999999997</v>
      </c>
      <c r="Q160">
        <f t="shared" si="73"/>
        <v>0.72840000000000005</v>
      </c>
      <c r="R160">
        <f t="shared" si="73"/>
        <v>0.69199999999999995</v>
      </c>
      <c r="S160">
        <f t="shared" si="73"/>
        <v>0.50160000000000005</v>
      </c>
      <c r="T160">
        <f t="shared" si="73"/>
        <v>0.50160000000000005</v>
      </c>
    </row>
    <row r="161" spans="1:24" x14ac:dyDescent="0.2">
      <c r="A161" s="1">
        <v>2018</v>
      </c>
      <c r="B161" s="104">
        <f>Tables!B44/100</f>
        <v>0.78159999999999996</v>
      </c>
      <c r="C161" s="104">
        <f>Tables!C44/100</f>
        <v>0.7743000000000001</v>
      </c>
      <c r="D161" s="104">
        <f>Tables!D44/100</f>
        <v>0.65930000000000011</v>
      </c>
      <c r="E161" s="104">
        <f>Tables!E44/100</f>
        <v>0.68569999999999998</v>
      </c>
      <c r="F161" s="104">
        <f>Tables!F44/100</f>
        <v>0.71209999999999996</v>
      </c>
      <c r="G161" s="104">
        <f>Tables!G44/100</f>
        <v>0.72199999999999998</v>
      </c>
      <c r="H161" s="104">
        <f>Tables!H44/100</f>
        <v>0.65339999999999998</v>
      </c>
      <c r="I161" s="104">
        <f>Tables!I44/100</f>
        <v>0.84200000000000008</v>
      </c>
      <c r="L161">
        <v>2018</v>
      </c>
      <c r="M161">
        <f t="shared" si="74"/>
        <v>0.78979999999999995</v>
      </c>
      <c r="N161">
        <f t="shared" si="73"/>
        <v>0.86970000000000003</v>
      </c>
      <c r="O161">
        <f t="shared" si="73"/>
        <v>0.68879999999999997</v>
      </c>
      <c r="P161">
        <f t="shared" si="73"/>
        <v>0.70860000000000001</v>
      </c>
      <c r="Q161">
        <f t="shared" si="73"/>
        <v>0.72060000000000002</v>
      </c>
      <c r="R161">
        <f t="shared" si="73"/>
        <v>0.69199999999999995</v>
      </c>
      <c r="S161">
        <f t="shared" si="73"/>
        <v>0.50990000000000002</v>
      </c>
      <c r="T161">
        <f t="shared" si="73"/>
        <v>0.50990000000000002</v>
      </c>
    </row>
    <row r="162" spans="1:24" x14ac:dyDescent="0.2">
      <c r="A162">
        <v>2019</v>
      </c>
      <c r="B162" s="25">
        <f>ROUND((B161+(B$163-B$161)*1/($A$163-$A$161)),4)</f>
        <v>0.78180000000000005</v>
      </c>
      <c r="C162" s="25">
        <f>ROUND((C161+(C$163-C$161)*1/($A$163-$A$161)),4)</f>
        <v>0.77449999999999997</v>
      </c>
      <c r="D162" s="25">
        <f t="shared" ref="D162:I162" si="75">ROUND((D161+(D$163-D$161)*1/($A$163-$A$161)),4)</f>
        <v>0.6593</v>
      </c>
      <c r="E162" s="25">
        <f>ROUND((E161+(E$163-E$161)*1/($A$163-$A$161)),4)</f>
        <v>0.68640000000000001</v>
      </c>
      <c r="F162" s="25">
        <f t="shared" si="75"/>
        <v>0.71279999999999999</v>
      </c>
      <c r="G162" s="25">
        <f t="shared" si="75"/>
        <v>0.7228</v>
      </c>
      <c r="H162" s="25">
        <f t="shared" si="75"/>
        <v>0.65469999999999995</v>
      </c>
      <c r="I162" s="25">
        <f t="shared" si="75"/>
        <v>0.84</v>
      </c>
      <c r="L162">
        <v>2019</v>
      </c>
      <c r="M162">
        <f t="shared" si="74"/>
        <v>0.79139999999999999</v>
      </c>
      <c r="N162">
        <f t="shared" si="73"/>
        <v>0.87360000000000004</v>
      </c>
      <c r="O162">
        <f t="shared" si="73"/>
        <v>0.69040000000000001</v>
      </c>
      <c r="P162">
        <f t="shared" si="73"/>
        <v>0.71030000000000004</v>
      </c>
      <c r="Q162">
        <f t="shared" si="73"/>
        <v>0.71279999999999999</v>
      </c>
      <c r="R162">
        <f t="shared" si="73"/>
        <v>0.69199999999999995</v>
      </c>
      <c r="S162">
        <f t="shared" si="73"/>
        <v>0.51819999999999999</v>
      </c>
      <c r="T162">
        <f t="shared" si="73"/>
        <v>0.51819999999999999</v>
      </c>
    </row>
    <row r="163" spans="1:24" x14ac:dyDescent="0.2">
      <c r="A163" s="1">
        <v>2020</v>
      </c>
      <c r="B163" s="100">
        <f>Tables!B73/100</f>
        <v>0.78200000000000003</v>
      </c>
      <c r="C163" s="100">
        <f>Tables!C73/100</f>
        <v>0.77469999999999994</v>
      </c>
      <c r="D163" s="100">
        <f>Tables!D73/100</f>
        <v>0.65930000000000011</v>
      </c>
      <c r="E163" s="100">
        <f>Tables!E73/100</f>
        <v>0.68700000000000006</v>
      </c>
      <c r="F163" s="100">
        <f>Tables!F73/100</f>
        <v>0.71340000000000003</v>
      </c>
      <c r="G163" s="100">
        <f>Tables!G73/100</f>
        <v>0.72349999999999992</v>
      </c>
      <c r="H163" s="100">
        <f>Tables!H73/100</f>
        <v>0.65599999999999992</v>
      </c>
      <c r="I163" s="100">
        <f>Tables!I73/100</f>
        <v>0.83790000000000009</v>
      </c>
      <c r="L163" s="1">
        <v>2020</v>
      </c>
      <c r="M163" s="12">
        <v>0.79320000000000002</v>
      </c>
      <c r="N163" s="12">
        <v>0.87760000000000005</v>
      </c>
      <c r="O163" s="12">
        <v>0.69220000000000004</v>
      </c>
      <c r="P163" s="12">
        <v>0.71220000000000006</v>
      </c>
      <c r="Q163" s="12">
        <v>0.70499999999999996</v>
      </c>
      <c r="R163" s="12">
        <v>0.69199999999999995</v>
      </c>
      <c r="S163" s="12">
        <v>0.52639999999999998</v>
      </c>
      <c r="T163" s="12">
        <v>0.52639999999999998</v>
      </c>
      <c r="X163" s="23" t="s">
        <v>78</v>
      </c>
    </row>
    <row r="164" spans="1:24" x14ac:dyDescent="0.2">
      <c r="A164">
        <v>2021</v>
      </c>
      <c r="B164" s="25">
        <f>ROUND((B163+(B$173-B$163)*1/($A$173-$A$163)),4)</f>
        <v>0.78220000000000001</v>
      </c>
      <c r="C164" s="25">
        <f t="shared" ref="C164:I172" si="76">ROUND((C163+(C$173-C$163)*1/($A$173-$A$163)),4)</f>
        <v>0.77490000000000003</v>
      </c>
      <c r="D164" s="25">
        <f t="shared" si="76"/>
        <v>0.6593</v>
      </c>
      <c r="E164" s="25">
        <f t="shared" si="76"/>
        <v>0.68759999999999999</v>
      </c>
      <c r="F164" s="25">
        <f t="shared" si="76"/>
        <v>0.71409999999999996</v>
      </c>
      <c r="G164" s="25">
        <f t="shared" si="76"/>
        <v>0.72430000000000005</v>
      </c>
      <c r="H164" s="25">
        <f t="shared" si="76"/>
        <v>0.6573</v>
      </c>
      <c r="I164" s="25">
        <f t="shared" si="76"/>
        <v>0.83960000000000001</v>
      </c>
      <c r="L164">
        <v>2021</v>
      </c>
      <c r="M164">
        <f>ROUND((M163+(M$168-M$163)*1/($L$168-$L$163)),4)</f>
        <v>0.79339999999999999</v>
      </c>
      <c r="N164">
        <f t="shared" ref="N164:T167" si="77">ROUND((N163+(N$168-N$163)*1/($L$168-$L$163)),4)</f>
        <v>0.87780000000000002</v>
      </c>
      <c r="O164">
        <f t="shared" si="77"/>
        <v>0.69279999999999997</v>
      </c>
      <c r="P164">
        <f t="shared" si="77"/>
        <v>0.71279999999999999</v>
      </c>
      <c r="Q164">
        <f t="shared" si="77"/>
        <v>0.70699999999999996</v>
      </c>
      <c r="R164">
        <f t="shared" si="77"/>
        <v>0.69420000000000004</v>
      </c>
      <c r="S164">
        <f t="shared" si="77"/>
        <v>0.53639999999999999</v>
      </c>
      <c r="T164">
        <f t="shared" si="77"/>
        <v>0.53639999999999999</v>
      </c>
    </row>
    <row r="165" spans="1:24" x14ac:dyDescent="0.2">
      <c r="A165">
        <v>2022</v>
      </c>
      <c r="B165" s="25">
        <f>ROUND((B164+(B$173-B$163)*1/($A$173-$A$163)),4)</f>
        <v>0.78239999999999998</v>
      </c>
      <c r="C165" s="25">
        <f>ROUND((C164+(C$173-C$163)*1/($A$173-$A$163)),4)</f>
        <v>0.77510000000000001</v>
      </c>
      <c r="D165" s="25">
        <f>ROUND((D164+(D$173-D$163)*1/($A$173-$A$163)),4)</f>
        <v>0.6593</v>
      </c>
      <c r="E165" s="25">
        <f>ROUND((E164+(E$173-E$163)*1/($A$173-$A$163)),4)</f>
        <v>0.68820000000000003</v>
      </c>
      <c r="F165" s="25">
        <f t="shared" si="76"/>
        <v>0.71479999999999999</v>
      </c>
      <c r="G165" s="25">
        <f>ROUND((G164+(G$173-G$163)*1/($A$173-$A$163)),4)</f>
        <v>0.72509999999999997</v>
      </c>
      <c r="H165" s="25">
        <f t="shared" si="76"/>
        <v>0.65859999999999996</v>
      </c>
      <c r="I165" s="25">
        <f t="shared" si="76"/>
        <v>0.84130000000000005</v>
      </c>
      <c r="L165">
        <v>2022</v>
      </c>
      <c r="M165">
        <f t="shared" ref="M165:M167" si="78">ROUND((M164+(M$168-M$163)*1/($L$168-$L$163)),4)</f>
        <v>0.79359999999999997</v>
      </c>
      <c r="N165">
        <f t="shared" si="77"/>
        <v>0.878</v>
      </c>
      <c r="O165">
        <f t="shared" si="77"/>
        <v>0.69340000000000002</v>
      </c>
      <c r="P165">
        <f t="shared" si="77"/>
        <v>0.71340000000000003</v>
      </c>
      <c r="Q165">
        <f t="shared" si="77"/>
        <v>0.70899999999999996</v>
      </c>
      <c r="R165">
        <f t="shared" si="77"/>
        <v>0.69640000000000002</v>
      </c>
      <c r="S165">
        <f t="shared" si="77"/>
        <v>0.5464</v>
      </c>
      <c r="T165">
        <f t="shared" si="77"/>
        <v>0.5464</v>
      </c>
    </row>
    <row r="166" spans="1:24" x14ac:dyDescent="0.2">
      <c r="A166">
        <v>2023</v>
      </c>
      <c r="B166" s="25">
        <f t="shared" ref="B166:B172" si="79">ROUND((B165+(B$173-B$163)*1/($A$173-$A$163)),4)</f>
        <v>0.78259999999999996</v>
      </c>
      <c r="C166" s="25">
        <f t="shared" si="76"/>
        <v>0.77529999999999999</v>
      </c>
      <c r="D166" s="25">
        <f t="shared" si="76"/>
        <v>0.6593</v>
      </c>
      <c r="E166" s="25">
        <f t="shared" si="76"/>
        <v>0.68879999999999997</v>
      </c>
      <c r="F166" s="25">
        <f>ROUND((F165+(F$173-F$163)*1/($A$173-$A$163)),4)</f>
        <v>0.71550000000000002</v>
      </c>
      <c r="G166" s="25">
        <f>ROUND((G165+(G$173-G$163)*1/($A$173-$A$163)),4)</f>
        <v>0.72589999999999999</v>
      </c>
      <c r="H166" s="25">
        <f>ROUND((H165+(H$173-H$163)*1/($A$173-$A$163)),4)</f>
        <v>0.65990000000000004</v>
      </c>
      <c r="I166" s="25">
        <f>ROUND((I165+(I$173-I$163)*1/($A$173-$A$163)),4)</f>
        <v>0.84299999999999997</v>
      </c>
      <c r="L166">
        <v>2023</v>
      </c>
      <c r="M166">
        <f t="shared" si="78"/>
        <v>0.79379999999999995</v>
      </c>
      <c r="N166">
        <f t="shared" si="77"/>
        <v>0.87819999999999998</v>
      </c>
      <c r="O166">
        <f t="shared" si="77"/>
        <v>0.69399999999999995</v>
      </c>
      <c r="P166">
        <f t="shared" si="77"/>
        <v>0.71399999999999997</v>
      </c>
      <c r="Q166">
        <f t="shared" si="77"/>
        <v>0.71099999999999997</v>
      </c>
      <c r="R166">
        <f t="shared" si="77"/>
        <v>0.6986</v>
      </c>
      <c r="S166">
        <f t="shared" si="77"/>
        <v>0.55640000000000001</v>
      </c>
      <c r="T166">
        <f t="shared" si="77"/>
        <v>0.55640000000000001</v>
      </c>
    </row>
    <row r="167" spans="1:24" x14ac:dyDescent="0.2">
      <c r="A167">
        <v>2024</v>
      </c>
      <c r="B167" s="25">
        <f t="shared" si="79"/>
        <v>0.78280000000000005</v>
      </c>
      <c r="C167" s="25">
        <f t="shared" si="76"/>
        <v>0.77549999999999997</v>
      </c>
      <c r="D167" s="25">
        <f t="shared" si="76"/>
        <v>0.6593</v>
      </c>
      <c r="E167" s="25">
        <f t="shared" si="76"/>
        <v>0.68940000000000001</v>
      </c>
      <c r="F167" s="25">
        <f t="shared" si="76"/>
        <v>0.71619999999999995</v>
      </c>
      <c r="G167" s="25">
        <f t="shared" si="76"/>
        <v>0.72670000000000001</v>
      </c>
      <c r="H167" s="25">
        <f t="shared" si="76"/>
        <v>0.66120000000000001</v>
      </c>
      <c r="I167" s="25">
        <f t="shared" si="76"/>
        <v>0.84470000000000001</v>
      </c>
      <c r="L167">
        <v>2024</v>
      </c>
      <c r="M167">
        <f t="shared" si="78"/>
        <v>0.79400000000000004</v>
      </c>
      <c r="N167">
        <f t="shared" si="77"/>
        <v>0.87839999999999996</v>
      </c>
      <c r="O167">
        <f t="shared" si="77"/>
        <v>0.6946</v>
      </c>
      <c r="P167">
        <f t="shared" si="77"/>
        <v>0.71460000000000001</v>
      </c>
      <c r="Q167">
        <f t="shared" si="77"/>
        <v>0.71299999999999997</v>
      </c>
      <c r="R167">
        <f t="shared" si="77"/>
        <v>0.70079999999999998</v>
      </c>
      <c r="S167">
        <f t="shared" si="77"/>
        <v>0.56640000000000001</v>
      </c>
      <c r="T167">
        <f t="shared" si="77"/>
        <v>0.56640000000000001</v>
      </c>
    </row>
    <row r="168" spans="1:24" x14ac:dyDescent="0.2">
      <c r="A168" s="8">
        <v>2025</v>
      </c>
      <c r="B168" s="25">
        <f t="shared" si="79"/>
        <v>0.78300000000000003</v>
      </c>
      <c r="C168" s="25">
        <f t="shared" si="76"/>
        <v>0.77569999999999995</v>
      </c>
      <c r="D168" s="25">
        <f t="shared" si="76"/>
        <v>0.6593</v>
      </c>
      <c r="E168" s="25">
        <f t="shared" si="76"/>
        <v>0.69</v>
      </c>
      <c r="F168" s="25">
        <f t="shared" si="76"/>
        <v>0.71689999999999998</v>
      </c>
      <c r="G168" s="25">
        <f t="shared" si="76"/>
        <v>0.72750000000000004</v>
      </c>
      <c r="H168" s="25">
        <f t="shared" si="76"/>
        <v>0.66249999999999998</v>
      </c>
      <c r="I168" s="25">
        <f t="shared" si="76"/>
        <v>0.84640000000000004</v>
      </c>
      <c r="L168" s="1">
        <v>2025</v>
      </c>
      <c r="M168" s="12">
        <v>0.79410000000000003</v>
      </c>
      <c r="N168" s="12">
        <v>0.87880000000000003</v>
      </c>
      <c r="O168" s="12">
        <v>0.69499999999999995</v>
      </c>
      <c r="P168" s="12">
        <v>0.71509999999999996</v>
      </c>
      <c r="Q168" s="12">
        <v>0.71519999999999995</v>
      </c>
      <c r="R168" s="12">
        <v>0.70320000000000005</v>
      </c>
      <c r="S168" s="12">
        <v>0.57640000000000002</v>
      </c>
      <c r="T168" s="12">
        <v>0.57640000000000002</v>
      </c>
      <c r="X168" s="23" t="s">
        <v>78</v>
      </c>
    </row>
    <row r="169" spans="1:24" x14ac:dyDescent="0.2">
      <c r="A169">
        <v>2026</v>
      </c>
      <c r="B169" s="25">
        <f t="shared" ref="B169:I169" si="80">ROUND((B168+(B$173-B$163)*1/($A$173-$A$163)),4)</f>
        <v>0.78320000000000001</v>
      </c>
      <c r="C169" s="25">
        <f t="shared" si="80"/>
        <v>0.77590000000000003</v>
      </c>
      <c r="D169" s="25">
        <f t="shared" si="80"/>
        <v>0.6593</v>
      </c>
      <c r="E169" s="25">
        <f t="shared" si="80"/>
        <v>0.69059999999999999</v>
      </c>
      <c r="F169" s="25">
        <f t="shared" si="80"/>
        <v>0.71760000000000002</v>
      </c>
      <c r="G169" s="25">
        <f t="shared" si="80"/>
        <v>0.72829999999999995</v>
      </c>
      <c r="H169" s="25">
        <f t="shared" si="80"/>
        <v>0.66379999999999995</v>
      </c>
      <c r="I169" s="25">
        <f t="shared" si="80"/>
        <v>0.84809999999999997</v>
      </c>
      <c r="L169">
        <v>2026</v>
      </c>
      <c r="M169">
        <f>ROUND((M168+(M$173-M$168)*1/($L$173-$L$168)),4)</f>
        <v>0.79430000000000001</v>
      </c>
      <c r="N169">
        <f t="shared" ref="N169:T172" si="81">ROUND((N168+(N$173-N$168)*1/($L$173-$L$168)),4)</f>
        <v>0.879</v>
      </c>
      <c r="O169">
        <f t="shared" si="81"/>
        <v>0.6956</v>
      </c>
      <c r="P169">
        <f t="shared" si="81"/>
        <v>0.7157</v>
      </c>
      <c r="Q169">
        <f t="shared" si="81"/>
        <v>0.71589999999999998</v>
      </c>
      <c r="R169">
        <f t="shared" si="81"/>
        <v>0.70399999999999996</v>
      </c>
      <c r="S169">
        <f t="shared" si="81"/>
        <v>0.58640000000000003</v>
      </c>
      <c r="T169">
        <f t="shared" si="81"/>
        <v>0.58640000000000003</v>
      </c>
    </row>
    <row r="170" spans="1:24" x14ac:dyDescent="0.2">
      <c r="A170">
        <v>2027</v>
      </c>
      <c r="B170" s="25">
        <f t="shared" si="79"/>
        <v>0.78339999999999999</v>
      </c>
      <c r="C170" s="25">
        <f t="shared" si="76"/>
        <v>0.77610000000000001</v>
      </c>
      <c r="D170" s="25">
        <f t="shared" si="76"/>
        <v>0.6593</v>
      </c>
      <c r="E170" s="25">
        <f t="shared" si="76"/>
        <v>0.69120000000000004</v>
      </c>
      <c r="F170" s="25">
        <f t="shared" si="76"/>
        <v>0.71830000000000005</v>
      </c>
      <c r="G170" s="25">
        <f t="shared" si="76"/>
        <v>0.72909999999999997</v>
      </c>
      <c r="H170" s="25">
        <f t="shared" si="76"/>
        <v>0.66510000000000002</v>
      </c>
      <c r="I170" s="25">
        <f t="shared" si="76"/>
        <v>0.8498</v>
      </c>
      <c r="L170">
        <v>2027</v>
      </c>
      <c r="M170">
        <f t="shared" ref="M170:M172" si="82">ROUND((M169+(M$173-M$168)*1/($L$173-$L$168)),4)</f>
        <v>0.79449999999999998</v>
      </c>
      <c r="N170">
        <f t="shared" si="81"/>
        <v>0.87919999999999998</v>
      </c>
      <c r="O170">
        <f t="shared" si="81"/>
        <v>0.69620000000000004</v>
      </c>
      <c r="P170">
        <f t="shared" si="81"/>
        <v>0.71630000000000005</v>
      </c>
      <c r="Q170">
        <f t="shared" si="81"/>
        <v>0.71660000000000001</v>
      </c>
      <c r="R170">
        <f t="shared" si="81"/>
        <v>0.70479999999999998</v>
      </c>
      <c r="S170">
        <f t="shared" si="81"/>
        <v>0.59640000000000004</v>
      </c>
      <c r="T170">
        <f t="shared" si="81"/>
        <v>0.59640000000000004</v>
      </c>
    </row>
    <row r="171" spans="1:24" x14ac:dyDescent="0.2">
      <c r="A171">
        <v>2028</v>
      </c>
      <c r="B171" s="25">
        <f t="shared" si="79"/>
        <v>0.78359999999999996</v>
      </c>
      <c r="C171" s="25">
        <f t="shared" si="76"/>
        <v>0.77629999999999999</v>
      </c>
      <c r="D171" s="25">
        <f t="shared" si="76"/>
        <v>0.6593</v>
      </c>
      <c r="E171" s="25">
        <f t="shared" si="76"/>
        <v>0.69179999999999997</v>
      </c>
      <c r="F171" s="25">
        <f t="shared" si="76"/>
        <v>0.71899999999999997</v>
      </c>
      <c r="G171" s="25">
        <f t="shared" si="76"/>
        <v>0.72989999999999999</v>
      </c>
      <c r="H171" s="25">
        <f t="shared" si="76"/>
        <v>0.66639999999999999</v>
      </c>
      <c r="I171" s="25">
        <f t="shared" si="76"/>
        <v>0.85150000000000003</v>
      </c>
      <c r="L171">
        <v>2028</v>
      </c>
      <c r="M171">
        <f t="shared" si="82"/>
        <v>0.79469999999999996</v>
      </c>
      <c r="N171">
        <f t="shared" si="81"/>
        <v>0.87939999999999996</v>
      </c>
      <c r="O171">
        <f t="shared" si="81"/>
        <v>0.69679999999999997</v>
      </c>
      <c r="P171">
        <f t="shared" si="81"/>
        <v>0.71689999999999998</v>
      </c>
      <c r="Q171">
        <f t="shared" si="81"/>
        <v>0.71730000000000005</v>
      </c>
      <c r="R171">
        <f t="shared" si="81"/>
        <v>0.7056</v>
      </c>
      <c r="S171">
        <f t="shared" si="81"/>
        <v>0.60640000000000005</v>
      </c>
      <c r="T171">
        <f t="shared" si="81"/>
        <v>0.60640000000000005</v>
      </c>
    </row>
    <row r="172" spans="1:24" x14ac:dyDescent="0.2">
      <c r="A172">
        <v>2029</v>
      </c>
      <c r="B172" s="25">
        <f t="shared" si="79"/>
        <v>0.78380000000000005</v>
      </c>
      <c r="C172" s="25">
        <f t="shared" si="76"/>
        <v>0.77649999999999997</v>
      </c>
      <c r="D172" s="25">
        <f t="shared" ref="D172:I172" si="83">ROUND((D171+(D$173-D$163)*1/($A$173-$A$163)),4)</f>
        <v>0.6593</v>
      </c>
      <c r="E172" s="25">
        <f t="shared" si="83"/>
        <v>0.69240000000000002</v>
      </c>
      <c r="F172" s="25">
        <f t="shared" si="83"/>
        <v>0.71970000000000001</v>
      </c>
      <c r="G172" s="25">
        <f t="shared" si="83"/>
        <v>0.73070000000000002</v>
      </c>
      <c r="H172" s="25">
        <f t="shared" si="83"/>
        <v>0.66769999999999996</v>
      </c>
      <c r="I172" s="25">
        <f t="shared" si="83"/>
        <v>0.85319999999999996</v>
      </c>
      <c r="L172">
        <v>2029</v>
      </c>
      <c r="M172">
        <f t="shared" si="82"/>
        <v>0.79490000000000005</v>
      </c>
      <c r="N172">
        <f t="shared" si="81"/>
        <v>0.87960000000000005</v>
      </c>
      <c r="O172">
        <f t="shared" si="81"/>
        <v>0.69740000000000002</v>
      </c>
      <c r="P172">
        <f t="shared" si="81"/>
        <v>0.71750000000000003</v>
      </c>
      <c r="Q172">
        <f t="shared" si="81"/>
        <v>0.71799999999999997</v>
      </c>
      <c r="R172">
        <f t="shared" si="81"/>
        <v>0.70640000000000003</v>
      </c>
      <c r="S172">
        <f t="shared" si="81"/>
        <v>0.61639999999999995</v>
      </c>
      <c r="T172">
        <f t="shared" si="81"/>
        <v>0.61639999999999995</v>
      </c>
    </row>
    <row r="173" spans="1:24" x14ac:dyDescent="0.2">
      <c r="A173" s="1">
        <v>2030</v>
      </c>
      <c r="B173" s="100">
        <f>Tables!B102/100</f>
        <v>0.78390000000000004</v>
      </c>
      <c r="C173" s="100">
        <f>Tables!C102/100</f>
        <v>0.77670000000000006</v>
      </c>
      <c r="D173" s="100">
        <f>Tables!D102/100</f>
        <v>0.65930000000000011</v>
      </c>
      <c r="E173" s="100">
        <f>Tables!E102/100</f>
        <v>0.69340000000000002</v>
      </c>
      <c r="F173" s="100">
        <f>Tables!F102/100</f>
        <v>0.72019999999999995</v>
      </c>
      <c r="G173" s="100">
        <f>Tables!G102/100</f>
        <v>0.73129999999999995</v>
      </c>
      <c r="H173" s="100">
        <f>Tables!H102/100</f>
        <v>0.6694</v>
      </c>
      <c r="I173" s="100">
        <f>Tables!I102/100</f>
        <v>0.85489999999999999</v>
      </c>
      <c r="L173" s="1">
        <v>2030</v>
      </c>
      <c r="M173" s="12">
        <v>0.79500000000000004</v>
      </c>
      <c r="N173" s="12">
        <v>0.87990000000000002</v>
      </c>
      <c r="O173" s="12">
        <v>0.69779999999999998</v>
      </c>
      <c r="P173" s="12">
        <v>0.71809999999999996</v>
      </c>
      <c r="Q173" s="12">
        <v>0.71870000000000001</v>
      </c>
      <c r="R173" s="12">
        <v>0.70699999999999996</v>
      </c>
      <c r="S173" s="12">
        <v>0.62639999999999996</v>
      </c>
      <c r="T173" s="12">
        <v>0.62639999999999996</v>
      </c>
      <c r="X173" s="23" t="s">
        <v>78</v>
      </c>
    </row>
    <row r="174" spans="1:24" x14ac:dyDescent="0.2">
      <c r="A174">
        <v>2031</v>
      </c>
      <c r="B174" s="25">
        <f>ROUND((B173+(B$183-B$173)*1/($A$183-$A$173)),4)</f>
        <v>0.78410000000000002</v>
      </c>
      <c r="C174" s="25">
        <f t="shared" ref="C174:I182" si="84">ROUND((C173+(C$183-C$173)*1/($A$183-$A$173)),4)</f>
        <v>0.77690000000000003</v>
      </c>
      <c r="D174" s="25">
        <f t="shared" si="84"/>
        <v>0.6593</v>
      </c>
      <c r="E174" s="25">
        <f t="shared" si="84"/>
        <v>0.69410000000000005</v>
      </c>
      <c r="F174" s="25">
        <f t="shared" si="84"/>
        <v>0.72089999999999999</v>
      </c>
      <c r="G174" s="25">
        <f t="shared" si="84"/>
        <v>0.73209999999999997</v>
      </c>
      <c r="H174" s="25">
        <f t="shared" si="84"/>
        <v>0.67079999999999995</v>
      </c>
      <c r="I174" s="25">
        <f t="shared" si="84"/>
        <v>0.85660000000000003</v>
      </c>
      <c r="L174" s="8">
        <v>2031</v>
      </c>
      <c r="M174">
        <f t="shared" ref="M174:T177" si="85">ROUND((M173+(M$178-M$173)*1/($L$178-$L$173)),4)</f>
        <v>0.79520000000000002</v>
      </c>
      <c r="N174">
        <f t="shared" si="85"/>
        <v>0.88009999999999999</v>
      </c>
      <c r="O174">
        <f t="shared" si="85"/>
        <v>0.69840000000000002</v>
      </c>
      <c r="P174">
        <f t="shared" si="85"/>
        <v>0.71870000000000001</v>
      </c>
      <c r="Q174">
        <f t="shared" si="85"/>
        <v>0.71940000000000004</v>
      </c>
      <c r="R174">
        <f t="shared" si="85"/>
        <v>0.70779999999999998</v>
      </c>
      <c r="S174">
        <f t="shared" si="85"/>
        <v>0.63639999999999997</v>
      </c>
      <c r="T174">
        <f t="shared" si="85"/>
        <v>0.63639999999999997</v>
      </c>
    </row>
    <row r="175" spans="1:24" x14ac:dyDescent="0.2">
      <c r="A175">
        <v>2032</v>
      </c>
      <c r="B175" s="25">
        <f>ROUND((B174+(B$183-B$173)*1/($A$183-$A$173)),4)</f>
        <v>0.7843</v>
      </c>
      <c r="C175" s="25">
        <f t="shared" ref="C175:I175" si="86">ROUND((C174+(C$183-C$173)*1/($A$183-$A$173)),4)</f>
        <v>0.77710000000000001</v>
      </c>
      <c r="D175" s="25">
        <f t="shared" si="86"/>
        <v>0.6593</v>
      </c>
      <c r="E175" s="25">
        <f t="shared" si="86"/>
        <v>0.69479999999999997</v>
      </c>
      <c r="F175" s="25">
        <f t="shared" si="86"/>
        <v>0.72160000000000002</v>
      </c>
      <c r="G175" s="25">
        <f t="shared" si="86"/>
        <v>0.7329</v>
      </c>
      <c r="H175" s="25">
        <f t="shared" si="86"/>
        <v>0.67220000000000002</v>
      </c>
      <c r="I175" s="25">
        <f t="shared" si="86"/>
        <v>0.85829999999999995</v>
      </c>
      <c r="L175" s="8">
        <v>2032</v>
      </c>
      <c r="M175">
        <f t="shared" si="85"/>
        <v>0.7954</v>
      </c>
      <c r="N175">
        <f t="shared" si="85"/>
        <v>0.88029999999999997</v>
      </c>
      <c r="O175">
        <f t="shared" si="85"/>
        <v>0.69899999999999995</v>
      </c>
      <c r="P175">
        <f t="shared" si="85"/>
        <v>0.71930000000000005</v>
      </c>
      <c r="Q175">
        <f t="shared" si="85"/>
        <v>0.72009999999999996</v>
      </c>
      <c r="R175">
        <f t="shared" si="85"/>
        <v>0.70860000000000001</v>
      </c>
      <c r="S175">
        <f t="shared" si="85"/>
        <v>0.64639999999999997</v>
      </c>
      <c r="T175">
        <f t="shared" si="85"/>
        <v>0.64639999999999997</v>
      </c>
    </row>
    <row r="176" spans="1:24" x14ac:dyDescent="0.2">
      <c r="A176">
        <v>2033</v>
      </c>
      <c r="B176" s="25">
        <f t="shared" ref="B176:B182" si="87">ROUND((B175+(B$183-B$173)*1/($A$183-$A$173)),4)</f>
        <v>0.78449999999999998</v>
      </c>
      <c r="C176" s="25">
        <f t="shared" si="84"/>
        <v>0.77729999999999999</v>
      </c>
      <c r="D176" s="25">
        <f t="shared" si="84"/>
        <v>0.6593</v>
      </c>
      <c r="E176" s="25">
        <f t="shared" si="84"/>
        <v>0.69550000000000001</v>
      </c>
      <c r="F176" s="25">
        <f t="shared" si="84"/>
        <v>0.72230000000000005</v>
      </c>
      <c r="G176" s="25">
        <f t="shared" si="84"/>
        <v>0.73370000000000002</v>
      </c>
      <c r="H176" s="25">
        <f t="shared" si="84"/>
        <v>0.67359999999999998</v>
      </c>
      <c r="I176" s="25">
        <f t="shared" si="84"/>
        <v>0.86</v>
      </c>
      <c r="L176" s="8">
        <v>2033</v>
      </c>
      <c r="M176">
        <f t="shared" si="85"/>
        <v>0.79559999999999997</v>
      </c>
      <c r="N176">
        <f t="shared" si="85"/>
        <v>0.88049999999999995</v>
      </c>
      <c r="O176">
        <f t="shared" si="85"/>
        <v>0.6996</v>
      </c>
      <c r="P176">
        <f t="shared" si="85"/>
        <v>0.71989999999999998</v>
      </c>
      <c r="Q176">
        <f t="shared" si="85"/>
        <v>0.7208</v>
      </c>
      <c r="R176">
        <f t="shared" si="85"/>
        <v>0.70940000000000003</v>
      </c>
      <c r="S176">
        <f t="shared" si="85"/>
        <v>0.65639999999999998</v>
      </c>
      <c r="T176">
        <f t="shared" si="85"/>
        <v>0.65639999999999998</v>
      </c>
    </row>
    <row r="177" spans="1:44" x14ac:dyDescent="0.2">
      <c r="A177">
        <v>2034</v>
      </c>
      <c r="B177" s="25">
        <f t="shared" si="87"/>
        <v>0.78469999999999995</v>
      </c>
      <c r="C177" s="25">
        <f t="shared" si="84"/>
        <v>0.77749999999999997</v>
      </c>
      <c r="D177" s="25">
        <f t="shared" si="84"/>
        <v>0.6593</v>
      </c>
      <c r="E177" s="25">
        <f>ROUND((E176+(E$183-E$173)*1/($A$183-$A$173)),4)</f>
        <v>0.69620000000000004</v>
      </c>
      <c r="F177" s="25">
        <f t="shared" si="84"/>
        <v>0.72299999999999998</v>
      </c>
      <c r="G177" s="25">
        <f t="shared" si="84"/>
        <v>0.73450000000000004</v>
      </c>
      <c r="H177" s="25">
        <f t="shared" si="84"/>
        <v>0.67500000000000004</v>
      </c>
      <c r="I177" s="25">
        <f t="shared" si="84"/>
        <v>0.86170000000000002</v>
      </c>
      <c r="L177" s="8">
        <v>2034</v>
      </c>
      <c r="M177">
        <f t="shared" si="85"/>
        <v>0.79579999999999995</v>
      </c>
      <c r="N177">
        <f t="shared" si="85"/>
        <v>0.88070000000000004</v>
      </c>
      <c r="O177">
        <f t="shared" si="85"/>
        <v>0.70020000000000004</v>
      </c>
      <c r="P177">
        <f t="shared" si="85"/>
        <v>0.72050000000000003</v>
      </c>
      <c r="Q177">
        <f t="shared" si="85"/>
        <v>0.72150000000000003</v>
      </c>
      <c r="R177">
        <f t="shared" si="85"/>
        <v>0.71020000000000005</v>
      </c>
      <c r="S177">
        <f t="shared" si="85"/>
        <v>0.66639999999999999</v>
      </c>
      <c r="T177">
        <f t="shared" si="85"/>
        <v>0.66639999999999999</v>
      </c>
    </row>
    <row r="178" spans="1:44" x14ac:dyDescent="0.2">
      <c r="A178" s="8">
        <v>2035</v>
      </c>
      <c r="B178" s="25">
        <f t="shared" si="87"/>
        <v>0.78490000000000004</v>
      </c>
      <c r="C178" s="25">
        <f t="shared" si="84"/>
        <v>0.77769999999999995</v>
      </c>
      <c r="D178" s="25">
        <f t="shared" si="84"/>
        <v>0.6593</v>
      </c>
      <c r="E178" s="25">
        <f t="shared" si="84"/>
        <v>0.69689999999999996</v>
      </c>
      <c r="F178" s="25">
        <f t="shared" si="84"/>
        <v>0.72370000000000001</v>
      </c>
      <c r="G178" s="25">
        <f t="shared" si="84"/>
        <v>0.73529999999999995</v>
      </c>
      <c r="H178" s="25">
        <f t="shared" si="84"/>
        <v>0.6764</v>
      </c>
      <c r="I178" s="25">
        <f t="shared" si="84"/>
        <v>0.86339999999999995</v>
      </c>
      <c r="L178" s="1">
        <v>2035</v>
      </c>
      <c r="M178" s="12">
        <v>0.79590000000000005</v>
      </c>
      <c r="N178" s="12">
        <v>0.88109999999999999</v>
      </c>
      <c r="O178" s="12">
        <v>0.7006</v>
      </c>
      <c r="P178" s="12">
        <v>0.72109999999999996</v>
      </c>
      <c r="Q178" s="12">
        <v>0.72219999999999995</v>
      </c>
      <c r="R178" s="12">
        <v>0.71079999999999999</v>
      </c>
      <c r="S178" s="12">
        <v>0.6764</v>
      </c>
      <c r="T178" s="12">
        <v>0.6764</v>
      </c>
      <c r="X178" s="23" t="s">
        <v>78</v>
      </c>
    </row>
    <row r="179" spans="1:44" x14ac:dyDescent="0.2">
      <c r="A179">
        <v>2036</v>
      </c>
      <c r="B179" s="25">
        <f t="shared" ref="B179:I179" si="88">ROUND((B178+(B$183-B$173)*1/($A$183-$A$173)),4)</f>
        <v>0.78510000000000002</v>
      </c>
      <c r="C179" s="25">
        <f t="shared" si="88"/>
        <v>0.77790000000000004</v>
      </c>
      <c r="D179" s="25">
        <f t="shared" si="88"/>
        <v>0.6593</v>
      </c>
      <c r="E179" s="25">
        <f t="shared" si="88"/>
        <v>0.6976</v>
      </c>
      <c r="F179" s="25">
        <f t="shared" si="88"/>
        <v>0.72440000000000004</v>
      </c>
      <c r="G179" s="25">
        <f t="shared" si="88"/>
        <v>0.73609999999999998</v>
      </c>
      <c r="H179" s="25">
        <f t="shared" si="88"/>
        <v>0.67779999999999996</v>
      </c>
      <c r="I179" s="25">
        <f t="shared" si="88"/>
        <v>0.86509999999999998</v>
      </c>
      <c r="L179" s="8">
        <v>2036</v>
      </c>
      <c r="M179">
        <f>ROUND((M178+(M$183-M$178)*1/($L$183-$L$178)),4)</f>
        <v>0.79610000000000003</v>
      </c>
      <c r="N179">
        <f t="shared" ref="N179:T182" si="89">ROUND((N178+(N$183-N$178)*1/($L$183-$L$178)),4)</f>
        <v>0.88129999999999997</v>
      </c>
      <c r="O179">
        <f t="shared" si="89"/>
        <v>0.70120000000000005</v>
      </c>
      <c r="P179">
        <f t="shared" si="89"/>
        <v>0.72170000000000001</v>
      </c>
      <c r="Q179">
        <f t="shared" si="89"/>
        <v>0.72289999999999999</v>
      </c>
      <c r="R179">
        <f t="shared" si="89"/>
        <v>0.71160000000000001</v>
      </c>
      <c r="S179">
        <f t="shared" si="89"/>
        <v>0.6764</v>
      </c>
      <c r="T179">
        <f t="shared" si="89"/>
        <v>0.6764</v>
      </c>
    </row>
    <row r="180" spans="1:44" x14ac:dyDescent="0.2">
      <c r="A180">
        <v>2037</v>
      </c>
      <c r="B180" s="25">
        <f t="shared" si="87"/>
        <v>0.7853</v>
      </c>
      <c r="C180" s="25">
        <f t="shared" si="84"/>
        <v>0.77810000000000001</v>
      </c>
      <c r="D180" s="25">
        <f t="shared" si="84"/>
        <v>0.6593</v>
      </c>
      <c r="E180" s="25">
        <f t="shared" si="84"/>
        <v>0.69830000000000003</v>
      </c>
      <c r="F180" s="25">
        <f t="shared" si="84"/>
        <v>0.72509999999999997</v>
      </c>
      <c r="G180" s="25">
        <f t="shared" si="84"/>
        <v>0.7369</v>
      </c>
      <c r="H180" s="25">
        <f t="shared" si="84"/>
        <v>0.67920000000000003</v>
      </c>
      <c r="I180" s="25">
        <f t="shared" si="84"/>
        <v>0.86680000000000001</v>
      </c>
      <c r="L180" s="8">
        <v>2037</v>
      </c>
      <c r="M180">
        <f t="shared" ref="M180:M182" si="90">ROUND((M179+(M$183-M$178)*1/($L$183-$L$178)),4)</f>
        <v>0.79630000000000001</v>
      </c>
      <c r="N180">
        <f t="shared" si="89"/>
        <v>0.88149999999999995</v>
      </c>
      <c r="O180">
        <f t="shared" si="89"/>
        <v>0.70179999999999998</v>
      </c>
      <c r="P180">
        <f t="shared" si="89"/>
        <v>0.72230000000000005</v>
      </c>
      <c r="Q180">
        <f t="shared" si="89"/>
        <v>0.72360000000000002</v>
      </c>
      <c r="R180">
        <f t="shared" si="89"/>
        <v>0.71240000000000003</v>
      </c>
      <c r="S180">
        <f t="shared" si="89"/>
        <v>0.6764</v>
      </c>
      <c r="T180">
        <f t="shared" si="89"/>
        <v>0.6764</v>
      </c>
    </row>
    <row r="181" spans="1:44" x14ac:dyDescent="0.2">
      <c r="A181">
        <v>2038</v>
      </c>
      <c r="B181" s="25">
        <f t="shared" si="87"/>
        <v>0.78549999999999998</v>
      </c>
      <c r="C181" s="25">
        <f t="shared" si="84"/>
        <v>0.77829999999999999</v>
      </c>
      <c r="D181" s="25">
        <f t="shared" si="84"/>
        <v>0.6593</v>
      </c>
      <c r="E181" s="25">
        <f t="shared" si="84"/>
        <v>0.69899999999999995</v>
      </c>
      <c r="F181" s="25">
        <f t="shared" si="84"/>
        <v>0.7258</v>
      </c>
      <c r="G181" s="25">
        <f t="shared" si="84"/>
        <v>0.73770000000000002</v>
      </c>
      <c r="H181" s="25">
        <f t="shared" si="84"/>
        <v>0.68059999999999998</v>
      </c>
      <c r="I181" s="25">
        <f t="shared" si="84"/>
        <v>0.86850000000000005</v>
      </c>
      <c r="L181" s="8">
        <v>2038</v>
      </c>
      <c r="M181">
        <f t="shared" si="90"/>
        <v>0.79649999999999999</v>
      </c>
      <c r="N181">
        <f t="shared" si="89"/>
        <v>0.88170000000000004</v>
      </c>
      <c r="O181">
        <f t="shared" si="89"/>
        <v>0.70240000000000002</v>
      </c>
      <c r="P181">
        <f t="shared" si="89"/>
        <v>0.72289999999999999</v>
      </c>
      <c r="Q181">
        <f t="shared" si="89"/>
        <v>0.72430000000000005</v>
      </c>
      <c r="R181">
        <f t="shared" si="89"/>
        <v>0.71319999999999995</v>
      </c>
      <c r="S181">
        <f t="shared" si="89"/>
        <v>0.6764</v>
      </c>
      <c r="T181">
        <f t="shared" si="89"/>
        <v>0.6764</v>
      </c>
    </row>
    <row r="182" spans="1:44" x14ac:dyDescent="0.2">
      <c r="A182">
        <v>2039</v>
      </c>
      <c r="B182" s="25">
        <f t="shared" si="87"/>
        <v>0.78569999999999995</v>
      </c>
      <c r="C182" s="25">
        <f t="shared" si="84"/>
        <v>0.77849999999999997</v>
      </c>
      <c r="D182" s="25">
        <f t="shared" si="84"/>
        <v>0.6593</v>
      </c>
      <c r="E182" s="25">
        <f>ROUND((E181+(E$183-E$173)*1/($A$183-$A$173)),4)</f>
        <v>0.69969999999999999</v>
      </c>
      <c r="F182" s="25">
        <f>ROUND((F181+(F$183-F$173)*1/($A$183-$A$173)),4)</f>
        <v>0.72650000000000003</v>
      </c>
      <c r="G182" s="25">
        <f>ROUND((G181+(G$183-G$173)*1/($A$183-$A$173)),4)</f>
        <v>0.73850000000000005</v>
      </c>
      <c r="H182" s="25">
        <f>ROUND((H181+(H$183-H$173)*1/($A$183-$A$173)),4)</f>
        <v>0.68200000000000005</v>
      </c>
      <c r="I182" s="25">
        <f>ROUND((I181+(I$183-I$173)*1/($A$183-$A$173)),4)</f>
        <v>0.87019999999999997</v>
      </c>
      <c r="L182" s="8">
        <v>2039</v>
      </c>
      <c r="M182">
        <f t="shared" si="90"/>
        <v>0.79669999999999996</v>
      </c>
      <c r="N182">
        <f t="shared" si="89"/>
        <v>0.88190000000000002</v>
      </c>
      <c r="O182">
        <f t="shared" si="89"/>
        <v>0.70299999999999996</v>
      </c>
      <c r="P182">
        <f t="shared" si="89"/>
        <v>0.72350000000000003</v>
      </c>
      <c r="Q182">
        <f t="shared" si="89"/>
        <v>0.72499999999999998</v>
      </c>
      <c r="R182">
        <f t="shared" si="89"/>
        <v>0.71399999999999997</v>
      </c>
      <c r="S182">
        <f t="shared" si="89"/>
        <v>0.6764</v>
      </c>
      <c r="T182">
        <f t="shared" si="89"/>
        <v>0.6764</v>
      </c>
    </row>
    <row r="183" spans="1:44" x14ac:dyDescent="0.2">
      <c r="A183" s="1">
        <v>2040</v>
      </c>
      <c r="B183" s="100">
        <f>Tables!B131/100</f>
        <v>0.78590000000000004</v>
      </c>
      <c r="C183" s="100">
        <f>Tables!C131/100</f>
        <v>0.77859999999999996</v>
      </c>
      <c r="D183" s="100">
        <f>Tables!D131/100</f>
        <v>0.65930000000000011</v>
      </c>
      <c r="E183" s="100">
        <f>Tables!E131/100</f>
        <v>0.7</v>
      </c>
      <c r="F183" s="100">
        <f>Tables!F131/100</f>
        <v>0.72709999999999997</v>
      </c>
      <c r="G183" s="100">
        <f>Tables!G131/100</f>
        <v>0.73919999999999997</v>
      </c>
      <c r="H183" s="100">
        <f>Tables!H131/100</f>
        <v>0.68290000000000006</v>
      </c>
      <c r="I183" s="100">
        <f>Tables!I131/100</f>
        <v>0.87230000000000008</v>
      </c>
      <c r="L183" s="1">
        <v>2040</v>
      </c>
      <c r="M183" s="12">
        <v>0.79679999999999995</v>
      </c>
      <c r="N183" s="12">
        <v>0.88219999999999998</v>
      </c>
      <c r="O183" s="12">
        <v>0.70350000000000001</v>
      </c>
      <c r="P183" s="12">
        <v>0.72409999999999997</v>
      </c>
      <c r="Q183" s="12">
        <v>0.72570000000000001</v>
      </c>
      <c r="R183" s="12">
        <v>0.7147</v>
      </c>
      <c r="S183" s="12">
        <v>0.6764</v>
      </c>
      <c r="T183" s="12">
        <v>0.6764</v>
      </c>
      <c r="X183" s="23" t="s">
        <v>78</v>
      </c>
    </row>
    <row r="184" spans="1:44" x14ac:dyDescent="0.2">
      <c r="A184">
        <v>2041</v>
      </c>
      <c r="B184" s="25">
        <f>ROUND((B183+(B$193-B$183)*1/($A$193-$A$183)),4)</f>
        <v>0.78600000000000003</v>
      </c>
      <c r="C184" s="25">
        <f t="shared" ref="C184:I192" si="91">ROUND((C183+(C$193-C$183)*1/($A$193-$A$183)),4)</f>
        <v>0.77869999999999995</v>
      </c>
      <c r="D184" s="25">
        <f t="shared" si="91"/>
        <v>0.6593</v>
      </c>
      <c r="E184" s="25">
        <f t="shared" si="91"/>
        <v>0.70030000000000003</v>
      </c>
      <c r="F184" s="25">
        <f t="shared" si="91"/>
        <v>0.72750000000000004</v>
      </c>
      <c r="G184" s="25">
        <f t="shared" si="91"/>
        <v>0.73960000000000004</v>
      </c>
      <c r="H184" s="25">
        <f t="shared" si="91"/>
        <v>0.68359999999999999</v>
      </c>
      <c r="I184" s="25">
        <f t="shared" si="91"/>
        <v>0.87319999999999998</v>
      </c>
      <c r="L184" s="8">
        <v>2041</v>
      </c>
      <c r="M184">
        <f>ROUND((M183+(M$188-M$183)*1/($L$188-$L$183)),4)</f>
        <v>0.79700000000000004</v>
      </c>
      <c r="N184">
        <f t="shared" ref="N184:T187" si="92">ROUND((N183+(N$188-N$183)*1/($L$188-$L$183)),4)</f>
        <v>0.88239999999999996</v>
      </c>
      <c r="O184">
        <f t="shared" si="92"/>
        <v>0.70409999999999995</v>
      </c>
      <c r="P184">
        <f t="shared" si="92"/>
        <v>0.72470000000000001</v>
      </c>
      <c r="Q184">
        <f t="shared" si="92"/>
        <v>0.72640000000000005</v>
      </c>
      <c r="R184">
        <f t="shared" si="92"/>
        <v>0.71550000000000002</v>
      </c>
      <c r="S184">
        <f t="shared" si="92"/>
        <v>0.6764</v>
      </c>
      <c r="T184">
        <f t="shared" si="92"/>
        <v>0.6764</v>
      </c>
    </row>
    <row r="185" spans="1:44" x14ac:dyDescent="0.2">
      <c r="A185">
        <v>2042</v>
      </c>
      <c r="B185" s="25">
        <f t="shared" ref="B185:B192" si="93">ROUND((B184+(B$193-B$183)*1/($A$193-$A$183)),4)</f>
        <v>0.78610000000000002</v>
      </c>
      <c r="C185" s="25">
        <f t="shared" si="91"/>
        <v>0.77880000000000005</v>
      </c>
      <c r="D185" s="25">
        <f t="shared" si="91"/>
        <v>0.6593</v>
      </c>
      <c r="E185" s="25">
        <f t="shared" si="91"/>
        <v>0.7006</v>
      </c>
      <c r="F185" s="25">
        <f t="shared" si="91"/>
        <v>0.72789999999999999</v>
      </c>
      <c r="G185" s="25">
        <f t="shared" si="91"/>
        <v>0.74</v>
      </c>
      <c r="H185" s="25">
        <f t="shared" si="91"/>
        <v>0.68430000000000002</v>
      </c>
      <c r="I185" s="25">
        <f t="shared" si="91"/>
        <v>0.87409999999999999</v>
      </c>
      <c r="L185" s="8">
        <v>2042</v>
      </c>
      <c r="M185">
        <f t="shared" ref="M185:M187" si="94">ROUND((M184+(M$188-M$183)*1/($L$188-$L$183)),4)</f>
        <v>0.79720000000000002</v>
      </c>
      <c r="N185">
        <f t="shared" si="92"/>
        <v>0.88260000000000005</v>
      </c>
      <c r="O185">
        <f t="shared" si="92"/>
        <v>0.70469999999999999</v>
      </c>
      <c r="P185">
        <f t="shared" si="92"/>
        <v>0.72529999999999994</v>
      </c>
      <c r="Q185">
        <f t="shared" si="92"/>
        <v>0.72709999999999997</v>
      </c>
      <c r="R185">
        <f t="shared" si="92"/>
        <v>0.71630000000000005</v>
      </c>
      <c r="S185">
        <f t="shared" si="92"/>
        <v>0.6764</v>
      </c>
      <c r="T185">
        <f t="shared" si="92"/>
        <v>0.6764</v>
      </c>
    </row>
    <row r="186" spans="1:44" x14ac:dyDescent="0.2">
      <c r="A186">
        <v>2043</v>
      </c>
      <c r="B186" s="25">
        <f t="shared" ref="B186:I186" si="95">ROUND((B185+(B$193-B$183)*1/($A$193-$A$183)),4)</f>
        <v>0.78620000000000001</v>
      </c>
      <c r="C186" s="25">
        <f t="shared" si="95"/>
        <v>0.77890000000000004</v>
      </c>
      <c r="D186" s="25">
        <f t="shared" si="95"/>
        <v>0.6593</v>
      </c>
      <c r="E186" s="25">
        <f t="shared" si="95"/>
        <v>0.70089999999999997</v>
      </c>
      <c r="F186" s="25">
        <f t="shared" si="95"/>
        <v>0.72829999999999995</v>
      </c>
      <c r="G186" s="25">
        <f t="shared" si="95"/>
        <v>0.74039999999999995</v>
      </c>
      <c r="H186" s="25">
        <f t="shared" si="95"/>
        <v>0.68500000000000005</v>
      </c>
      <c r="I186" s="25">
        <f t="shared" si="95"/>
        <v>0.875</v>
      </c>
      <c r="L186" s="8">
        <v>2043</v>
      </c>
      <c r="M186">
        <f t="shared" si="94"/>
        <v>0.7974</v>
      </c>
      <c r="N186">
        <f t="shared" si="92"/>
        <v>0.88280000000000003</v>
      </c>
      <c r="O186">
        <f t="shared" si="92"/>
        <v>0.70530000000000004</v>
      </c>
      <c r="P186">
        <f t="shared" si="92"/>
        <v>0.72589999999999999</v>
      </c>
      <c r="Q186">
        <f t="shared" si="92"/>
        <v>0.7278</v>
      </c>
      <c r="R186">
        <f t="shared" si="92"/>
        <v>0.71709999999999996</v>
      </c>
      <c r="S186">
        <f t="shared" si="92"/>
        <v>0.6764</v>
      </c>
      <c r="T186">
        <f t="shared" si="92"/>
        <v>0.6764</v>
      </c>
    </row>
    <row r="187" spans="1:44" x14ac:dyDescent="0.2">
      <c r="A187">
        <v>2044</v>
      </c>
      <c r="B187" s="25">
        <f t="shared" si="93"/>
        <v>0.7863</v>
      </c>
      <c r="C187" s="25">
        <f t="shared" si="91"/>
        <v>0.77900000000000003</v>
      </c>
      <c r="D187" s="25">
        <f t="shared" si="91"/>
        <v>0.6593</v>
      </c>
      <c r="E187" s="25">
        <f t="shared" si="91"/>
        <v>0.70120000000000005</v>
      </c>
      <c r="F187" s="25">
        <f t="shared" si="91"/>
        <v>0.72870000000000001</v>
      </c>
      <c r="G187" s="25">
        <f t="shared" si="91"/>
        <v>0.74080000000000001</v>
      </c>
      <c r="H187" s="25">
        <f t="shared" si="91"/>
        <v>0.68569999999999998</v>
      </c>
      <c r="I187" s="25">
        <f t="shared" si="91"/>
        <v>0.87590000000000001</v>
      </c>
      <c r="L187" s="8">
        <v>2044</v>
      </c>
      <c r="M187">
        <f t="shared" si="94"/>
        <v>0.79759999999999998</v>
      </c>
      <c r="N187">
        <f t="shared" si="92"/>
        <v>0.88300000000000001</v>
      </c>
      <c r="O187">
        <f t="shared" si="92"/>
        <v>0.70589999999999997</v>
      </c>
      <c r="P187">
        <f t="shared" si="92"/>
        <v>0.72650000000000003</v>
      </c>
      <c r="Q187">
        <f t="shared" si="92"/>
        <v>0.72850000000000004</v>
      </c>
      <c r="R187">
        <f t="shared" si="92"/>
        <v>0.71789999999999998</v>
      </c>
      <c r="S187">
        <f t="shared" si="92"/>
        <v>0.6764</v>
      </c>
      <c r="T187">
        <f t="shared" si="92"/>
        <v>0.6764</v>
      </c>
    </row>
    <row r="188" spans="1:44" x14ac:dyDescent="0.2">
      <c r="A188" s="8">
        <v>2045</v>
      </c>
      <c r="B188" s="25">
        <f t="shared" si="93"/>
        <v>0.78639999999999999</v>
      </c>
      <c r="C188" s="25">
        <f t="shared" si="91"/>
        <v>0.77910000000000001</v>
      </c>
      <c r="D188" s="25">
        <f t="shared" si="91"/>
        <v>0.6593</v>
      </c>
      <c r="E188" s="25">
        <f t="shared" si="91"/>
        <v>0.70150000000000001</v>
      </c>
      <c r="F188" s="25">
        <f t="shared" si="91"/>
        <v>0.72909999999999997</v>
      </c>
      <c r="G188" s="25">
        <f t="shared" si="91"/>
        <v>0.74119999999999997</v>
      </c>
      <c r="H188" s="25">
        <f t="shared" si="91"/>
        <v>0.68640000000000001</v>
      </c>
      <c r="I188" s="25">
        <f t="shared" si="91"/>
        <v>0.87680000000000002</v>
      </c>
      <c r="L188" s="1">
        <v>2045</v>
      </c>
      <c r="M188" s="12">
        <v>0.79769999999999996</v>
      </c>
      <c r="N188" s="12">
        <v>0.88329999999999997</v>
      </c>
      <c r="O188" s="12">
        <v>0.70640000000000003</v>
      </c>
      <c r="P188" s="12">
        <v>0.72709999999999997</v>
      </c>
      <c r="Q188" s="12">
        <v>0.72919999999999996</v>
      </c>
      <c r="R188" s="12">
        <v>0.71860000000000002</v>
      </c>
      <c r="S188" s="12">
        <v>0.6764</v>
      </c>
      <c r="T188" s="12">
        <v>0.6764</v>
      </c>
      <c r="X188" s="23" t="s">
        <v>88</v>
      </c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 spans="1:44" x14ac:dyDescent="0.2">
      <c r="A189">
        <v>2046</v>
      </c>
      <c r="B189" s="25">
        <f t="shared" si="93"/>
        <v>0.78649999999999998</v>
      </c>
      <c r="C189" s="25">
        <f t="shared" si="91"/>
        <v>0.7792</v>
      </c>
      <c r="D189" s="25">
        <f t="shared" si="91"/>
        <v>0.6593</v>
      </c>
      <c r="E189" s="25">
        <f t="shared" si="91"/>
        <v>0.70179999999999998</v>
      </c>
      <c r="F189" s="25">
        <f t="shared" si="91"/>
        <v>0.72950000000000004</v>
      </c>
      <c r="G189" s="25">
        <f t="shared" si="91"/>
        <v>0.74160000000000004</v>
      </c>
      <c r="H189" s="25">
        <f t="shared" si="91"/>
        <v>0.68710000000000004</v>
      </c>
      <c r="I189" s="25">
        <f t="shared" si="91"/>
        <v>0.87770000000000004</v>
      </c>
      <c r="L189" s="8">
        <v>2046</v>
      </c>
      <c r="M189">
        <f>ROUND((M188+(M$193-M$188)*1/($L$193-$L$188)),4)</f>
        <v>0.79790000000000005</v>
      </c>
      <c r="N189">
        <f t="shared" ref="N189:T192" si="96">ROUND((N188+(N$193-N$188)*1/($L$193-$L$188)),4)</f>
        <v>0.88349999999999995</v>
      </c>
      <c r="O189">
        <f t="shared" si="96"/>
        <v>0.70699999999999996</v>
      </c>
      <c r="P189">
        <f t="shared" si="96"/>
        <v>0.72770000000000001</v>
      </c>
      <c r="Q189">
        <f t="shared" si="96"/>
        <v>0.72989999999999999</v>
      </c>
      <c r="R189">
        <f t="shared" si="96"/>
        <v>0.71940000000000004</v>
      </c>
      <c r="S189">
        <f t="shared" si="96"/>
        <v>0.6764</v>
      </c>
      <c r="T189">
        <f t="shared" si="96"/>
        <v>0.6764</v>
      </c>
      <c r="AA189" s="8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</row>
    <row r="190" spans="1:44" x14ac:dyDescent="0.2">
      <c r="A190">
        <v>2047</v>
      </c>
      <c r="B190" s="25">
        <f t="shared" ref="B190:I190" si="97">ROUND((B189+(B$193-B$183)*1/($A$193-$A$183)),4)</f>
        <v>0.78659999999999997</v>
      </c>
      <c r="C190" s="25">
        <f t="shared" si="97"/>
        <v>0.77929999999999999</v>
      </c>
      <c r="D190" s="25">
        <f t="shared" si="97"/>
        <v>0.6593</v>
      </c>
      <c r="E190" s="25">
        <f t="shared" si="97"/>
        <v>0.70209999999999995</v>
      </c>
      <c r="F190" s="25">
        <f t="shared" si="97"/>
        <v>0.72989999999999999</v>
      </c>
      <c r="G190" s="25">
        <f t="shared" si="97"/>
        <v>0.74199999999999999</v>
      </c>
      <c r="H190" s="25">
        <f t="shared" si="97"/>
        <v>0.68779999999999997</v>
      </c>
      <c r="I190" s="25">
        <f t="shared" si="97"/>
        <v>0.87860000000000005</v>
      </c>
      <c r="L190" s="8">
        <v>2047</v>
      </c>
      <c r="M190">
        <f t="shared" ref="M190:M192" si="98">ROUND((M189+(M$193-M$188)*1/($L$193-$L$188)),4)</f>
        <v>0.79810000000000003</v>
      </c>
      <c r="N190">
        <f t="shared" si="96"/>
        <v>0.88370000000000004</v>
      </c>
      <c r="O190">
        <f t="shared" si="96"/>
        <v>0.70760000000000001</v>
      </c>
      <c r="P190">
        <f t="shared" si="96"/>
        <v>0.72829999999999995</v>
      </c>
      <c r="Q190">
        <f t="shared" si="96"/>
        <v>0.73060000000000003</v>
      </c>
      <c r="R190">
        <f t="shared" si="96"/>
        <v>0.72019999999999995</v>
      </c>
      <c r="S190">
        <f t="shared" si="96"/>
        <v>0.6764</v>
      </c>
      <c r="T190">
        <f t="shared" si="96"/>
        <v>0.6764</v>
      </c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</row>
    <row r="191" spans="1:44" x14ac:dyDescent="0.2">
      <c r="A191">
        <v>2048</v>
      </c>
      <c r="B191" s="25">
        <f t="shared" si="93"/>
        <v>0.78669999999999995</v>
      </c>
      <c r="C191" s="25">
        <f t="shared" si="91"/>
        <v>0.77939999999999998</v>
      </c>
      <c r="D191" s="25">
        <f t="shared" si="91"/>
        <v>0.6593</v>
      </c>
      <c r="E191" s="25">
        <f t="shared" si="91"/>
        <v>0.70240000000000002</v>
      </c>
      <c r="F191" s="25">
        <f t="shared" si="91"/>
        <v>0.73029999999999995</v>
      </c>
      <c r="G191" s="25">
        <f t="shared" si="91"/>
        <v>0.74239999999999995</v>
      </c>
      <c r="H191" s="25">
        <f t="shared" si="91"/>
        <v>0.6885</v>
      </c>
      <c r="I191" s="25">
        <f t="shared" si="91"/>
        <v>0.87949999999999995</v>
      </c>
      <c r="L191" s="8">
        <v>2048</v>
      </c>
      <c r="M191">
        <f t="shared" si="98"/>
        <v>0.79830000000000001</v>
      </c>
      <c r="N191">
        <f t="shared" si="96"/>
        <v>0.88390000000000002</v>
      </c>
      <c r="O191">
        <f t="shared" si="96"/>
        <v>0.70820000000000005</v>
      </c>
      <c r="P191">
        <f t="shared" si="96"/>
        <v>0.72889999999999999</v>
      </c>
      <c r="Q191">
        <f t="shared" si="96"/>
        <v>0.73129999999999995</v>
      </c>
      <c r="R191">
        <f t="shared" si="96"/>
        <v>0.72099999999999997</v>
      </c>
      <c r="S191">
        <f t="shared" si="96"/>
        <v>0.6764</v>
      </c>
      <c r="T191">
        <f t="shared" si="96"/>
        <v>0.6764</v>
      </c>
      <c r="X191" s="8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</row>
    <row r="192" spans="1:44" x14ac:dyDescent="0.2">
      <c r="A192">
        <v>2049</v>
      </c>
      <c r="B192" s="25">
        <f t="shared" si="93"/>
        <v>0.78680000000000005</v>
      </c>
      <c r="C192" s="25">
        <f t="shared" si="91"/>
        <v>0.77949999999999997</v>
      </c>
      <c r="D192" s="25">
        <f t="shared" si="91"/>
        <v>0.6593</v>
      </c>
      <c r="E192" s="25">
        <f t="shared" si="91"/>
        <v>0.70269999999999999</v>
      </c>
      <c r="F192" s="25">
        <f t="shared" si="91"/>
        <v>0.73070000000000002</v>
      </c>
      <c r="G192" s="25">
        <f t="shared" si="91"/>
        <v>0.74280000000000002</v>
      </c>
      <c r="H192" s="25">
        <f t="shared" si="91"/>
        <v>0.68920000000000003</v>
      </c>
      <c r="I192" s="25">
        <f t="shared" si="91"/>
        <v>0.88039999999999996</v>
      </c>
      <c r="L192" s="8">
        <v>2049</v>
      </c>
      <c r="M192">
        <f t="shared" si="98"/>
        <v>0.79849999999999999</v>
      </c>
      <c r="N192">
        <f t="shared" si="96"/>
        <v>0.8841</v>
      </c>
      <c r="O192">
        <f t="shared" si="96"/>
        <v>0.70879999999999999</v>
      </c>
      <c r="P192">
        <f t="shared" si="96"/>
        <v>0.72950000000000004</v>
      </c>
      <c r="Q192">
        <f t="shared" si="96"/>
        <v>0.73199999999999998</v>
      </c>
      <c r="R192">
        <f t="shared" si="96"/>
        <v>0.7218</v>
      </c>
      <c r="S192">
        <f t="shared" si="96"/>
        <v>0.6764</v>
      </c>
      <c r="T192">
        <f t="shared" si="96"/>
        <v>0.6764</v>
      </c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</row>
    <row r="193" spans="1:36" x14ac:dyDescent="0.2">
      <c r="A193" s="1">
        <v>2050</v>
      </c>
      <c r="B193" s="100">
        <f>Tables!B160/100</f>
        <v>0.78689999999999993</v>
      </c>
      <c r="C193" s="100">
        <f>Tables!C160/100</f>
        <v>0.77959999999999996</v>
      </c>
      <c r="D193" s="100">
        <f>Tables!D160/100</f>
        <v>0.65930000000000011</v>
      </c>
      <c r="E193" s="100">
        <f>Tables!E160/100</f>
        <v>0.70330000000000004</v>
      </c>
      <c r="F193" s="100">
        <f>Tables!F160/100</f>
        <v>0.73060000000000003</v>
      </c>
      <c r="G193" s="100">
        <f>Tables!G160/100</f>
        <v>0.74329999999999996</v>
      </c>
      <c r="H193" s="100">
        <f>Tables!H160/100</f>
        <v>0.68980000000000008</v>
      </c>
      <c r="I193" s="100">
        <f>Tables!I160/100</f>
        <v>0.88109999999999999</v>
      </c>
      <c r="L193" s="1">
        <v>2050</v>
      </c>
      <c r="M193" s="12">
        <v>0.79859999999999998</v>
      </c>
      <c r="N193" s="12">
        <v>0.88439999999999996</v>
      </c>
      <c r="O193" s="12">
        <v>0.70930000000000004</v>
      </c>
      <c r="P193" s="12">
        <v>0.73009999999999997</v>
      </c>
      <c r="Q193" s="12">
        <v>0.73280000000000001</v>
      </c>
      <c r="R193" s="12">
        <v>0.72260000000000002</v>
      </c>
      <c r="S193" s="12">
        <v>0.6764</v>
      </c>
      <c r="T193" s="12">
        <v>0.6764</v>
      </c>
      <c r="X193" s="23" t="s">
        <v>88</v>
      </c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 spans="1:36" x14ac:dyDescent="0.2">
      <c r="AA194" s="8"/>
      <c r="AB194" s="25"/>
      <c r="AC194" s="25"/>
      <c r="AD194" s="25"/>
      <c r="AE194" s="25"/>
      <c r="AF194" s="25"/>
      <c r="AG194" s="25"/>
      <c r="AH194" s="25"/>
      <c r="AI194" s="25"/>
    </row>
    <row r="195" spans="1:36" x14ac:dyDescent="0.2">
      <c r="B195" s="24"/>
      <c r="C195" s="24"/>
      <c r="D195" s="24"/>
      <c r="E195" s="24"/>
      <c r="F195" s="24"/>
      <c r="G195" s="24"/>
      <c r="H195" s="24"/>
      <c r="I195" s="24"/>
    </row>
    <row r="197" spans="1:36" x14ac:dyDescent="0.2">
      <c r="A197" t="s">
        <v>33</v>
      </c>
      <c r="B197" t="s">
        <v>34</v>
      </c>
      <c r="C197" t="s">
        <v>35</v>
      </c>
      <c r="D197" t="s">
        <v>89</v>
      </c>
      <c r="E197" s="27" t="s">
        <v>90</v>
      </c>
    </row>
    <row r="198" spans="1:36" x14ac:dyDescent="0.2">
      <c r="A198" t="s">
        <v>36</v>
      </c>
      <c r="B198" t="s">
        <v>37</v>
      </c>
      <c r="C198" t="s">
        <v>38</v>
      </c>
    </row>
    <row r="199" spans="1:36" x14ac:dyDescent="0.2">
      <c r="A199" t="s">
        <v>39</v>
      </c>
      <c r="B199" t="s">
        <v>40</v>
      </c>
      <c r="G199" t="s">
        <v>41</v>
      </c>
    </row>
    <row r="200" spans="1:36" x14ac:dyDescent="0.2">
      <c r="A200">
        <v>0</v>
      </c>
      <c r="B200" s="26">
        <v>0</v>
      </c>
      <c r="C200" s="26">
        <v>0</v>
      </c>
      <c r="G200" s="15">
        <v>0</v>
      </c>
      <c r="H200" s="15"/>
    </row>
    <row r="201" spans="1:36" x14ac:dyDescent="0.2">
      <c r="A201">
        <f t="shared" ref="A201:A212" si="99">A200+1</f>
        <v>1</v>
      </c>
      <c r="B201" s="26">
        <v>0.13796481814207512</v>
      </c>
      <c r="C201" s="26">
        <v>0.13796481814207512</v>
      </c>
      <c r="G201" s="15">
        <v>0.1</v>
      </c>
      <c r="H201" s="15"/>
    </row>
    <row r="202" spans="1:36" x14ac:dyDescent="0.2">
      <c r="A202">
        <f t="shared" si="99"/>
        <v>2</v>
      </c>
      <c r="B202" s="26">
        <v>0.13338674583545262</v>
      </c>
      <c r="C202" s="26">
        <v>0.13338674583545262</v>
      </c>
      <c r="G202" s="15">
        <v>0.12</v>
      </c>
      <c r="H202" s="15"/>
    </row>
    <row r="203" spans="1:36" x14ac:dyDescent="0.2">
      <c r="A203">
        <f t="shared" si="99"/>
        <v>3</v>
      </c>
      <c r="B203" s="26">
        <v>0.12773564290332021</v>
      </c>
      <c r="C203" s="26">
        <v>0.12773564290332021</v>
      </c>
      <c r="G203" s="15">
        <v>0.13</v>
      </c>
      <c r="H203" s="15"/>
    </row>
    <row r="204" spans="1:36" x14ac:dyDescent="0.2">
      <c r="A204">
        <f t="shared" si="99"/>
        <v>4</v>
      </c>
      <c r="B204" s="26">
        <v>0.11995635631632261</v>
      </c>
      <c r="C204" s="26">
        <v>0.11995635631632261</v>
      </c>
      <c r="G204" s="15">
        <v>0.14000000000000001</v>
      </c>
      <c r="H204" s="15"/>
    </row>
    <row r="205" spans="1:36" x14ac:dyDescent="0.2">
      <c r="A205">
        <f t="shared" si="99"/>
        <v>5</v>
      </c>
      <c r="B205" s="26">
        <v>0.1101784955568616</v>
      </c>
      <c r="C205" s="26">
        <v>0.1101784955568616</v>
      </c>
      <c r="G205" s="15">
        <v>0.13</v>
      </c>
      <c r="H205" s="15"/>
    </row>
    <row r="206" spans="1:36" x14ac:dyDescent="0.2">
      <c r="A206">
        <f t="shared" si="99"/>
        <v>6</v>
      </c>
      <c r="B206" s="26">
        <v>9.8564968040399839E-2</v>
      </c>
      <c r="C206" s="26">
        <v>9.8564968040399839E-2</v>
      </c>
      <c r="G206" s="15">
        <v>0.12</v>
      </c>
      <c r="H206" s="15"/>
    </row>
    <row r="207" spans="1:36" x14ac:dyDescent="0.2">
      <c r="A207">
        <f t="shared" si="99"/>
        <v>7</v>
      </c>
      <c r="B207" s="26">
        <v>8.5309264940380256E-2</v>
      </c>
      <c r="C207" s="26">
        <v>8.5309264940380256E-2</v>
      </c>
      <c r="G207" s="15">
        <v>0.09</v>
      </c>
      <c r="H207" s="15"/>
    </row>
    <row r="208" spans="1:36" x14ac:dyDescent="0.2">
      <c r="A208">
        <f t="shared" si="99"/>
        <v>8</v>
      </c>
      <c r="B208" s="26">
        <v>7.0632237461916936E-2</v>
      </c>
      <c r="C208" s="26">
        <v>7.0632237461916936E-2</v>
      </c>
      <c r="G208" s="15">
        <v>0.08</v>
      </c>
      <c r="H208" s="15"/>
    </row>
    <row r="209" spans="1:12" x14ac:dyDescent="0.2">
      <c r="A209">
        <f t="shared" si="99"/>
        <v>9</v>
      </c>
      <c r="B209" s="26">
        <v>5.4778417274258202E-2</v>
      </c>
      <c r="C209" s="26">
        <v>5.4778417274258202E-2</v>
      </c>
      <c r="G209" s="15">
        <v>0.05</v>
      </c>
      <c r="H209" s="15"/>
    </row>
    <row r="210" spans="1:12" x14ac:dyDescent="0.2">
      <c r="A210">
        <f t="shared" si="99"/>
        <v>10</v>
      </c>
      <c r="B210" s="26">
        <v>3.8011942406725251E-2</v>
      </c>
      <c r="C210" s="26">
        <v>3.8011942406725251E-2</v>
      </c>
      <c r="G210" s="15">
        <v>0.03</v>
      </c>
      <c r="H210" s="15"/>
    </row>
    <row r="211" spans="1:12" x14ac:dyDescent="0.2">
      <c r="A211">
        <f t="shared" si="99"/>
        <v>11</v>
      </c>
      <c r="B211" s="26">
        <v>2.0612156486138008E-2</v>
      </c>
      <c r="C211" s="26">
        <v>2.0612156486138008E-2</v>
      </c>
      <c r="G211" s="15">
        <v>0.01</v>
      </c>
      <c r="H211" s="15"/>
    </row>
    <row r="212" spans="1:12" x14ac:dyDescent="0.2">
      <c r="A212">
        <f t="shared" si="99"/>
        <v>12</v>
      </c>
      <c r="B212" s="26">
        <v>2.8689546361494143E-3</v>
      </c>
      <c r="C212" s="26">
        <v>2.8689546361494143E-3</v>
      </c>
      <c r="G212" s="15">
        <v>0</v>
      </c>
      <c r="H212" s="15"/>
    </row>
    <row r="213" spans="1:12" x14ac:dyDescent="0.2">
      <c r="A213" t="s">
        <v>42</v>
      </c>
      <c r="B213" s="15">
        <v>0</v>
      </c>
      <c r="C213" s="15">
        <v>0</v>
      </c>
    </row>
    <row r="214" spans="1:12" x14ac:dyDescent="0.2">
      <c r="A214" t="s">
        <v>43</v>
      </c>
      <c r="B214" s="15">
        <f>SUM(B200:B212)</f>
        <v>1.0000000000000002</v>
      </c>
      <c r="C214" s="15">
        <f>SUM(C200:C212)</f>
        <v>1.0000000000000002</v>
      </c>
    </row>
    <row r="215" spans="1:12" x14ac:dyDescent="0.2">
      <c r="B215" t="s">
        <v>44</v>
      </c>
    </row>
    <row r="216" spans="1:12" x14ac:dyDescent="0.2">
      <c r="A216">
        <v>0</v>
      </c>
      <c r="B216" s="15">
        <f>SUM(B200:$B$212)</f>
        <v>1.0000000000000002</v>
      </c>
      <c r="C216" s="15">
        <f>SUM(C200:$C$212)</f>
        <v>1.0000000000000002</v>
      </c>
      <c r="L216" s="23" t="s">
        <v>87</v>
      </c>
    </row>
    <row r="217" spans="1:12" x14ac:dyDescent="0.2">
      <c r="A217">
        <f t="shared" ref="A217:A228" si="100">A216+1</f>
        <v>1</v>
      </c>
      <c r="B217" s="15">
        <f>SUM(B201:$B$212)</f>
        <v>1.0000000000000002</v>
      </c>
      <c r="C217" s="15">
        <f>SUM(C201:$C$212)</f>
        <v>1.0000000000000002</v>
      </c>
    </row>
    <row r="218" spans="1:12" x14ac:dyDescent="0.2">
      <c r="A218">
        <f t="shared" si="100"/>
        <v>2</v>
      </c>
      <c r="B218" s="15">
        <f>SUM(B202:$B$212)</f>
        <v>0.86203518185792505</v>
      </c>
      <c r="C218" s="15">
        <f>SUM(C202:$C$212)</f>
        <v>0.86203518185792505</v>
      </c>
    </row>
    <row r="219" spans="1:12" x14ac:dyDescent="0.2">
      <c r="A219">
        <f t="shared" si="100"/>
        <v>3</v>
      </c>
      <c r="B219" s="15">
        <f>SUM(B203:$B$212)</f>
        <v>0.72864843602247231</v>
      </c>
      <c r="C219" s="15">
        <f>SUM(C203:$C$212)</f>
        <v>0.72864843602247231</v>
      </c>
    </row>
    <row r="220" spans="1:12" x14ac:dyDescent="0.2">
      <c r="A220">
        <f t="shared" si="100"/>
        <v>4</v>
      </c>
      <c r="B220" s="15">
        <f>SUM(B204:$B$212)</f>
        <v>0.60091279311915213</v>
      </c>
      <c r="C220" s="15">
        <f>SUM(C204:$C$212)</f>
        <v>0.60091279311915213</v>
      </c>
    </row>
    <row r="221" spans="1:12" x14ac:dyDescent="0.2">
      <c r="A221">
        <f t="shared" si="100"/>
        <v>5</v>
      </c>
      <c r="B221" s="15">
        <f>SUM(B205:$B$212)</f>
        <v>0.48095643680282946</v>
      </c>
      <c r="C221" s="15">
        <f>SUM(C205:$C$212)</f>
        <v>0.48095643680282946</v>
      </c>
    </row>
    <row r="222" spans="1:12" x14ac:dyDescent="0.2">
      <c r="A222">
        <f t="shared" si="100"/>
        <v>6</v>
      </c>
      <c r="B222" s="15">
        <f>SUM(B206:$B$212)</f>
        <v>0.37077794124596786</v>
      </c>
      <c r="C222" s="15">
        <f>SUM(C206:$C$212)</f>
        <v>0.37077794124596786</v>
      </c>
    </row>
    <row r="223" spans="1:12" x14ac:dyDescent="0.2">
      <c r="A223">
        <f t="shared" si="100"/>
        <v>7</v>
      </c>
      <c r="B223" s="15">
        <f>SUM(B207:$B$212)</f>
        <v>0.27221297320556803</v>
      </c>
      <c r="C223" s="15">
        <f>SUM(C207:$C$212)</f>
        <v>0.27221297320556803</v>
      </c>
    </row>
    <row r="224" spans="1:12" x14ac:dyDescent="0.2">
      <c r="A224">
        <f t="shared" si="100"/>
        <v>8</v>
      </c>
      <c r="B224" s="15">
        <f>SUM(B208:$B$212)</f>
        <v>0.18690370826518782</v>
      </c>
      <c r="C224" s="15">
        <f>SUM(C208:$C$212)</f>
        <v>0.18690370826518782</v>
      </c>
    </row>
    <row r="225" spans="1:22" x14ac:dyDescent="0.2">
      <c r="A225">
        <f t="shared" si="100"/>
        <v>9</v>
      </c>
      <c r="B225" s="15">
        <f>SUM(B209:$B$212)</f>
        <v>0.11627147080327088</v>
      </c>
      <c r="C225" s="15">
        <f>SUM(C209:$C$212)</f>
        <v>0.11627147080327088</v>
      </c>
    </row>
    <row r="226" spans="1:22" x14ac:dyDescent="0.2">
      <c r="A226">
        <f t="shared" si="100"/>
        <v>10</v>
      </c>
      <c r="B226" s="15">
        <f>SUM(B210:$B$212)</f>
        <v>6.1493053529012673E-2</v>
      </c>
      <c r="C226" s="15">
        <f>SUM(C210:$C$212)</f>
        <v>6.1493053529012673E-2</v>
      </c>
    </row>
    <row r="227" spans="1:22" x14ac:dyDescent="0.2">
      <c r="A227">
        <f t="shared" si="100"/>
        <v>11</v>
      </c>
      <c r="B227" s="15">
        <f>SUM(B211:$B$212)</f>
        <v>2.3481111122287422E-2</v>
      </c>
      <c r="C227" s="15">
        <f>SUM(C211:$C$212)</f>
        <v>2.3481111122287422E-2</v>
      </c>
    </row>
    <row r="228" spans="1:22" x14ac:dyDescent="0.2">
      <c r="A228">
        <f t="shared" si="100"/>
        <v>12</v>
      </c>
      <c r="B228" s="15">
        <f>SUM(B212:$B$212)</f>
        <v>2.8689546361494143E-3</v>
      </c>
      <c r="C228" s="15">
        <f>SUM(C212:$C$212)</f>
        <v>2.8689546361494143E-3</v>
      </c>
    </row>
    <row r="229" spans="1:22" x14ac:dyDescent="0.2">
      <c r="A229" t="s">
        <v>42</v>
      </c>
      <c r="B229" s="15">
        <v>0</v>
      </c>
      <c r="C229" s="15">
        <v>0</v>
      </c>
    </row>
    <row r="230" spans="1:22" x14ac:dyDescent="0.2">
      <c r="B230" s="15"/>
      <c r="C230" s="15"/>
    </row>
    <row r="231" spans="1:22" x14ac:dyDescent="0.2">
      <c r="A231" t="s">
        <v>45</v>
      </c>
      <c r="B231" s="13">
        <v>0.05</v>
      </c>
      <c r="C231" s="13">
        <v>0.05</v>
      </c>
      <c r="D231" s="13">
        <v>0.05</v>
      </c>
      <c r="E231" s="13">
        <v>0.05</v>
      </c>
      <c r="F231" s="13">
        <v>0.05</v>
      </c>
      <c r="G231" s="13">
        <v>0.05</v>
      </c>
      <c r="H231" s="13">
        <v>0.05</v>
      </c>
      <c r="I231" s="13">
        <v>0.05</v>
      </c>
    </row>
    <row r="233" spans="1:22" x14ac:dyDescent="0.2">
      <c r="F233" s="3">
        <f>224600/(224600+129700+194300)</f>
        <v>0.40940576011666058</v>
      </c>
      <c r="G233" s="3">
        <f>1-F233</f>
        <v>0.59059423988333948</v>
      </c>
      <c r="H233" t="s">
        <v>47</v>
      </c>
    </row>
    <row r="234" spans="1:22" x14ac:dyDescent="0.2">
      <c r="A234" t="s">
        <v>48</v>
      </c>
      <c r="B234" s="1" t="s">
        <v>49</v>
      </c>
    </row>
    <row r="235" spans="1:22" x14ac:dyDescent="0.2">
      <c r="B235" t="s">
        <v>50</v>
      </c>
      <c r="C235" t="s">
        <v>51</v>
      </c>
      <c r="D235" t="s">
        <v>52</v>
      </c>
      <c r="E235" t="s">
        <v>53</v>
      </c>
      <c r="F235" t="s">
        <v>54</v>
      </c>
      <c r="G235" t="s">
        <v>55</v>
      </c>
      <c r="H235" t="s">
        <v>56</v>
      </c>
      <c r="J235" t="s">
        <v>57</v>
      </c>
      <c r="S235" t="s">
        <v>58</v>
      </c>
    </row>
    <row r="236" spans="1:22" x14ac:dyDescent="0.2">
      <c r="A236" t="s">
        <v>59</v>
      </c>
      <c r="B236" s="17">
        <v>31070</v>
      </c>
      <c r="C236" s="18">
        <v>64970</v>
      </c>
      <c r="D236" s="18">
        <v>37885</v>
      </c>
      <c r="E236" s="18">
        <v>47950</v>
      </c>
      <c r="F236" s="19">
        <f t="shared" ref="F236:F241" si="101">$F$233*J236</f>
        <v>11406.044476850164</v>
      </c>
      <c r="G236" s="19">
        <f t="shared" ref="G236:G241" si="102">$G$233*J236</f>
        <v>16453.955523149838</v>
      </c>
      <c r="H236" s="19">
        <f t="shared" ref="H236:H242" si="103">SUM(B236:G236)</f>
        <v>209735</v>
      </c>
      <c r="J236" s="18">
        <v>27860</v>
      </c>
      <c r="S236">
        <f t="shared" ref="S236:V240" si="104">C236*0.001</f>
        <v>64.97</v>
      </c>
      <c r="T236">
        <f t="shared" si="104"/>
        <v>37.884999999999998</v>
      </c>
      <c r="U236">
        <f t="shared" si="104"/>
        <v>47.95</v>
      </c>
      <c r="V236">
        <f t="shared" si="104"/>
        <v>11.406044476850164</v>
      </c>
    </row>
    <row r="237" spans="1:22" x14ac:dyDescent="0.2">
      <c r="A237" t="s">
        <v>60</v>
      </c>
      <c r="B237" s="17">
        <v>4105</v>
      </c>
      <c r="C237" s="18">
        <v>24490</v>
      </c>
      <c r="D237" s="18">
        <v>36665</v>
      </c>
      <c r="E237" s="18">
        <v>81500</v>
      </c>
      <c r="F237" s="19">
        <f t="shared" si="101"/>
        <v>93995.468465184109</v>
      </c>
      <c r="G237" s="19">
        <f t="shared" si="102"/>
        <v>135594.53153481591</v>
      </c>
      <c r="H237" s="19">
        <f t="shared" si="103"/>
        <v>376350</v>
      </c>
      <c r="J237" s="18">
        <v>229590</v>
      </c>
      <c r="M237" s="19"/>
      <c r="N237" s="19"/>
      <c r="O237" s="19"/>
      <c r="P237" s="19"/>
      <c r="Q237" s="19"/>
      <c r="S237">
        <f t="shared" si="104"/>
        <v>24.490000000000002</v>
      </c>
      <c r="T237">
        <f t="shared" si="104"/>
        <v>36.664999999999999</v>
      </c>
      <c r="U237">
        <f t="shared" si="104"/>
        <v>81.5</v>
      </c>
      <c r="V237">
        <f t="shared" si="104"/>
        <v>93.995468465184118</v>
      </c>
    </row>
    <row r="238" spans="1:22" x14ac:dyDescent="0.2">
      <c r="A238" t="s">
        <v>61</v>
      </c>
      <c r="B238" s="17">
        <v>28660</v>
      </c>
      <c r="C238" s="18">
        <v>81690</v>
      </c>
      <c r="D238" s="18">
        <v>64970</v>
      </c>
      <c r="E238" s="18">
        <v>86840</v>
      </c>
      <c r="F238" s="19">
        <f t="shared" si="101"/>
        <v>61785.470288005832</v>
      </c>
      <c r="G238" s="19">
        <f t="shared" si="102"/>
        <v>89129.529711994182</v>
      </c>
      <c r="H238" s="19">
        <f t="shared" si="103"/>
        <v>413075</v>
      </c>
      <c r="J238" s="18">
        <v>150915</v>
      </c>
      <c r="M238" s="19"/>
      <c r="N238" s="19"/>
      <c r="O238" s="19"/>
      <c r="P238" s="19"/>
      <c r="Q238" s="19"/>
      <c r="S238">
        <f t="shared" si="104"/>
        <v>81.69</v>
      </c>
      <c r="T238">
        <f t="shared" si="104"/>
        <v>64.97</v>
      </c>
      <c r="U238">
        <f t="shared" si="104"/>
        <v>86.84</v>
      </c>
      <c r="V238">
        <f t="shared" si="104"/>
        <v>61.785470288005833</v>
      </c>
    </row>
    <row r="239" spans="1:22" x14ac:dyDescent="0.2">
      <c r="A239" t="s">
        <v>62</v>
      </c>
      <c r="B239" s="17">
        <v>7505</v>
      </c>
      <c r="C239" s="18">
        <v>19405</v>
      </c>
      <c r="D239" s="18">
        <v>22585</v>
      </c>
      <c r="E239" s="18">
        <v>17775</v>
      </c>
      <c r="F239" s="19">
        <f t="shared" si="101"/>
        <v>18572.692307692309</v>
      </c>
      <c r="G239" s="19">
        <f t="shared" si="102"/>
        <v>26792.307692307695</v>
      </c>
      <c r="H239" s="19">
        <f t="shared" si="103"/>
        <v>112635</v>
      </c>
      <c r="J239" s="18">
        <v>45365</v>
      </c>
      <c r="M239" s="19"/>
      <c r="N239" s="19"/>
      <c r="O239" s="19"/>
      <c r="P239" s="19"/>
      <c r="Q239" s="19"/>
      <c r="S239">
        <f t="shared" si="104"/>
        <v>19.405000000000001</v>
      </c>
      <c r="T239">
        <f t="shared" si="104"/>
        <v>22.585000000000001</v>
      </c>
      <c r="U239">
        <f t="shared" si="104"/>
        <v>17.775000000000002</v>
      </c>
      <c r="V239">
        <f t="shared" si="104"/>
        <v>18.572692307692307</v>
      </c>
    </row>
    <row r="240" spans="1:22" x14ac:dyDescent="0.2">
      <c r="A240" t="s">
        <v>63</v>
      </c>
      <c r="B240" s="18">
        <v>29710</v>
      </c>
      <c r="C240" s="18">
        <v>80585</v>
      </c>
      <c r="D240" s="18">
        <v>62630</v>
      </c>
      <c r="E240" s="18">
        <v>62790</v>
      </c>
      <c r="F240" s="19">
        <f t="shared" si="101"/>
        <v>19553.219103171708</v>
      </c>
      <c r="G240" s="19">
        <f t="shared" si="102"/>
        <v>28206.780896828295</v>
      </c>
      <c r="H240" s="19">
        <f t="shared" si="103"/>
        <v>283475</v>
      </c>
      <c r="J240" s="18">
        <v>47760</v>
      </c>
      <c r="M240" s="19"/>
      <c r="N240" s="19"/>
      <c r="O240" s="19"/>
      <c r="P240" s="19"/>
      <c r="Q240" s="19"/>
      <c r="S240">
        <f t="shared" si="104"/>
        <v>80.585000000000008</v>
      </c>
      <c r="T240">
        <f t="shared" si="104"/>
        <v>62.63</v>
      </c>
      <c r="U240">
        <f t="shared" si="104"/>
        <v>62.79</v>
      </c>
      <c r="V240">
        <f t="shared" si="104"/>
        <v>19.55321910317171</v>
      </c>
    </row>
    <row r="241" spans="1:16" x14ac:dyDescent="0.2">
      <c r="A241" t="s">
        <v>46</v>
      </c>
      <c r="B241" s="17">
        <v>1255</v>
      </c>
      <c r="C241" s="18">
        <v>6670</v>
      </c>
      <c r="D241" s="18">
        <v>18390</v>
      </c>
      <c r="E241" s="18">
        <v>30480</v>
      </c>
      <c r="F241" s="19">
        <f t="shared" si="101"/>
        <v>46967.028800583299</v>
      </c>
      <c r="G241" s="19">
        <f t="shared" si="102"/>
        <v>67752.971199416701</v>
      </c>
      <c r="H241" s="19">
        <f t="shared" si="103"/>
        <v>171515</v>
      </c>
      <c r="J241" s="18">
        <v>114720</v>
      </c>
      <c r="M241" s="13"/>
      <c r="N241" s="13"/>
      <c r="O241" s="13"/>
      <c r="P241" s="13"/>
    </row>
    <row r="242" spans="1:16" x14ac:dyDescent="0.2">
      <c r="A242" t="s">
        <v>64</v>
      </c>
      <c r="B242" s="19">
        <f t="shared" ref="B242:G242" si="105">SUM(B236:B241)</f>
        <v>102305</v>
      </c>
      <c r="C242" s="19">
        <f t="shared" si="105"/>
        <v>277810</v>
      </c>
      <c r="D242" s="19">
        <f t="shared" si="105"/>
        <v>243125</v>
      </c>
      <c r="E242" s="19">
        <f t="shared" si="105"/>
        <v>327335</v>
      </c>
      <c r="F242" s="19">
        <f t="shared" si="105"/>
        <v>252279.92344148745</v>
      </c>
      <c r="G242" s="19">
        <f t="shared" si="105"/>
        <v>363930.07655851264</v>
      </c>
      <c r="H242" s="19">
        <f t="shared" si="103"/>
        <v>1566785</v>
      </c>
      <c r="J242" s="19">
        <f>SUM(J236:J241)</f>
        <v>616210</v>
      </c>
      <c r="M242" s="13"/>
      <c r="N242" s="13"/>
      <c r="O242" s="13"/>
      <c r="P242" s="13"/>
    </row>
    <row r="243" spans="1:16" x14ac:dyDescent="0.2">
      <c r="M243" s="13"/>
      <c r="N243" s="13"/>
      <c r="O243" s="13"/>
      <c r="P243" s="13"/>
    </row>
    <row r="244" spans="1:16" x14ac:dyDescent="0.2">
      <c r="A244" t="s">
        <v>65</v>
      </c>
      <c r="B244" s="17">
        <v>23495</v>
      </c>
      <c r="C244" s="18">
        <v>12380</v>
      </c>
      <c r="D244" s="18">
        <v>3570</v>
      </c>
      <c r="E244" s="18">
        <v>2210</v>
      </c>
      <c r="F244" s="19">
        <f>F242/F245</f>
        <v>776.24591828149983</v>
      </c>
      <c r="G244" s="19">
        <f>J244-F244</f>
        <v>583.75408171850017</v>
      </c>
      <c r="H244" s="19">
        <f>SUM(B244:F244)</f>
        <v>42431.2459182815</v>
      </c>
      <c r="J244" s="18">
        <v>1360</v>
      </c>
    </row>
    <row r="245" spans="1:16" x14ac:dyDescent="0.2">
      <c r="A245" t="s">
        <v>66</v>
      </c>
      <c r="B245" s="3">
        <f>B242/B244</f>
        <v>4.3543307086614176</v>
      </c>
      <c r="C245" s="3">
        <f>C242/C244</f>
        <v>22.440226171243943</v>
      </c>
      <c r="D245" s="3">
        <f>D242/D244</f>
        <v>68.102240896358538</v>
      </c>
      <c r="E245" s="3">
        <f>E242/E244</f>
        <v>148.11538461538461</v>
      </c>
      <c r="F245" s="20">
        <v>325</v>
      </c>
      <c r="G245" s="3">
        <f>G242/G244</f>
        <v>623.43046148327949</v>
      </c>
      <c r="H245" s="3">
        <f>H242/H244</f>
        <v>36.925265004413902</v>
      </c>
    </row>
    <row r="247" spans="1:16" x14ac:dyDescent="0.2">
      <c r="A247" t="s">
        <v>67</v>
      </c>
    </row>
    <row r="248" spans="1:16" x14ac:dyDescent="0.2">
      <c r="A248" t="s">
        <v>68</v>
      </c>
      <c r="B248" t="s">
        <v>69</v>
      </c>
      <c r="C248" t="s">
        <v>70</v>
      </c>
      <c r="D248" t="s">
        <v>71</v>
      </c>
      <c r="E248" t="str">
        <f>C$235</f>
        <v>10-50 mmbtu/hr</v>
      </c>
      <c r="F248" t="str">
        <f>D$235</f>
        <v>50-100mmbtu/hr</v>
      </c>
      <c r="G248" t="str">
        <f>E$235</f>
        <v>100-250 mmbtu/hr</v>
      </c>
      <c r="H248" t="str">
        <f>F$235</f>
        <v>250-500 mmbtu/hr</v>
      </c>
      <c r="I248" t="str">
        <f>G$235</f>
        <v>&gt;500mmbtu</v>
      </c>
      <c r="J248" t="s">
        <v>56</v>
      </c>
    </row>
    <row r="249" spans="1:16" x14ac:dyDescent="0.2">
      <c r="A249" t="str">
        <f t="shared" ref="A249:A254" si="106">A236</f>
        <v xml:space="preserve">      Food</v>
      </c>
      <c r="B249" s="13">
        <f t="shared" ref="B249:D255" si="107">0.3333*$B236/$H236</f>
        <v>4.9374834910720672E-2</v>
      </c>
      <c r="C249" s="13">
        <f t="shared" si="107"/>
        <v>4.9374834910720672E-2</v>
      </c>
      <c r="D249" s="13">
        <f t="shared" si="107"/>
        <v>4.9374834910720672E-2</v>
      </c>
      <c r="E249" s="13">
        <f t="shared" ref="E249:I255" si="108">C236/$H236</f>
        <v>0.30977185495983028</v>
      </c>
      <c r="F249" s="13">
        <f t="shared" si="108"/>
        <v>0.18063270317305172</v>
      </c>
      <c r="G249" s="13">
        <f t="shared" si="108"/>
        <v>0.22862183231220348</v>
      </c>
      <c r="H249" s="13">
        <f t="shared" si="108"/>
        <v>5.4383123831740834E-2</v>
      </c>
      <c r="I249" s="13">
        <f t="shared" si="108"/>
        <v>7.8451167059145288E-2</v>
      </c>
      <c r="J249" s="13">
        <f t="shared" ref="J249:J255" si="109">SUM(B249:I249)</f>
        <v>0.99998518606813347</v>
      </c>
      <c r="K249" s="13"/>
    </row>
    <row r="250" spans="1:16" x14ac:dyDescent="0.2">
      <c r="A250" t="str">
        <f t="shared" si="106"/>
        <v xml:space="preserve">      Paper</v>
      </c>
      <c r="B250" s="13">
        <f t="shared" si="107"/>
        <v>3.6354364288561179E-3</v>
      </c>
      <c r="C250" s="13">
        <f t="shared" si="107"/>
        <v>3.6354364288561179E-3</v>
      </c>
      <c r="D250" s="13">
        <f t="shared" si="107"/>
        <v>3.6354364288561179E-3</v>
      </c>
      <c r="E250" s="13">
        <f t="shared" si="108"/>
        <v>6.5072406005048489E-2</v>
      </c>
      <c r="F250" s="13">
        <f t="shared" si="108"/>
        <v>9.7422611930383957E-2</v>
      </c>
      <c r="G250" s="13">
        <f t="shared" si="108"/>
        <v>0.21655373986980206</v>
      </c>
      <c r="H250" s="13">
        <f t="shared" si="108"/>
        <v>0.24975546290735781</v>
      </c>
      <c r="I250" s="13">
        <f t="shared" si="108"/>
        <v>0.36028837926083673</v>
      </c>
      <c r="J250" s="13">
        <f t="shared" si="109"/>
        <v>0.99999890925999746</v>
      </c>
      <c r="K250" s="13"/>
    </row>
    <row r="251" spans="1:16" x14ac:dyDescent="0.2">
      <c r="A251" t="str">
        <f t="shared" si="106"/>
        <v xml:space="preserve">      Chemicals</v>
      </c>
      <c r="B251" s="13">
        <f t="shared" si="107"/>
        <v>2.3125045088664285E-2</v>
      </c>
      <c r="C251" s="13">
        <f t="shared" si="107"/>
        <v>2.3125045088664285E-2</v>
      </c>
      <c r="D251" s="13">
        <f t="shared" si="107"/>
        <v>2.3125045088664285E-2</v>
      </c>
      <c r="E251" s="13">
        <f t="shared" si="108"/>
        <v>0.19776069720994977</v>
      </c>
      <c r="F251" s="13">
        <f t="shared" si="108"/>
        <v>0.15728378623736611</v>
      </c>
      <c r="G251" s="13">
        <f t="shared" si="108"/>
        <v>0.21022816679779702</v>
      </c>
      <c r="H251" s="13">
        <f t="shared" si="108"/>
        <v>0.14957446054107809</v>
      </c>
      <c r="I251" s="13">
        <f t="shared" si="108"/>
        <v>0.21577081574046889</v>
      </c>
      <c r="J251" s="13">
        <f t="shared" si="109"/>
        <v>0.99999306179265279</v>
      </c>
      <c r="K251" s="13"/>
    </row>
    <row r="252" spans="1:16" x14ac:dyDescent="0.2">
      <c r="A252" t="str">
        <f t="shared" si="106"/>
        <v xml:space="preserve">      Primary Metals</v>
      </c>
      <c r="B252" s="13">
        <f t="shared" si="107"/>
        <v>2.2208163537088824E-2</v>
      </c>
      <c r="C252" s="13">
        <f t="shared" si="107"/>
        <v>2.2208163537088824E-2</v>
      </c>
      <c r="D252" s="13">
        <f t="shared" si="107"/>
        <v>2.2208163537088824E-2</v>
      </c>
      <c r="E252" s="13">
        <f t="shared" si="108"/>
        <v>0.17228215030851868</v>
      </c>
      <c r="F252" s="13">
        <f t="shared" si="108"/>
        <v>0.20051493763039907</v>
      </c>
      <c r="G252" s="13">
        <f t="shared" si="108"/>
        <v>0.15781062724730324</v>
      </c>
      <c r="H252" s="13">
        <f t="shared" si="108"/>
        <v>0.16489272701817648</v>
      </c>
      <c r="I252" s="13">
        <f t="shared" si="108"/>
        <v>0.23786840406896342</v>
      </c>
      <c r="J252" s="13">
        <f t="shared" si="109"/>
        <v>0.99999333688462744</v>
      </c>
      <c r="K252" s="13"/>
    </row>
    <row r="253" spans="1:16" x14ac:dyDescent="0.2">
      <c r="A253" t="str">
        <f t="shared" si="106"/>
        <v xml:space="preserve">      Other Manuf</v>
      </c>
      <c r="B253" s="13">
        <f t="shared" si="107"/>
        <v>3.4931979892406734E-2</v>
      </c>
      <c r="C253" s="13">
        <f t="shared" si="107"/>
        <v>3.4931979892406734E-2</v>
      </c>
      <c r="D253" s="13">
        <f t="shared" si="107"/>
        <v>3.4931979892406734E-2</v>
      </c>
      <c r="E253" s="13">
        <f t="shared" si="108"/>
        <v>0.28427550930417145</v>
      </c>
      <c r="F253" s="13">
        <f t="shared" si="108"/>
        <v>0.22093659052826528</v>
      </c>
      <c r="G253" s="13">
        <f t="shared" si="108"/>
        <v>0.22150101419878296</v>
      </c>
      <c r="H253" s="13">
        <f t="shared" si="108"/>
        <v>6.897687310405401E-2</v>
      </c>
      <c r="I253" s="13">
        <f t="shared" si="108"/>
        <v>9.9503592545474182E-2</v>
      </c>
      <c r="J253" s="13">
        <f t="shared" si="109"/>
        <v>0.99998951935796809</v>
      </c>
      <c r="K253" s="13"/>
    </row>
    <row r="254" spans="1:16" x14ac:dyDescent="0.2">
      <c r="A254" t="str">
        <f t="shared" si="106"/>
        <v xml:space="preserve">      Refining</v>
      </c>
      <c r="B254" s="13">
        <f t="shared" si="107"/>
        <v>2.4388041862227791E-3</v>
      </c>
      <c r="C254" s="13">
        <f t="shared" si="107"/>
        <v>2.4388041862227791E-3</v>
      </c>
      <c r="D254" s="13">
        <f t="shared" si="107"/>
        <v>2.4388041862227791E-3</v>
      </c>
      <c r="E254" s="13">
        <f t="shared" si="108"/>
        <v>3.8888726933504356E-2</v>
      </c>
      <c r="F254" s="13">
        <f t="shared" si="108"/>
        <v>0.10722094277468443</v>
      </c>
      <c r="G254" s="13">
        <f t="shared" si="108"/>
        <v>0.17771040433781302</v>
      </c>
      <c r="H254" s="13">
        <f t="shared" si="108"/>
        <v>0.27383627554781387</v>
      </c>
      <c r="I254" s="13">
        <f t="shared" si="108"/>
        <v>0.39502650613308865</v>
      </c>
      <c r="J254" s="13">
        <f t="shared" si="109"/>
        <v>0.99999926828557262</v>
      </c>
      <c r="K254" s="13"/>
    </row>
    <row r="255" spans="1:16" x14ac:dyDescent="0.2">
      <c r="A255" t="s">
        <v>72</v>
      </c>
      <c r="B255" s="13">
        <f t="shared" si="107"/>
        <v>2.1763200758240599E-2</v>
      </c>
      <c r="C255" s="13">
        <f t="shared" si="107"/>
        <v>2.1763200758240599E-2</v>
      </c>
      <c r="D255" s="13">
        <f t="shared" si="107"/>
        <v>2.1763200758240599E-2</v>
      </c>
      <c r="E255" s="13">
        <f t="shared" si="108"/>
        <v>0.17731213918948674</v>
      </c>
      <c r="F255" s="13">
        <f t="shared" si="108"/>
        <v>0.1551744495894459</v>
      </c>
      <c r="G255" s="13">
        <f t="shared" si="108"/>
        <v>0.20892145380508492</v>
      </c>
      <c r="H255" s="13">
        <f t="shared" si="108"/>
        <v>0.16101757640102979</v>
      </c>
      <c r="I255" s="13">
        <f t="shared" si="108"/>
        <v>0.23227824912704209</v>
      </c>
      <c r="J255" s="13">
        <f t="shared" si="109"/>
        <v>0.99999347038681119</v>
      </c>
      <c r="K255" s="13"/>
    </row>
    <row r="256" spans="1:16" x14ac:dyDescent="0.2">
      <c r="D256" s="16"/>
      <c r="E256" s="16"/>
      <c r="F256" s="16"/>
      <c r="G256" s="16"/>
      <c r="H256" s="16"/>
      <c r="I256" s="16"/>
    </row>
    <row r="260" spans="2:9" x14ac:dyDescent="0.2">
      <c r="B260" s="14"/>
      <c r="C260" s="14"/>
      <c r="D260" s="14"/>
      <c r="E260" s="14"/>
      <c r="F260" s="14"/>
      <c r="G260" s="14"/>
      <c r="H260" s="14"/>
      <c r="I260" s="14"/>
    </row>
    <row r="261" spans="2:9" x14ac:dyDescent="0.2">
      <c r="B261" s="19"/>
      <c r="C261" s="19"/>
      <c r="D261" s="19"/>
      <c r="E261" s="19"/>
      <c r="F261" s="19"/>
      <c r="G261" s="19"/>
      <c r="H261" s="19"/>
      <c r="I261" s="19"/>
    </row>
    <row r="262" spans="2:9" x14ac:dyDescent="0.2">
      <c r="B262" s="14"/>
      <c r="C262" s="14"/>
      <c r="D262" s="14"/>
      <c r="E262" s="14"/>
      <c r="F262" s="14"/>
      <c r="G262" s="14"/>
      <c r="H262" s="14"/>
      <c r="I262" s="14"/>
    </row>
    <row r="263" spans="2:9" x14ac:dyDescent="0.2">
      <c r="B263" s="14"/>
      <c r="C263" s="14"/>
      <c r="D263" s="14"/>
      <c r="E263" s="14"/>
      <c r="F263" s="14"/>
      <c r="G263" s="14"/>
      <c r="H263" s="14"/>
      <c r="I263" s="14"/>
    </row>
    <row r="264" spans="2:9" x14ac:dyDescent="0.2">
      <c r="B264" s="14"/>
      <c r="C264" s="14"/>
      <c r="D264" s="14"/>
      <c r="E264" s="14"/>
      <c r="F264" s="14"/>
      <c r="G264" s="14"/>
      <c r="H264" s="14"/>
      <c r="I264" s="14"/>
    </row>
    <row r="265" spans="2:9" x14ac:dyDescent="0.2">
      <c r="B265" s="5"/>
      <c r="C265" s="5"/>
      <c r="D265" s="5"/>
      <c r="E265" s="5"/>
      <c r="F265" s="5"/>
      <c r="G265" s="5"/>
      <c r="H265" s="5"/>
      <c r="I265" s="5"/>
    </row>
    <row r="266" spans="2:9" x14ac:dyDescent="0.2">
      <c r="B266" s="3"/>
      <c r="C266" s="3"/>
      <c r="D266" s="3"/>
      <c r="E266" s="3"/>
      <c r="F266" s="3"/>
      <c r="G266" s="3"/>
      <c r="H266" s="3"/>
      <c r="I266" s="3"/>
    </row>
    <row r="267" spans="2:9" x14ac:dyDescent="0.2">
      <c r="B267" s="16"/>
      <c r="C267" s="16"/>
      <c r="D267" s="16"/>
      <c r="E267" s="16"/>
    </row>
    <row r="269" spans="2:9" x14ac:dyDescent="0.2">
      <c r="B269" s="21"/>
      <c r="C269" s="14"/>
      <c r="D269" s="14"/>
      <c r="E269" s="14"/>
      <c r="F269" s="14"/>
      <c r="G269" s="14"/>
      <c r="H269" s="14"/>
      <c r="I269" s="14"/>
    </row>
    <row r="270" spans="2:9" x14ac:dyDescent="0.2">
      <c r="B270" s="21"/>
      <c r="C270" s="14"/>
      <c r="D270" s="14"/>
      <c r="E270" s="14"/>
      <c r="F270" s="14"/>
      <c r="G270" s="14"/>
      <c r="H270" s="14"/>
      <c r="I270" s="14"/>
    </row>
    <row r="271" spans="2:9" x14ac:dyDescent="0.2">
      <c r="B271" s="21"/>
      <c r="C271" s="14"/>
      <c r="D271" s="14"/>
      <c r="E271" s="14"/>
      <c r="F271" s="14"/>
      <c r="G271" s="14"/>
      <c r="H271" s="14"/>
      <c r="I271" s="14"/>
    </row>
    <row r="273" spans="2:10" x14ac:dyDescent="0.2">
      <c r="B273" s="19"/>
      <c r="C273" s="19"/>
      <c r="E273" s="19"/>
    </row>
    <row r="275" spans="2:10" x14ac:dyDescent="0.2">
      <c r="B275" s="3"/>
      <c r="C275" s="3"/>
      <c r="D275" s="3"/>
      <c r="E275" s="3"/>
      <c r="F275" s="3"/>
      <c r="G275" s="3"/>
      <c r="H275" s="3"/>
      <c r="I275" s="3"/>
    </row>
    <row r="276" spans="2:10" x14ac:dyDescent="0.2">
      <c r="B276" s="3"/>
      <c r="C276" s="3"/>
      <c r="D276" s="3"/>
      <c r="E276" s="3"/>
      <c r="F276" s="3"/>
      <c r="G276" s="3"/>
      <c r="H276" s="3"/>
      <c r="I276" s="3"/>
    </row>
    <row r="277" spans="2:10" x14ac:dyDescent="0.2">
      <c r="B277" s="3"/>
      <c r="C277" s="3"/>
      <c r="D277" s="3"/>
      <c r="E277" s="3"/>
      <c r="F277" s="3"/>
      <c r="G277" s="3"/>
      <c r="H277" s="3"/>
      <c r="I277" s="3"/>
    </row>
    <row r="278" spans="2:10" x14ac:dyDescent="0.2">
      <c r="B278" s="3"/>
      <c r="C278" s="3"/>
      <c r="D278" s="3"/>
      <c r="E278" s="3"/>
      <c r="F278" s="3"/>
      <c r="G278" s="3"/>
      <c r="H278" s="3"/>
      <c r="I278" s="3"/>
    </row>
    <row r="279" spans="2:10" x14ac:dyDescent="0.2">
      <c r="B279" s="3"/>
      <c r="C279" s="3"/>
      <c r="D279" s="3"/>
      <c r="E279" s="3"/>
      <c r="F279" s="3"/>
      <c r="G279" s="3"/>
      <c r="H279" s="3"/>
      <c r="I279" s="3"/>
    </row>
    <row r="280" spans="2:10" x14ac:dyDescent="0.2">
      <c r="B280" s="3"/>
      <c r="C280" s="3"/>
      <c r="D280" s="3"/>
      <c r="E280" s="3"/>
      <c r="F280" s="3"/>
      <c r="G280" s="3"/>
      <c r="H280" s="3"/>
      <c r="I280" s="3"/>
    </row>
    <row r="281" spans="2:10" x14ac:dyDescent="0.2">
      <c r="B281" s="3"/>
      <c r="C281" s="3"/>
      <c r="D281" s="3"/>
      <c r="E281" s="3"/>
      <c r="F281" s="3"/>
      <c r="G281" s="3"/>
      <c r="H281" s="3"/>
      <c r="I281" s="3"/>
    </row>
    <row r="282" spans="2:10" x14ac:dyDescent="0.2">
      <c r="B282" s="3"/>
      <c r="C282" s="3"/>
      <c r="D282" s="3"/>
      <c r="E282" s="3"/>
    </row>
    <row r="284" spans="2:10" x14ac:dyDescent="0.2">
      <c r="B284" s="5"/>
      <c r="C284" s="5"/>
      <c r="D284" s="5"/>
      <c r="E284" s="5"/>
      <c r="F284" s="5"/>
      <c r="G284" s="5"/>
      <c r="H284" s="5"/>
      <c r="I284" s="5"/>
      <c r="J284" s="5"/>
    </row>
    <row r="285" spans="2:10" x14ac:dyDescent="0.2">
      <c r="B285" s="5"/>
      <c r="C285" s="5"/>
      <c r="D285" s="5"/>
      <c r="E285" s="5"/>
      <c r="F285" s="5"/>
      <c r="G285" s="5"/>
      <c r="H285" s="5"/>
      <c r="I285" s="5"/>
      <c r="J285" s="5"/>
    </row>
    <row r="286" spans="2:10" x14ac:dyDescent="0.2">
      <c r="B286" s="5"/>
      <c r="C286" s="5"/>
      <c r="D286" s="5"/>
      <c r="E286" s="5"/>
      <c r="F286" s="5"/>
      <c r="G286" s="5"/>
      <c r="H286" s="5"/>
      <c r="I286" s="5"/>
      <c r="J286" s="5"/>
    </row>
    <row r="287" spans="2:10" x14ac:dyDescent="0.2">
      <c r="B287" s="5"/>
      <c r="C287" s="5"/>
      <c r="D287" s="5"/>
      <c r="E287" s="5"/>
      <c r="F287" s="5"/>
      <c r="G287" s="5"/>
      <c r="H287" s="5"/>
      <c r="I287" s="5"/>
      <c r="J287" s="5"/>
    </row>
    <row r="288" spans="2:10" x14ac:dyDescent="0.2"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"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"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">
      <c r="B291" s="5"/>
      <c r="C291" s="5"/>
      <c r="D291" s="5"/>
      <c r="E291" s="5"/>
    </row>
    <row r="292" spans="1:10" x14ac:dyDescent="0.2">
      <c r="A292" s="3"/>
    </row>
    <row r="293" spans="1:10" x14ac:dyDescent="0.2"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"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"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"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"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"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">
      <c r="B299" s="5"/>
      <c r="C299" s="5"/>
      <c r="D299" s="5"/>
      <c r="E299" s="5"/>
      <c r="F299" s="5"/>
      <c r="G299" s="5"/>
      <c r="H299" s="5"/>
      <c r="I299" s="5"/>
      <c r="J299" s="5"/>
    </row>
    <row r="302" spans="1:10" x14ac:dyDescent="0.2"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"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">
      <c r="B304" s="5"/>
      <c r="C304" s="5"/>
      <c r="D304" s="5"/>
      <c r="E304" s="5"/>
      <c r="F304" s="5"/>
      <c r="G304" s="5"/>
      <c r="H304" s="5"/>
      <c r="I304" s="5"/>
      <c r="J304" s="5"/>
    </row>
    <row r="305" spans="2:12" x14ac:dyDescent="0.2">
      <c r="B305" s="5"/>
      <c r="C305" s="5"/>
      <c r="D305" s="5"/>
      <c r="E305" s="5"/>
      <c r="F305" s="5"/>
      <c r="G305" s="5"/>
      <c r="H305" s="5"/>
      <c r="I305" s="5"/>
      <c r="J305" s="5"/>
    </row>
    <row r="306" spans="2:12" x14ac:dyDescent="0.2">
      <c r="B306" s="5"/>
      <c r="C306" s="5"/>
      <c r="D306" s="5"/>
      <c r="E306" s="5"/>
      <c r="F306" s="5"/>
      <c r="G306" s="5"/>
      <c r="H306" s="5"/>
      <c r="I306" s="5"/>
      <c r="J306" s="5"/>
    </row>
    <row r="307" spans="2:12" x14ac:dyDescent="0.2">
      <c r="B307" s="5"/>
      <c r="C307" s="5"/>
      <c r="D307" s="5"/>
      <c r="E307" s="5"/>
      <c r="F307" s="5"/>
      <c r="G307" s="5"/>
      <c r="H307" s="5"/>
      <c r="I307" s="5"/>
      <c r="J307" s="5"/>
    </row>
    <row r="308" spans="2:12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2"/>
    </row>
    <row r="311" spans="2:12" x14ac:dyDescent="0.2">
      <c r="B311" s="5"/>
      <c r="C311" s="5"/>
      <c r="D311" s="5"/>
      <c r="E311" s="5"/>
      <c r="F311" s="5"/>
      <c r="G311" s="5"/>
      <c r="H311" s="5"/>
      <c r="I311" s="5"/>
      <c r="J311" s="5"/>
    </row>
    <row r="312" spans="2:12" x14ac:dyDescent="0.2">
      <c r="B312" s="5"/>
      <c r="C312" s="5"/>
      <c r="D312" s="5"/>
      <c r="E312" s="5"/>
      <c r="F312" s="5"/>
      <c r="G312" s="5"/>
      <c r="H312" s="5"/>
      <c r="I312" s="5"/>
      <c r="J312" s="5"/>
    </row>
    <row r="313" spans="2:12" x14ac:dyDescent="0.2">
      <c r="B313" s="5"/>
      <c r="C313" s="5"/>
      <c r="D313" s="5"/>
      <c r="E313" s="5"/>
      <c r="F313" s="5"/>
      <c r="G313" s="5"/>
      <c r="H313" s="5"/>
      <c r="I313" s="5"/>
      <c r="J313" s="5"/>
    </row>
    <row r="314" spans="2:12" x14ac:dyDescent="0.2">
      <c r="B314" s="5"/>
      <c r="C314" s="5"/>
      <c r="D314" s="5"/>
      <c r="E314" s="5"/>
      <c r="F314" s="5"/>
      <c r="G314" s="5"/>
      <c r="H314" s="5"/>
      <c r="I314" s="5"/>
      <c r="J314" s="5"/>
    </row>
    <row r="315" spans="2:12" x14ac:dyDescent="0.2">
      <c r="B315" s="5"/>
      <c r="C315" s="5"/>
      <c r="D315" s="5"/>
      <c r="E315" s="5"/>
      <c r="F315" s="5"/>
      <c r="G315" s="5"/>
      <c r="H315" s="5"/>
      <c r="I315" s="5"/>
      <c r="J315" s="5"/>
    </row>
    <row r="316" spans="2:12" x14ac:dyDescent="0.2">
      <c r="B316" s="5"/>
      <c r="C316" s="5"/>
      <c r="D316" s="5"/>
      <c r="E316" s="5"/>
      <c r="F316" s="5"/>
      <c r="G316" s="5"/>
      <c r="H316" s="5"/>
      <c r="I316" s="5"/>
      <c r="J316" s="5"/>
    </row>
    <row r="317" spans="2:12" x14ac:dyDescent="0.2">
      <c r="B317" s="5"/>
      <c r="C317" s="5"/>
      <c r="D317" s="5"/>
      <c r="E317" s="5"/>
      <c r="F317" s="5"/>
      <c r="G317" s="5"/>
      <c r="H317" s="5"/>
      <c r="I317" s="5"/>
      <c r="J317" s="5"/>
    </row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</sheetData>
  <hyperlinks>
    <hyperlink ref="E197" r:id="rId1" xr:uid="{00000000-0004-0000-0000-000000000000}"/>
    <hyperlink ref="A18" r:id="rId2" xr:uid="{00000000-0004-0000-0000-000001000000}"/>
    <hyperlink ref="A38" r:id="rId3" xr:uid="{00000000-0004-0000-0000-000002000000}"/>
  </hyperlinks>
  <pageMargins left="0.75" right="0.75" top="1" bottom="1" header="0.5" footer="0.5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4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4.28515625" style="80" customWidth="1"/>
    <col min="2" max="2" width="20.28515625" style="80" customWidth="1"/>
    <col min="3" max="3" width="19.7109375" style="80" customWidth="1"/>
    <col min="4" max="4" width="13.7109375" style="80" customWidth="1"/>
    <col min="5" max="5" width="13" style="80" customWidth="1"/>
    <col min="6" max="7" width="13.7109375" style="80" customWidth="1"/>
    <col min="8" max="8" width="13.85546875" style="80" customWidth="1"/>
    <col min="9" max="9" width="17.140625" style="80" customWidth="1"/>
    <col min="10" max="10" width="12.7109375" style="80" customWidth="1"/>
  </cols>
  <sheetData>
    <row r="1" spans="1:13" ht="13.5" thickBot="1" x14ac:dyDescent="0.25">
      <c r="A1" s="88" t="s">
        <v>144</v>
      </c>
      <c r="B1" s="89">
        <v>1</v>
      </c>
      <c r="C1" s="89">
        <v>2</v>
      </c>
      <c r="D1" s="89">
        <v>3</v>
      </c>
      <c r="E1" s="89">
        <v>4</v>
      </c>
      <c r="F1" s="89">
        <v>5</v>
      </c>
      <c r="G1" s="89">
        <v>6</v>
      </c>
      <c r="H1" s="89">
        <v>7</v>
      </c>
      <c r="I1" s="89">
        <v>8</v>
      </c>
      <c r="J1" s="87"/>
      <c r="L1" s="8" t="s">
        <v>142</v>
      </c>
      <c r="M1" s="27" t="s">
        <v>143</v>
      </c>
    </row>
    <row r="2" spans="1:13" ht="15.75" x14ac:dyDescent="0.25">
      <c r="A2" s="35" t="s">
        <v>95</v>
      </c>
      <c r="B2" s="36" t="s">
        <v>34</v>
      </c>
      <c r="C2" s="37"/>
      <c r="D2" s="37"/>
      <c r="E2" s="37"/>
      <c r="F2" s="37"/>
      <c r="G2" s="37"/>
      <c r="H2" s="37"/>
      <c r="I2" s="37"/>
      <c r="J2" s="38"/>
    </row>
    <row r="3" spans="1:13" ht="15.75" x14ac:dyDescent="0.25">
      <c r="A3" s="39" t="s">
        <v>96</v>
      </c>
      <c r="B3" s="40" t="s">
        <v>25</v>
      </c>
      <c r="C3" s="41"/>
      <c r="D3" s="41"/>
      <c r="E3" s="41"/>
      <c r="F3" s="41"/>
      <c r="G3" s="41"/>
      <c r="H3" s="41"/>
      <c r="I3" s="41"/>
      <c r="J3" s="42"/>
    </row>
    <row r="4" spans="1:13" ht="15.75" x14ac:dyDescent="0.25">
      <c r="A4" s="39" t="s">
        <v>97</v>
      </c>
      <c r="B4" s="40" t="s">
        <v>56</v>
      </c>
      <c r="C4" s="41"/>
      <c r="D4" s="41"/>
      <c r="E4" s="41"/>
      <c r="F4" s="41"/>
      <c r="G4" s="41"/>
      <c r="H4" s="41"/>
      <c r="I4" s="41"/>
      <c r="J4" s="42"/>
    </row>
    <row r="5" spans="1:13" ht="15.75" x14ac:dyDescent="0.25">
      <c r="A5" s="39" t="s">
        <v>98</v>
      </c>
      <c r="B5" s="40" t="s">
        <v>99</v>
      </c>
      <c r="C5" s="41"/>
      <c r="D5" s="41"/>
      <c r="E5" s="41"/>
      <c r="F5" s="41"/>
      <c r="G5" s="41"/>
      <c r="H5" s="41"/>
      <c r="I5" s="41"/>
      <c r="J5" s="42"/>
    </row>
    <row r="6" spans="1:13" ht="16.5" thickBot="1" x14ac:dyDescent="0.3">
      <c r="A6" s="43" t="s">
        <v>100</v>
      </c>
      <c r="B6" s="44" t="s">
        <v>101</v>
      </c>
      <c r="C6" s="45"/>
      <c r="D6" s="45"/>
      <c r="E6" s="45"/>
      <c r="F6" s="45"/>
      <c r="G6" s="45"/>
      <c r="H6" s="45"/>
      <c r="I6" s="45"/>
      <c r="J6" s="46"/>
    </row>
    <row r="7" spans="1:13" ht="48" thickBot="1" x14ac:dyDescent="0.25">
      <c r="A7" s="47" t="s">
        <v>102</v>
      </c>
      <c r="B7" s="56" t="s">
        <v>103</v>
      </c>
      <c r="C7" s="57" t="s">
        <v>104</v>
      </c>
      <c r="D7" s="58" t="s">
        <v>105</v>
      </c>
      <c r="E7" s="58" t="s">
        <v>106</v>
      </c>
      <c r="F7" s="58" t="s">
        <v>107</v>
      </c>
      <c r="G7" s="58" t="s">
        <v>108</v>
      </c>
      <c r="H7" s="58" t="s">
        <v>109</v>
      </c>
      <c r="I7" s="58" t="s">
        <v>110</v>
      </c>
      <c r="J7" s="59" t="s">
        <v>111</v>
      </c>
    </row>
    <row r="8" spans="1:13" x14ac:dyDescent="0.2">
      <c r="A8" s="48" t="s">
        <v>112</v>
      </c>
      <c r="B8" s="60">
        <v>1200</v>
      </c>
      <c r="C8" s="60">
        <v>3000</v>
      </c>
      <c r="D8" s="60">
        <v>4600</v>
      </c>
      <c r="E8" s="60">
        <v>10360</v>
      </c>
      <c r="F8" s="60">
        <v>23200</v>
      </c>
      <c r="G8" s="60">
        <v>45000</v>
      </c>
      <c r="H8" s="60">
        <v>117000</v>
      </c>
      <c r="I8" s="60">
        <v>376000</v>
      </c>
      <c r="J8" s="61">
        <v>840</v>
      </c>
    </row>
    <row r="9" spans="1:13" x14ac:dyDescent="0.2">
      <c r="A9" s="49" t="s">
        <v>113</v>
      </c>
      <c r="B9" s="62">
        <v>93</v>
      </c>
      <c r="C9" s="62">
        <v>93</v>
      </c>
      <c r="D9" s="62">
        <v>93</v>
      </c>
      <c r="E9" s="62">
        <v>93</v>
      </c>
      <c r="F9" s="62">
        <v>93</v>
      </c>
      <c r="G9" s="62">
        <v>93</v>
      </c>
      <c r="H9" s="62">
        <v>93</v>
      </c>
      <c r="I9" s="62">
        <v>93</v>
      </c>
      <c r="J9" s="63" t="s">
        <v>114</v>
      </c>
    </row>
    <row r="10" spans="1:13" x14ac:dyDescent="0.2">
      <c r="A10" s="49" t="s">
        <v>115</v>
      </c>
      <c r="B10" s="62">
        <v>8147</v>
      </c>
      <c r="C10" s="62">
        <v>8147</v>
      </c>
      <c r="D10" s="62">
        <v>8147</v>
      </c>
      <c r="E10" s="62">
        <v>8147</v>
      </c>
      <c r="F10" s="62">
        <v>8147</v>
      </c>
      <c r="G10" s="62">
        <v>8147</v>
      </c>
      <c r="H10" s="62">
        <v>8147</v>
      </c>
      <c r="I10" s="62">
        <v>8147</v>
      </c>
      <c r="J10" s="63" t="s">
        <v>114</v>
      </c>
    </row>
    <row r="11" spans="1:13" x14ac:dyDescent="0.2">
      <c r="A11" s="97" t="s">
        <v>116</v>
      </c>
      <c r="B11" s="98">
        <v>8727</v>
      </c>
      <c r="C11" s="98">
        <v>8667</v>
      </c>
      <c r="D11" s="98">
        <v>9827</v>
      </c>
      <c r="E11" s="98">
        <v>10872</v>
      </c>
      <c r="F11" s="98">
        <v>10338</v>
      </c>
      <c r="G11" s="98">
        <v>8987</v>
      </c>
      <c r="H11" s="98">
        <v>6829</v>
      </c>
      <c r="I11" s="98">
        <v>6364</v>
      </c>
      <c r="J11" s="99" t="s">
        <v>114</v>
      </c>
    </row>
    <row r="12" spans="1:13" x14ac:dyDescent="0.2">
      <c r="A12" s="51" t="s">
        <v>117</v>
      </c>
      <c r="B12" s="64">
        <v>39.1</v>
      </c>
      <c r="C12" s="64">
        <v>39.369999999999997</v>
      </c>
      <c r="D12" s="64">
        <v>34.72</v>
      </c>
      <c r="E12" s="64">
        <v>31.38</v>
      </c>
      <c r="F12" s="64">
        <v>33.01</v>
      </c>
      <c r="G12" s="64">
        <v>37.97</v>
      </c>
      <c r="H12" s="64">
        <v>49.96</v>
      </c>
      <c r="I12" s="64">
        <v>53.61</v>
      </c>
      <c r="J12" s="65" t="s">
        <v>114</v>
      </c>
    </row>
    <row r="13" spans="1:13" x14ac:dyDescent="0.2">
      <c r="A13" s="49" t="s">
        <v>118</v>
      </c>
      <c r="B13" s="66">
        <v>10.47</v>
      </c>
      <c r="C13" s="66">
        <v>26</v>
      </c>
      <c r="D13" s="66">
        <v>45.21</v>
      </c>
      <c r="E13" s="66">
        <v>112.64</v>
      </c>
      <c r="F13" s="66">
        <v>239.83</v>
      </c>
      <c r="G13" s="66">
        <v>404.42</v>
      </c>
      <c r="H13" s="66">
        <v>614.65</v>
      </c>
      <c r="I13" s="66">
        <v>1546.56</v>
      </c>
      <c r="J13" s="67" t="s">
        <v>114</v>
      </c>
    </row>
    <row r="14" spans="1:13" x14ac:dyDescent="0.2">
      <c r="A14" s="49" t="s">
        <v>119</v>
      </c>
      <c r="B14" s="66">
        <v>4.08</v>
      </c>
      <c r="C14" s="66">
        <v>9.8800000000000008</v>
      </c>
      <c r="D14" s="66">
        <v>14.01</v>
      </c>
      <c r="E14" s="66">
        <v>41.68</v>
      </c>
      <c r="F14" s="66">
        <v>91.14</v>
      </c>
      <c r="G14" s="66">
        <v>137.5</v>
      </c>
      <c r="H14" s="66">
        <v>245.86</v>
      </c>
      <c r="I14" s="66">
        <v>695.95</v>
      </c>
      <c r="J14" s="67" t="s">
        <v>114</v>
      </c>
    </row>
    <row r="15" spans="1:13" x14ac:dyDescent="0.2">
      <c r="A15" s="101" t="s">
        <v>120</v>
      </c>
      <c r="B15" s="102">
        <v>78.099999999999994</v>
      </c>
      <c r="C15" s="102">
        <v>77.37</v>
      </c>
      <c r="D15" s="102">
        <v>65.930000000000007</v>
      </c>
      <c r="E15" s="102">
        <v>68.38</v>
      </c>
      <c r="F15" s="102">
        <v>71.010000000000005</v>
      </c>
      <c r="G15" s="102">
        <v>71.97</v>
      </c>
      <c r="H15" s="102">
        <v>64.95</v>
      </c>
      <c r="I15" s="102">
        <v>82.95</v>
      </c>
      <c r="J15" s="103" t="s">
        <v>114</v>
      </c>
    </row>
    <row r="16" spans="1:13" ht="15" x14ac:dyDescent="0.25">
      <c r="A16" s="49" t="s">
        <v>121</v>
      </c>
      <c r="B16" s="68">
        <v>1</v>
      </c>
      <c r="C16" s="68">
        <v>1.04</v>
      </c>
      <c r="D16" s="68">
        <v>1.1200000000000001</v>
      </c>
      <c r="E16" s="68">
        <v>0.85</v>
      </c>
      <c r="F16" s="68">
        <v>0.87</v>
      </c>
      <c r="G16" s="68">
        <v>1.1200000000000001</v>
      </c>
      <c r="H16" s="68">
        <v>1.62</v>
      </c>
      <c r="I16" s="68">
        <v>1.84</v>
      </c>
      <c r="J16" s="69" t="s">
        <v>114</v>
      </c>
    </row>
    <row r="17" spans="1:10" ht="15" x14ac:dyDescent="0.25">
      <c r="A17" s="50" t="s">
        <v>122</v>
      </c>
      <c r="B17" s="70">
        <v>4477</v>
      </c>
      <c r="C17" s="70">
        <v>4550</v>
      </c>
      <c r="D17" s="70">
        <v>6019</v>
      </c>
      <c r="E17" s="70">
        <v>5844</v>
      </c>
      <c r="F17" s="70">
        <v>5427</v>
      </c>
      <c r="G17" s="70">
        <v>5168</v>
      </c>
      <c r="H17" s="70">
        <v>5253</v>
      </c>
      <c r="I17" s="70">
        <v>4113</v>
      </c>
      <c r="J17" s="71" t="s">
        <v>114</v>
      </c>
    </row>
    <row r="18" spans="1:10" ht="15" x14ac:dyDescent="0.25">
      <c r="A18" s="49" t="s">
        <v>123</v>
      </c>
      <c r="B18" s="70">
        <v>30</v>
      </c>
      <c r="C18" s="70">
        <v>30</v>
      </c>
      <c r="D18" s="70">
        <v>35</v>
      </c>
      <c r="E18" s="70">
        <v>35</v>
      </c>
      <c r="F18" s="70">
        <v>35</v>
      </c>
      <c r="G18" s="70">
        <v>35</v>
      </c>
      <c r="H18" s="70">
        <v>35</v>
      </c>
      <c r="I18" s="70">
        <v>35</v>
      </c>
      <c r="J18" s="71" t="s">
        <v>114</v>
      </c>
    </row>
    <row r="19" spans="1:10" ht="15" x14ac:dyDescent="0.25">
      <c r="A19" s="49" t="s">
        <v>124</v>
      </c>
      <c r="B19" s="70" t="s">
        <v>114</v>
      </c>
      <c r="C19" s="70" t="s">
        <v>114</v>
      </c>
      <c r="D19" s="70" t="s">
        <v>114</v>
      </c>
      <c r="E19" s="70" t="s">
        <v>114</v>
      </c>
      <c r="F19" s="70" t="s">
        <v>114</v>
      </c>
      <c r="G19" s="70" t="s">
        <v>114</v>
      </c>
      <c r="H19" s="70" t="s">
        <v>114</v>
      </c>
      <c r="I19" s="70" t="s">
        <v>114</v>
      </c>
      <c r="J19" s="71">
        <v>15</v>
      </c>
    </row>
    <row r="20" spans="1:10" ht="15" x14ac:dyDescent="0.25">
      <c r="A20" s="49" t="s">
        <v>125</v>
      </c>
      <c r="B20" s="70" t="s">
        <v>114</v>
      </c>
      <c r="C20" s="70" t="s">
        <v>114</v>
      </c>
      <c r="D20" s="70" t="s">
        <v>114</v>
      </c>
      <c r="E20" s="70" t="s">
        <v>114</v>
      </c>
      <c r="F20" s="70" t="s">
        <v>114</v>
      </c>
      <c r="G20" s="70" t="s">
        <v>114</v>
      </c>
      <c r="H20" s="70" t="s">
        <v>114</v>
      </c>
      <c r="I20" s="70" t="s">
        <v>114</v>
      </c>
      <c r="J20" s="71">
        <v>1</v>
      </c>
    </row>
    <row r="21" spans="1:10" ht="15" x14ac:dyDescent="0.25">
      <c r="A21" s="49" t="s">
        <v>126</v>
      </c>
      <c r="B21" s="70" t="s">
        <v>114</v>
      </c>
      <c r="C21" s="70" t="s">
        <v>114</v>
      </c>
      <c r="D21" s="70" t="s">
        <v>114</v>
      </c>
      <c r="E21" s="70" t="s">
        <v>114</v>
      </c>
      <c r="F21" s="70" t="s">
        <v>114</v>
      </c>
      <c r="G21" s="70" t="s">
        <v>114</v>
      </c>
      <c r="H21" s="70" t="s">
        <v>114</v>
      </c>
      <c r="I21" s="70" t="s">
        <v>114</v>
      </c>
      <c r="J21" s="72">
        <v>4</v>
      </c>
    </row>
    <row r="22" spans="1:10" ht="15" x14ac:dyDescent="0.25">
      <c r="A22" s="49" t="s">
        <v>127</v>
      </c>
      <c r="B22" s="70" t="s">
        <v>114</v>
      </c>
      <c r="C22" s="70" t="s">
        <v>114</v>
      </c>
      <c r="D22" s="70" t="s">
        <v>114</v>
      </c>
      <c r="E22" s="70" t="s">
        <v>114</v>
      </c>
      <c r="F22" s="70" t="s">
        <v>114</v>
      </c>
      <c r="G22" s="70" t="s">
        <v>114</v>
      </c>
      <c r="H22" s="70" t="s">
        <v>114</v>
      </c>
      <c r="I22" s="70" t="s">
        <v>114</v>
      </c>
      <c r="J22" s="71">
        <v>10</v>
      </c>
    </row>
    <row r="23" spans="1:10" ht="15" x14ac:dyDescent="0.25">
      <c r="A23" s="49" t="s">
        <v>128</v>
      </c>
      <c r="B23" s="73">
        <v>1.47E-2</v>
      </c>
      <c r="C23" s="73">
        <v>1.3100000000000001E-2</v>
      </c>
      <c r="D23" s="73">
        <v>9.1999999999999998E-3</v>
      </c>
      <c r="E23" s="73">
        <v>7.0000000000000001E-3</v>
      </c>
      <c r="F23" s="73">
        <v>4.1000000000000003E-3</v>
      </c>
      <c r="G23" s="73">
        <v>3.3E-3</v>
      </c>
      <c r="H23" s="73">
        <v>2.3999999999999998E-3</v>
      </c>
      <c r="I23" s="73">
        <v>1.6000000000000001E-3</v>
      </c>
      <c r="J23" s="74">
        <v>5.3E-3</v>
      </c>
    </row>
    <row r="24" spans="1:10" ht="15" x14ac:dyDescent="0.25">
      <c r="A24" s="52" t="s">
        <v>129</v>
      </c>
      <c r="B24" s="68">
        <v>19.29</v>
      </c>
      <c r="C24" s="68">
        <v>17.41</v>
      </c>
      <c r="D24" s="68">
        <v>16.8</v>
      </c>
      <c r="E24" s="68">
        <v>16.29</v>
      </c>
      <c r="F24" s="68">
        <v>14.84</v>
      </c>
      <c r="G24" s="68">
        <v>14.65</v>
      </c>
      <c r="H24" s="68">
        <v>13.87</v>
      </c>
      <c r="I24" s="68">
        <v>13.03</v>
      </c>
      <c r="J24" s="69">
        <v>270</v>
      </c>
    </row>
    <row r="25" spans="1:10" ht="15" x14ac:dyDescent="0.25">
      <c r="A25" s="95" t="s">
        <v>130</v>
      </c>
      <c r="B25" s="93">
        <v>2593</v>
      </c>
      <c r="C25" s="93">
        <v>2016</v>
      </c>
      <c r="D25" s="93">
        <v>1850</v>
      </c>
      <c r="E25" s="93">
        <v>1843</v>
      </c>
      <c r="F25" s="93">
        <v>1310</v>
      </c>
      <c r="G25" s="93">
        <v>1164</v>
      </c>
      <c r="H25" s="93">
        <v>1592</v>
      </c>
      <c r="I25" s="93">
        <v>1286</v>
      </c>
      <c r="J25" s="94">
        <v>4338</v>
      </c>
    </row>
    <row r="26" spans="1:10" ht="15" x14ac:dyDescent="0.25">
      <c r="A26" s="53" t="s">
        <v>131</v>
      </c>
      <c r="B26" s="70">
        <v>1183</v>
      </c>
      <c r="C26" s="70">
        <v>967</v>
      </c>
      <c r="D26" s="70">
        <v>978</v>
      </c>
      <c r="E26" s="70">
        <v>962</v>
      </c>
      <c r="F26" s="70">
        <v>724</v>
      </c>
      <c r="G26" s="70">
        <v>612</v>
      </c>
      <c r="H26" s="70">
        <v>575</v>
      </c>
      <c r="I26" s="70">
        <v>460</v>
      </c>
      <c r="J26" s="71">
        <v>3438</v>
      </c>
    </row>
    <row r="27" spans="1:10" ht="15" x14ac:dyDescent="0.25">
      <c r="A27" s="54" t="s">
        <v>132</v>
      </c>
      <c r="B27" s="75">
        <v>516</v>
      </c>
      <c r="C27" s="75">
        <v>366</v>
      </c>
      <c r="D27" s="75">
        <v>293</v>
      </c>
      <c r="E27" s="75">
        <v>395</v>
      </c>
      <c r="F27" s="75">
        <v>259</v>
      </c>
      <c r="G27" s="75">
        <v>249</v>
      </c>
      <c r="H27" s="75">
        <v>338</v>
      </c>
      <c r="I27" s="75">
        <v>352</v>
      </c>
      <c r="J27" s="76">
        <v>592</v>
      </c>
    </row>
    <row r="28" spans="1:10" ht="26.25" x14ac:dyDescent="0.25">
      <c r="A28" s="54" t="s">
        <v>133</v>
      </c>
      <c r="B28" s="75">
        <v>658</v>
      </c>
      <c r="C28" s="75">
        <v>500</v>
      </c>
      <c r="D28" s="75">
        <v>412</v>
      </c>
      <c r="E28" s="75">
        <v>321</v>
      </c>
      <c r="F28" s="75">
        <v>209</v>
      </c>
      <c r="G28" s="75">
        <v>184</v>
      </c>
      <c r="H28" s="75">
        <v>436</v>
      </c>
      <c r="I28" s="75">
        <v>279</v>
      </c>
      <c r="J28" s="76">
        <v>308</v>
      </c>
    </row>
    <row r="29" spans="1:10" ht="15.75" thickBot="1" x14ac:dyDescent="0.3">
      <c r="A29" s="55" t="s">
        <v>134</v>
      </c>
      <c r="B29" s="77">
        <v>236</v>
      </c>
      <c r="C29" s="77">
        <v>184</v>
      </c>
      <c r="D29" s="77">
        <v>166</v>
      </c>
      <c r="E29" s="77">
        <v>166</v>
      </c>
      <c r="F29" s="77">
        <v>118</v>
      </c>
      <c r="G29" s="77">
        <v>119</v>
      </c>
      <c r="H29" s="77">
        <v>242</v>
      </c>
      <c r="I29" s="77">
        <v>195</v>
      </c>
      <c r="J29" s="78">
        <v>0</v>
      </c>
    </row>
    <row r="30" spans="1:10" ht="13.5" thickBot="1" x14ac:dyDescent="0.25">
      <c r="A30" s="79"/>
    </row>
    <row r="31" spans="1:10" ht="15.75" x14ac:dyDescent="0.25">
      <c r="A31" s="35" t="s">
        <v>95</v>
      </c>
      <c r="B31" s="36" t="s">
        <v>34</v>
      </c>
      <c r="C31" s="37"/>
      <c r="D31" s="37"/>
      <c r="E31" s="37"/>
      <c r="F31" s="37"/>
      <c r="G31" s="37"/>
      <c r="H31" s="37"/>
      <c r="I31" s="37"/>
      <c r="J31" s="38"/>
    </row>
    <row r="32" spans="1:10" ht="15.75" x14ac:dyDescent="0.25">
      <c r="A32" s="39" t="s">
        <v>96</v>
      </c>
      <c r="B32" s="40" t="s">
        <v>25</v>
      </c>
      <c r="C32" s="41"/>
      <c r="D32" s="41"/>
      <c r="E32" s="41"/>
      <c r="F32" s="41"/>
      <c r="G32" s="41"/>
      <c r="H32" s="41"/>
      <c r="I32" s="41"/>
      <c r="J32" s="42"/>
    </row>
    <row r="33" spans="1:10" ht="15.75" x14ac:dyDescent="0.25">
      <c r="A33" s="39" t="s">
        <v>97</v>
      </c>
      <c r="B33" s="40" t="s">
        <v>56</v>
      </c>
      <c r="C33" s="41"/>
      <c r="D33" s="41"/>
      <c r="E33" s="41"/>
      <c r="F33" s="41"/>
      <c r="G33" s="41"/>
      <c r="H33" s="41"/>
      <c r="I33" s="41"/>
      <c r="J33" s="42"/>
    </row>
    <row r="34" spans="1:10" ht="15.75" x14ac:dyDescent="0.25">
      <c r="A34" s="39" t="s">
        <v>98</v>
      </c>
      <c r="B34" s="40" t="s">
        <v>99</v>
      </c>
      <c r="C34" s="41"/>
      <c r="D34" s="41"/>
      <c r="E34" s="41"/>
      <c r="F34" s="41"/>
      <c r="G34" s="41"/>
      <c r="H34" s="41"/>
      <c r="I34" s="41"/>
      <c r="J34" s="42"/>
    </row>
    <row r="35" spans="1:10" ht="16.5" thickBot="1" x14ac:dyDescent="0.3">
      <c r="A35" s="43" t="s">
        <v>100</v>
      </c>
      <c r="B35" s="44" t="s">
        <v>135</v>
      </c>
      <c r="C35" s="45"/>
      <c r="D35" s="45"/>
      <c r="E35" s="45"/>
      <c r="F35" s="45"/>
      <c r="G35" s="45"/>
      <c r="H35" s="45"/>
      <c r="I35" s="45"/>
      <c r="J35" s="46"/>
    </row>
    <row r="36" spans="1:10" ht="48" thickBot="1" x14ac:dyDescent="0.25">
      <c r="A36" s="81" t="s">
        <v>102</v>
      </c>
      <c r="B36" s="82" t="s">
        <v>103</v>
      </c>
      <c r="C36" s="83" t="s">
        <v>104</v>
      </c>
      <c r="D36" s="84" t="s">
        <v>105</v>
      </c>
      <c r="E36" s="84" t="s">
        <v>106</v>
      </c>
      <c r="F36" s="84" t="s">
        <v>107</v>
      </c>
      <c r="G36" s="84" t="s">
        <v>108</v>
      </c>
      <c r="H36" s="84" t="s">
        <v>109</v>
      </c>
      <c r="I36" s="85" t="s">
        <v>110</v>
      </c>
      <c r="J36" s="86" t="s">
        <v>111</v>
      </c>
    </row>
    <row r="37" spans="1:10" x14ac:dyDescent="0.2">
      <c r="A37" s="48" t="s">
        <v>112</v>
      </c>
      <c r="B37" s="60">
        <v>1200</v>
      </c>
      <c r="C37" s="60">
        <v>3000</v>
      </c>
      <c r="D37" s="60">
        <v>4600</v>
      </c>
      <c r="E37" s="60">
        <v>10360</v>
      </c>
      <c r="F37" s="60">
        <v>23200</v>
      </c>
      <c r="G37" s="60">
        <v>45000</v>
      </c>
      <c r="H37" s="60">
        <v>117000</v>
      </c>
      <c r="I37" s="60">
        <v>376000</v>
      </c>
      <c r="J37" s="61">
        <v>840</v>
      </c>
    </row>
    <row r="38" spans="1:10" x14ac:dyDescent="0.2">
      <c r="A38" s="49" t="s">
        <v>113</v>
      </c>
      <c r="B38" s="62">
        <v>93</v>
      </c>
      <c r="C38" s="62">
        <v>93</v>
      </c>
      <c r="D38" s="62">
        <v>93</v>
      </c>
      <c r="E38" s="62">
        <v>93</v>
      </c>
      <c r="F38" s="62">
        <v>93</v>
      </c>
      <c r="G38" s="62">
        <v>93</v>
      </c>
      <c r="H38" s="62">
        <v>93</v>
      </c>
      <c r="I38" s="62">
        <v>93</v>
      </c>
      <c r="J38" s="63" t="s">
        <v>114</v>
      </c>
    </row>
    <row r="39" spans="1:10" x14ac:dyDescent="0.2">
      <c r="A39" s="49" t="s">
        <v>115</v>
      </c>
      <c r="B39" s="62">
        <v>8147</v>
      </c>
      <c r="C39" s="62">
        <v>8147</v>
      </c>
      <c r="D39" s="62">
        <v>8147</v>
      </c>
      <c r="E39" s="62">
        <v>8147</v>
      </c>
      <c r="F39" s="62">
        <v>8147</v>
      </c>
      <c r="G39" s="62">
        <v>8147</v>
      </c>
      <c r="H39" s="62">
        <v>8147</v>
      </c>
      <c r="I39" s="62">
        <v>8147</v>
      </c>
      <c r="J39" s="63" t="s">
        <v>114</v>
      </c>
    </row>
    <row r="40" spans="1:10" x14ac:dyDescent="0.2">
      <c r="A40" s="97" t="s">
        <v>116</v>
      </c>
      <c r="B40" s="98">
        <v>8713</v>
      </c>
      <c r="C40" s="98">
        <v>8654</v>
      </c>
      <c r="D40" s="98">
        <v>9768</v>
      </c>
      <c r="E40" s="98">
        <v>10807</v>
      </c>
      <c r="F40" s="98">
        <v>10276</v>
      </c>
      <c r="G40" s="98">
        <v>8933</v>
      </c>
      <c r="H40" s="98">
        <v>6789</v>
      </c>
      <c r="I40" s="98">
        <v>6270</v>
      </c>
      <c r="J40" s="99" t="s">
        <v>114</v>
      </c>
    </row>
    <row r="41" spans="1:10" x14ac:dyDescent="0.2">
      <c r="A41" s="51" t="s">
        <v>117</v>
      </c>
      <c r="B41" s="64">
        <v>39.159999999999997</v>
      </c>
      <c r="C41" s="64">
        <v>39.43</v>
      </c>
      <c r="D41" s="64">
        <v>34.94</v>
      </c>
      <c r="E41" s="64">
        <v>31.35</v>
      </c>
      <c r="F41" s="64">
        <v>32.97</v>
      </c>
      <c r="G41" s="64">
        <v>37.93</v>
      </c>
      <c r="H41" s="64">
        <v>49.91</v>
      </c>
      <c r="I41" s="64">
        <v>54.41</v>
      </c>
      <c r="J41" s="65" t="s">
        <v>114</v>
      </c>
    </row>
    <row r="42" spans="1:10" x14ac:dyDescent="0.2">
      <c r="A42" s="49" t="s">
        <v>118</v>
      </c>
      <c r="B42" s="66">
        <v>10.46</v>
      </c>
      <c r="C42" s="66">
        <v>25.96</v>
      </c>
      <c r="D42" s="66">
        <v>44.93</v>
      </c>
      <c r="E42" s="66">
        <v>111.96</v>
      </c>
      <c r="F42" s="66">
        <v>238.39</v>
      </c>
      <c r="G42" s="66">
        <v>401.99</v>
      </c>
      <c r="H42" s="66">
        <v>610.97</v>
      </c>
      <c r="I42" s="66">
        <v>1523.7</v>
      </c>
      <c r="J42" s="67" t="s">
        <v>114</v>
      </c>
    </row>
    <row r="43" spans="1:10" x14ac:dyDescent="0.2">
      <c r="A43" s="49" t="s">
        <v>119</v>
      </c>
      <c r="B43" s="66">
        <v>4.08</v>
      </c>
      <c r="C43" s="66">
        <v>9.8699999999999992</v>
      </c>
      <c r="D43" s="66">
        <v>13.93</v>
      </c>
      <c r="E43" s="66">
        <v>41.43</v>
      </c>
      <c r="F43" s="66">
        <v>90.59</v>
      </c>
      <c r="G43" s="66">
        <v>136.68</v>
      </c>
      <c r="H43" s="66">
        <v>244.39</v>
      </c>
      <c r="I43" s="66">
        <v>685.67</v>
      </c>
      <c r="J43" s="67" t="s">
        <v>114</v>
      </c>
    </row>
    <row r="44" spans="1:10" x14ac:dyDescent="0.2">
      <c r="A44" s="101" t="s">
        <v>120</v>
      </c>
      <c r="B44" s="102">
        <v>78.16</v>
      </c>
      <c r="C44" s="102">
        <v>77.430000000000007</v>
      </c>
      <c r="D44" s="102">
        <v>65.930000000000007</v>
      </c>
      <c r="E44" s="102">
        <v>68.569999999999993</v>
      </c>
      <c r="F44" s="102">
        <v>71.209999999999994</v>
      </c>
      <c r="G44" s="102">
        <v>72.2</v>
      </c>
      <c r="H44" s="102">
        <v>65.34</v>
      </c>
      <c r="I44" s="102">
        <v>84.2</v>
      </c>
      <c r="J44" s="103" t="s">
        <v>114</v>
      </c>
    </row>
    <row r="45" spans="1:10" ht="15" x14ac:dyDescent="0.25">
      <c r="A45" s="49" t="s">
        <v>121</v>
      </c>
      <c r="B45" s="68">
        <v>1.01</v>
      </c>
      <c r="C45" s="68">
        <v>1.04</v>
      </c>
      <c r="D45" s="68">
        <v>1.1299999999999999</v>
      </c>
      <c r="E45" s="68">
        <v>0.85</v>
      </c>
      <c r="F45" s="68">
        <v>0.87</v>
      </c>
      <c r="G45" s="68">
        <v>1.1200000000000001</v>
      </c>
      <c r="H45" s="68">
        <v>1.63</v>
      </c>
      <c r="I45" s="68">
        <v>1.87</v>
      </c>
      <c r="J45" s="69" t="s">
        <v>114</v>
      </c>
    </row>
    <row r="46" spans="1:10" ht="15" x14ac:dyDescent="0.25">
      <c r="A46" s="50" t="s">
        <v>122</v>
      </c>
      <c r="B46" s="70">
        <v>4470</v>
      </c>
      <c r="C46" s="70">
        <v>4543</v>
      </c>
      <c r="D46" s="70">
        <v>5983</v>
      </c>
      <c r="E46" s="70">
        <v>5809</v>
      </c>
      <c r="F46" s="70">
        <v>5395</v>
      </c>
      <c r="G46" s="70">
        <v>5137</v>
      </c>
      <c r="H46" s="70">
        <v>5222</v>
      </c>
      <c r="I46" s="70">
        <v>4052</v>
      </c>
      <c r="J46" s="71" t="s">
        <v>114</v>
      </c>
    </row>
    <row r="47" spans="1:10" ht="15" x14ac:dyDescent="0.25">
      <c r="A47" s="49" t="s">
        <v>123</v>
      </c>
      <c r="B47" s="70">
        <v>30</v>
      </c>
      <c r="C47" s="70">
        <v>30</v>
      </c>
      <c r="D47" s="70">
        <v>35</v>
      </c>
      <c r="E47" s="70">
        <v>35</v>
      </c>
      <c r="F47" s="70">
        <v>35</v>
      </c>
      <c r="G47" s="70">
        <v>35</v>
      </c>
      <c r="H47" s="70">
        <v>35</v>
      </c>
      <c r="I47" s="70">
        <v>35</v>
      </c>
      <c r="J47" s="71" t="s">
        <v>114</v>
      </c>
    </row>
    <row r="48" spans="1:10" ht="15" x14ac:dyDescent="0.25">
      <c r="A48" s="49" t="s">
        <v>124</v>
      </c>
      <c r="B48" s="70" t="s">
        <v>114</v>
      </c>
      <c r="C48" s="70" t="s">
        <v>114</v>
      </c>
      <c r="D48" s="70" t="s">
        <v>114</v>
      </c>
      <c r="E48" s="70" t="s">
        <v>114</v>
      </c>
      <c r="F48" s="70" t="s">
        <v>114</v>
      </c>
      <c r="G48" s="70" t="s">
        <v>114</v>
      </c>
      <c r="H48" s="70" t="s">
        <v>114</v>
      </c>
      <c r="I48" s="70" t="s">
        <v>114</v>
      </c>
      <c r="J48" s="71">
        <v>15</v>
      </c>
    </row>
    <row r="49" spans="1:10" ht="15" x14ac:dyDescent="0.25">
      <c r="A49" s="49" t="s">
        <v>125</v>
      </c>
      <c r="B49" s="70" t="s">
        <v>114</v>
      </c>
      <c r="C49" s="70" t="s">
        <v>114</v>
      </c>
      <c r="D49" s="70" t="s">
        <v>114</v>
      </c>
      <c r="E49" s="70" t="s">
        <v>114</v>
      </c>
      <c r="F49" s="70" t="s">
        <v>114</v>
      </c>
      <c r="G49" s="70" t="s">
        <v>114</v>
      </c>
      <c r="H49" s="70" t="s">
        <v>114</v>
      </c>
      <c r="I49" s="70" t="s">
        <v>114</v>
      </c>
      <c r="J49" s="71">
        <v>1</v>
      </c>
    </row>
    <row r="50" spans="1:10" ht="15" x14ac:dyDescent="0.25">
      <c r="A50" s="49" t="s">
        <v>126</v>
      </c>
      <c r="B50" s="70" t="s">
        <v>114</v>
      </c>
      <c r="C50" s="70" t="s">
        <v>114</v>
      </c>
      <c r="D50" s="70" t="s">
        <v>114</v>
      </c>
      <c r="E50" s="70" t="s">
        <v>114</v>
      </c>
      <c r="F50" s="70" t="s">
        <v>114</v>
      </c>
      <c r="G50" s="70" t="s">
        <v>114</v>
      </c>
      <c r="H50" s="70" t="s">
        <v>114</v>
      </c>
      <c r="I50" s="70" t="s">
        <v>114</v>
      </c>
      <c r="J50" s="72">
        <v>4</v>
      </c>
    </row>
    <row r="51" spans="1:10" ht="15" x14ac:dyDescent="0.25">
      <c r="A51" s="49" t="s">
        <v>127</v>
      </c>
      <c r="B51" s="70" t="s">
        <v>114</v>
      </c>
      <c r="C51" s="70" t="s">
        <v>114</v>
      </c>
      <c r="D51" s="70" t="s">
        <v>114</v>
      </c>
      <c r="E51" s="70" t="s">
        <v>114</v>
      </c>
      <c r="F51" s="70" t="s">
        <v>114</v>
      </c>
      <c r="G51" s="70" t="s">
        <v>114</v>
      </c>
      <c r="H51" s="70" t="s">
        <v>114</v>
      </c>
      <c r="I51" s="70" t="s">
        <v>114</v>
      </c>
      <c r="J51" s="71">
        <v>10</v>
      </c>
    </row>
    <row r="52" spans="1:10" ht="15" x14ac:dyDescent="0.25">
      <c r="A52" s="49" t="s">
        <v>128</v>
      </c>
      <c r="B52" s="73">
        <v>1.47E-2</v>
      </c>
      <c r="C52" s="73">
        <v>1.3100000000000001E-2</v>
      </c>
      <c r="D52" s="73">
        <v>9.1000000000000004E-3</v>
      </c>
      <c r="E52" s="73">
        <v>7.0000000000000001E-3</v>
      </c>
      <c r="F52" s="73">
        <v>4.1000000000000003E-3</v>
      </c>
      <c r="G52" s="73">
        <v>3.3E-3</v>
      </c>
      <c r="H52" s="73">
        <v>2.3999999999999998E-3</v>
      </c>
      <c r="I52" s="73">
        <v>1.6000000000000001E-3</v>
      </c>
      <c r="J52" s="74">
        <v>5.3E-3</v>
      </c>
    </row>
    <row r="53" spans="1:10" ht="15" x14ac:dyDescent="0.25">
      <c r="A53" s="52" t="s">
        <v>129</v>
      </c>
      <c r="B53" s="68">
        <v>19.29</v>
      </c>
      <c r="C53" s="68">
        <v>17.41</v>
      </c>
      <c r="D53" s="68">
        <v>16.8</v>
      </c>
      <c r="E53" s="68">
        <v>16.29</v>
      </c>
      <c r="F53" s="68">
        <v>14.84</v>
      </c>
      <c r="G53" s="68">
        <v>14.65</v>
      </c>
      <c r="H53" s="68">
        <v>13.87</v>
      </c>
      <c r="I53" s="68">
        <v>13.03</v>
      </c>
      <c r="J53" s="69">
        <v>270</v>
      </c>
    </row>
    <row r="54" spans="1:10" ht="15" x14ac:dyDescent="0.25">
      <c r="A54" s="95" t="s">
        <v>130</v>
      </c>
      <c r="B54" s="93">
        <v>2586</v>
      </c>
      <c r="C54" s="93">
        <v>2010</v>
      </c>
      <c r="D54" s="93">
        <v>1839</v>
      </c>
      <c r="E54" s="93">
        <v>1842</v>
      </c>
      <c r="F54" s="93">
        <v>1309</v>
      </c>
      <c r="G54" s="93">
        <v>1162</v>
      </c>
      <c r="H54" s="93">
        <v>1581</v>
      </c>
      <c r="I54" s="93">
        <v>1267</v>
      </c>
      <c r="J54" s="94">
        <v>2818</v>
      </c>
    </row>
    <row r="55" spans="1:10" ht="15" x14ac:dyDescent="0.25">
      <c r="A55" s="53" t="s">
        <v>131</v>
      </c>
      <c r="B55" s="70">
        <v>1180</v>
      </c>
      <c r="C55" s="70">
        <v>965</v>
      </c>
      <c r="D55" s="70">
        <v>973</v>
      </c>
      <c r="E55" s="70">
        <v>961</v>
      </c>
      <c r="F55" s="70">
        <v>723</v>
      </c>
      <c r="G55" s="70">
        <v>611</v>
      </c>
      <c r="H55" s="70">
        <v>574</v>
      </c>
      <c r="I55" s="70">
        <v>453</v>
      </c>
      <c r="J55" s="71">
        <v>1952</v>
      </c>
    </row>
    <row r="56" spans="1:10" ht="15" x14ac:dyDescent="0.25">
      <c r="A56" s="54" t="s">
        <v>132</v>
      </c>
      <c r="B56" s="75">
        <v>515</v>
      </c>
      <c r="C56" s="75">
        <v>365</v>
      </c>
      <c r="D56" s="75">
        <v>291</v>
      </c>
      <c r="E56" s="75">
        <v>395</v>
      </c>
      <c r="F56" s="75">
        <v>259</v>
      </c>
      <c r="G56" s="75">
        <v>248</v>
      </c>
      <c r="H56" s="75">
        <v>332</v>
      </c>
      <c r="I56" s="75">
        <v>347</v>
      </c>
      <c r="J56" s="76">
        <v>558</v>
      </c>
    </row>
    <row r="57" spans="1:10" ht="26.25" x14ac:dyDescent="0.25">
      <c r="A57" s="54" t="s">
        <v>133</v>
      </c>
      <c r="B57" s="75">
        <v>656</v>
      </c>
      <c r="C57" s="75">
        <v>498</v>
      </c>
      <c r="D57" s="75">
        <v>409</v>
      </c>
      <c r="E57" s="75">
        <v>321</v>
      </c>
      <c r="F57" s="75">
        <v>209</v>
      </c>
      <c r="G57" s="75">
        <v>184</v>
      </c>
      <c r="H57" s="75">
        <v>434</v>
      </c>
      <c r="I57" s="75">
        <v>275</v>
      </c>
      <c r="J57" s="76">
        <v>308</v>
      </c>
    </row>
    <row r="58" spans="1:10" ht="15.75" thickBot="1" x14ac:dyDescent="0.3">
      <c r="A58" s="55" t="s">
        <v>134</v>
      </c>
      <c r="B58" s="77">
        <v>235</v>
      </c>
      <c r="C58" s="77">
        <v>183</v>
      </c>
      <c r="D58" s="77">
        <v>165</v>
      </c>
      <c r="E58" s="77">
        <v>166</v>
      </c>
      <c r="F58" s="77">
        <v>118</v>
      </c>
      <c r="G58" s="77">
        <v>119</v>
      </c>
      <c r="H58" s="77">
        <v>240</v>
      </c>
      <c r="I58" s="77">
        <v>192</v>
      </c>
      <c r="J58" s="78">
        <v>0</v>
      </c>
    </row>
    <row r="59" spans="1:10" ht="13.5" thickBot="1" x14ac:dyDescent="0.25"/>
    <row r="60" spans="1:10" ht="15.75" x14ac:dyDescent="0.25">
      <c r="A60" s="35" t="s">
        <v>95</v>
      </c>
      <c r="B60" s="36" t="s">
        <v>34</v>
      </c>
      <c r="C60" s="37"/>
      <c r="D60" s="37"/>
      <c r="E60" s="37"/>
      <c r="F60" s="37"/>
      <c r="G60" s="37"/>
      <c r="H60" s="37"/>
      <c r="I60" s="37"/>
      <c r="J60" s="38"/>
    </row>
    <row r="61" spans="1:10" ht="15.75" x14ac:dyDescent="0.25">
      <c r="A61" s="39" t="s">
        <v>96</v>
      </c>
      <c r="B61" s="40" t="s">
        <v>25</v>
      </c>
      <c r="C61" s="41"/>
      <c r="D61" s="41"/>
      <c r="E61" s="41"/>
      <c r="F61" s="41"/>
      <c r="G61" s="41"/>
      <c r="H61" s="41"/>
      <c r="I61" s="41"/>
      <c r="J61" s="42"/>
    </row>
    <row r="62" spans="1:10" ht="15.75" x14ac:dyDescent="0.25">
      <c r="A62" s="39" t="s">
        <v>97</v>
      </c>
      <c r="B62" s="40" t="s">
        <v>56</v>
      </c>
      <c r="C62" s="41"/>
      <c r="D62" s="41"/>
      <c r="E62" s="41"/>
      <c r="F62" s="41"/>
      <c r="G62" s="41"/>
      <c r="H62" s="41"/>
      <c r="I62" s="41"/>
      <c r="J62" s="42"/>
    </row>
    <row r="63" spans="1:10" ht="15.75" x14ac:dyDescent="0.25">
      <c r="A63" s="39" t="s">
        <v>98</v>
      </c>
      <c r="B63" s="40" t="s">
        <v>99</v>
      </c>
      <c r="C63" s="41"/>
      <c r="D63" s="41"/>
      <c r="E63" s="41"/>
      <c r="F63" s="41"/>
      <c r="G63" s="41"/>
      <c r="H63" s="41"/>
      <c r="I63" s="41"/>
      <c r="J63" s="42"/>
    </row>
    <row r="64" spans="1:10" ht="16.5" thickBot="1" x14ac:dyDescent="0.3">
      <c r="A64" s="43" t="s">
        <v>100</v>
      </c>
      <c r="B64" s="44" t="s">
        <v>136</v>
      </c>
      <c r="C64" s="45"/>
      <c r="D64" s="45"/>
      <c r="E64" s="45"/>
      <c r="F64" s="45"/>
      <c r="G64" s="45"/>
      <c r="H64" s="45"/>
      <c r="I64" s="45"/>
      <c r="J64" s="46"/>
    </row>
    <row r="65" spans="1:10" ht="48" thickBot="1" x14ac:dyDescent="0.25">
      <c r="A65" s="81" t="s">
        <v>102</v>
      </c>
      <c r="B65" s="82" t="s">
        <v>103</v>
      </c>
      <c r="C65" s="83" t="s">
        <v>104</v>
      </c>
      <c r="D65" s="84" t="s">
        <v>105</v>
      </c>
      <c r="E65" s="84" t="s">
        <v>106</v>
      </c>
      <c r="F65" s="84" t="s">
        <v>107</v>
      </c>
      <c r="G65" s="84" t="s">
        <v>108</v>
      </c>
      <c r="H65" s="84" t="s">
        <v>109</v>
      </c>
      <c r="I65" s="85" t="s">
        <v>110</v>
      </c>
      <c r="J65" s="86" t="s">
        <v>111</v>
      </c>
    </row>
    <row r="66" spans="1:10" x14ac:dyDescent="0.2">
      <c r="A66" s="48" t="s">
        <v>112</v>
      </c>
      <c r="B66" s="60">
        <v>1200</v>
      </c>
      <c r="C66" s="60">
        <v>3000</v>
      </c>
      <c r="D66" s="60">
        <v>4600</v>
      </c>
      <c r="E66" s="60">
        <v>10360</v>
      </c>
      <c r="F66" s="60">
        <v>23200</v>
      </c>
      <c r="G66" s="60">
        <v>45000</v>
      </c>
      <c r="H66" s="60">
        <v>117000</v>
      </c>
      <c r="I66" s="60">
        <v>376000</v>
      </c>
      <c r="J66" s="61">
        <v>848</v>
      </c>
    </row>
    <row r="67" spans="1:10" x14ac:dyDescent="0.2">
      <c r="A67" s="49" t="s">
        <v>113</v>
      </c>
      <c r="B67" s="62">
        <v>93</v>
      </c>
      <c r="C67" s="62">
        <v>93</v>
      </c>
      <c r="D67" s="62">
        <v>93</v>
      </c>
      <c r="E67" s="62">
        <v>93</v>
      </c>
      <c r="F67" s="62">
        <v>93</v>
      </c>
      <c r="G67" s="62">
        <v>93</v>
      </c>
      <c r="H67" s="62">
        <v>93</v>
      </c>
      <c r="I67" s="62">
        <v>93</v>
      </c>
      <c r="J67" s="63" t="s">
        <v>114</v>
      </c>
    </row>
    <row r="68" spans="1:10" x14ac:dyDescent="0.2">
      <c r="A68" s="49" t="s">
        <v>115</v>
      </c>
      <c r="B68" s="62">
        <v>8147</v>
      </c>
      <c r="C68" s="62">
        <v>8147</v>
      </c>
      <c r="D68" s="62">
        <v>8147</v>
      </c>
      <c r="E68" s="62">
        <v>8147</v>
      </c>
      <c r="F68" s="62">
        <v>8147</v>
      </c>
      <c r="G68" s="62">
        <v>8147</v>
      </c>
      <c r="H68" s="62">
        <v>8147</v>
      </c>
      <c r="I68" s="62">
        <v>8147</v>
      </c>
      <c r="J68" s="63" t="s">
        <v>114</v>
      </c>
    </row>
    <row r="69" spans="1:10" x14ac:dyDescent="0.2">
      <c r="A69" s="97" t="s">
        <v>116</v>
      </c>
      <c r="B69" s="98">
        <v>8705</v>
      </c>
      <c r="C69" s="98">
        <v>8645</v>
      </c>
      <c r="D69" s="98">
        <v>9729</v>
      </c>
      <c r="E69" s="98">
        <v>10764</v>
      </c>
      <c r="F69" s="98">
        <v>10234</v>
      </c>
      <c r="G69" s="98">
        <v>8897</v>
      </c>
      <c r="H69" s="98">
        <v>6761</v>
      </c>
      <c r="I69" s="98">
        <v>6301</v>
      </c>
      <c r="J69" s="99" t="s">
        <v>114</v>
      </c>
    </row>
    <row r="70" spans="1:10" x14ac:dyDescent="0.2">
      <c r="A70" s="51" t="s">
        <v>117</v>
      </c>
      <c r="B70" s="64">
        <v>39.200000000000003</v>
      </c>
      <c r="C70" s="64">
        <v>39.47</v>
      </c>
      <c r="D70" s="64">
        <v>35.07</v>
      </c>
      <c r="E70" s="64">
        <v>31.7</v>
      </c>
      <c r="F70" s="64">
        <v>33.340000000000003</v>
      </c>
      <c r="G70" s="64">
        <v>38.35</v>
      </c>
      <c r="H70" s="64">
        <v>50.46</v>
      </c>
      <c r="I70" s="64">
        <v>54.51</v>
      </c>
      <c r="J70" s="65" t="s">
        <v>114</v>
      </c>
    </row>
    <row r="71" spans="1:10" x14ac:dyDescent="0.2">
      <c r="A71" s="49" t="s">
        <v>118</v>
      </c>
      <c r="B71" s="66">
        <v>10.45</v>
      </c>
      <c r="C71" s="66">
        <v>25.94</v>
      </c>
      <c r="D71" s="66">
        <v>44.75</v>
      </c>
      <c r="E71" s="66">
        <v>111.51</v>
      </c>
      <c r="F71" s="66">
        <v>237.43</v>
      </c>
      <c r="G71" s="66">
        <v>400.37</v>
      </c>
      <c r="H71" s="66">
        <v>608.51</v>
      </c>
      <c r="I71" s="66">
        <v>1531.09</v>
      </c>
      <c r="J71" s="67" t="s">
        <v>114</v>
      </c>
    </row>
    <row r="72" spans="1:10" x14ac:dyDescent="0.2">
      <c r="A72" s="49" t="s">
        <v>119</v>
      </c>
      <c r="B72" s="66">
        <v>4.07</v>
      </c>
      <c r="C72" s="66">
        <v>9.86</v>
      </c>
      <c r="D72" s="66">
        <v>13.87</v>
      </c>
      <c r="E72" s="66">
        <v>41.26</v>
      </c>
      <c r="F72" s="66">
        <v>90.22</v>
      </c>
      <c r="G72" s="66">
        <v>136.13</v>
      </c>
      <c r="H72" s="66">
        <v>243.4</v>
      </c>
      <c r="I72" s="66">
        <v>688.99</v>
      </c>
      <c r="J72" s="67" t="s">
        <v>114</v>
      </c>
    </row>
    <row r="73" spans="1:10" x14ac:dyDescent="0.2">
      <c r="A73" s="101" t="s">
        <v>120</v>
      </c>
      <c r="B73" s="102">
        <v>78.2</v>
      </c>
      <c r="C73" s="102">
        <v>77.47</v>
      </c>
      <c r="D73" s="102">
        <v>65.930000000000007</v>
      </c>
      <c r="E73" s="102">
        <v>68.7</v>
      </c>
      <c r="F73" s="102">
        <v>71.34</v>
      </c>
      <c r="G73" s="102">
        <v>72.349999999999994</v>
      </c>
      <c r="H73" s="102">
        <v>65.599999999999994</v>
      </c>
      <c r="I73" s="102">
        <v>83.79</v>
      </c>
      <c r="J73" s="103" t="s">
        <v>114</v>
      </c>
    </row>
    <row r="74" spans="1:10" ht="15" x14ac:dyDescent="0.25">
      <c r="A74" s="49" t="s">
        <v>121</v>
      </c>
      <c r="B74" s="68">
        <v>1.01</v>
      </c>
      <c r="C74" s="68">
        <v>1.04</v>
      </c>
      <c r="D74" s="68">
        <v>1.1299999999999999</v>
      </c>
      <c r="E74" s="68">
        <v>0.86</v>
      </c>
      <c r="F74" s="68">
        <v>0.88</v>
      </c>
      <c r="G74" s="68">
        <v>1.1299999999999999</v>
      </c>
      <c r="H74" s="68">
        <v>1.64</v>
      </c>
      <c r="I74" s="68">
        <v>1.86</v>
      </c>
      <c r="J74" s="69" t="s">
        <v>114</v>
      </c>
    </row>
    <row r="75" spans="1:10" ht="15" x14ac:dyDescent="0.25">
      <c r="A75" s="50" t="s">
        <v>122</v>
      </c>
      <c r="B75" s="70">
        <v>4466</v>
      </c>
      <c r="C75" s="70">
        <v>4539</v>
      </c>
      <c r="D75" s="70">
        <v>5959</v>
      </c>
      <c r="E75" s="70">
        <v>5785</v>
      </c>
      <c r="F75" s="70">
        <v>5373</v>
      </c>
      <c r="G75" s="70">
        <v>5116</v>
      </c>
      <c r="H75" s="70">
        <v>5201</v>
      </c>
      <c r="I75" s="70">
        <v>4072</v>
      </c>
      <c r="J75" s="71" t="s">
        <v>114</v>
      </c>
    </row>
    <row r="76" spans="1:10" ht="15" x14ac:dyDescent="0.25">
      <c r="A76" s="49" t="s">
        <v>123</v>
      </c>
      <c r="B76" s="70">
        <v>30</v>
      </c>
      <c r="C76" s="70">
        <v>30</v>
      </c>
      <c r="D76" s="70">
        <v>35</v>
      </c>
      <c r="E76" s="70">
        <v>35</v>
      </c>
      <c r="F76" s="70">
        <v>35</v>
      </c>
      <c r="G76" s="70">
        <v>35</v>
      </c>
      <c r="H76" s="70">
        <v>35</v>
      </c>
      <c r="I76" s="70">
        <v>35</v>
      </c>
      <c r="J76" s="71" t="s">
        <v>114</v>
      </c>
    </row>
    <row r="77" spans="1:10" ht="15" x14ac:dyDescent="0.25">
      <c r="A77" s="49" t="s">
        <v>124</v>
      </c>
      <c r="B77" s="70" t="s">
        <v>114</v>
      </c>
      <c r="C77" s="70" t="s">
        <v>114</v>
      </c>
      <c r="D77" s="70" t="s">
        <v>114</v>
      </c>
      <c r="E77" s="70" t="s">
        <v>114</v>
      </c>
      <c r="F77" s="70" t="s">
        <v>114</v>
      </c>
      <c r="G77" s="70" t="s">
        <v>114</v>
      </c>
      <c r="H77" s="70" t="s">
        <v>114</v>
      </c>
      <c r="I77" s="70" t="s">
        <v>114</v>
      </c>
      <c r="J77" s="71">
        <v>15</v>
      </c>
    </row>
    <row r="78" spans="1:10" ht="15" x14ac:dyDescent="0.25">
      <c r="A78" s="49" t="s">
        <v>125</v>
      </c>
      <c r="B78" s="70" t="s">
        <v>114</v>
      </c>
      <c r="C78" s="70" t="s">
        <v>114</v>
      </c>
      <c r="D78" s="70" t="s">
        <v>114</v>
      </c>
      <c r="E78" s="70" t="s">
        <v>114</v>
      </c>
      <c r="F78" s="70" t="s">
        <v>114</v>
      </c>
      <c r="G78" s="70" t="s">
        <v>114</v>
      </c>
      <c r="H78" s="70" t="s">
        <v>114</v>
      </c>
      <c r="I78" s="70" t="s">
        <v>114</v>
      </c>
      <c r="J78" s="71">
        <v>1</v>
      </c>
    </row>
    <row r="79" spans="1:10" ht="15" x14ac:dyDescent="0.25">
      <c r="A79" s="49" t="s">
        <v>126</v>
      </c>
      <c r="B79" s="70" t="s">
        <v>114</v>
      </c>
      <c r="C79" s="70" t="s">
        <v>114</v>
      </c>
      <c r="D79" s="70" t="s">
        <v>114</v>
      </c>
      <c r="E79" s="70" t="s">
        <v>114</v>
      </c>
      <c r="F79" s="70" t="s">
        <v>114</v>
      </c>
      <c r="G79" s="70" t="s">
        <v>114</v>
      </c>
      <c r="H79" s="70" t="s">
        <v>114</v>
      </c>
      <c r="I79" s="70" t="s">
        <v>114</v>
      </c>
      <c r="J79" s="72">
        <v>3.9</v>
      </c>
    </row>
    <row r="80" spans="1:10" ht="15" x14ac:dyDescent="0.25">
      <c r="A80" s="49" t="s">
        <v>127</v>
      </c>
      <c r="B80" s="70" t="s">
        <v>114</v>
      </c>
      <c r="C80" s="70" t="s">
        <v>114</v>
      </c>
      <c r="D80" s="70" t="s">
        <v>114</v>
      </c>
      <c r="E80" s="70" t="s">
        <v>114</v>
      </c>
      <c r="F80" s="70" t="s">
        <v>114</v>
      </c>
      <c r="G80" s="70" t="s">
        <v>114</v>
      </c>
      <c r="H80" s="70" t="s">
        <v>114</v>
      </c>
      <c r="I80" s="70" t="s">
        <v>114</v>
      </c>
      <c r="J80" s="71">
        <v>10</v>
      </c>
    </row>
    <row r="81" spans="1:10" ht="15" x14ac:dyDescent="0.25">
      <c r="A81" s="49" t="s">
        <v>128</v>
      </c>
      <c r="B81" s="73">
        <v>1.47E-2</v>
      </c>
      <c r="C81" s="73">
        <v>1.3100000000000001E-2</v>
      </c>
      <c r="D81" s="73">
        <v>9.1000000000000004E-3</v>
      </c>
      <c r="E81" s="73">
        <v>7.0000000000000001E-3</v>
      </c>
      <c r="F81" s="73">
        <v>4.1000000000000003E-3</v>
      </c>
      <c r="G81" s="73">
        <v>3.3E-3</v>
      </c>
      <c r="H81" s="73">
        <v>2.3999999999999998E-3</v>
      </c>
      <c r="I81" s="73">
        <v>1.6000000000000001E-3</v>
      </c>
      <c r="J81" s="74">
        <v>5.3E-3</v>
      </c>
    </row>
    <row r="82" spans="1:10" ht="15" x14ac:dyDescent="0.25">
      <c r="A82" s="52" t="s">
        <v>129</v>
      </c>
      <c r="B82" s="68">
        <v>19.29</v>
      </c>
      <c r="C82" s="68">
        <v>17.41</v>
      </c>
      <c r="D82" s="68">
        <v>16.8</v>
      </c>
      <c r="E82" s="68">
        <v>16.29</v>
      </c>
      <c r="F82" s="68">
        <v>14.84</v>
      </c>
      <c r="G82" s="68">
        <v>14.65</v>
      </c>
      <c r="H82" s="68">
        <v>13.87</v>
      </c>
      <c r="I82" s="68">
        <v>13.03</v>
      </c>
      <c r="J82" s="69">
        <v>268</v>
      </c>
    </row>
    <row r="83" spans="1:10" ht="15" x14ac:dyDescent="0.25">
      <c r="A83" s="95" t="s">
        <v>130</v>
      </c>
      <c r="B83" s="93">
        <v>2583</v>
      </c>
      <c r="C83" s="93">
        <v>2008</v>
      </c>
      <c r="D83" s="93">
        <v>1821</v>
      </c>
      <c r="E83" s="93">
        <v>1825</v>
      </c>
      <c r="F83" s="93">
        <v>1297</v>
      </c>
      <c r="G83" s="93">
        <v>1152</v>
      </c>
      <c r="H83" s="93">
        <v>1564</v>
      </c>
      <c r="I83" s="93">
        <v>1265</v>
      </c>
      <c r="J83" s="94">
        <v>2791</v>
      </c>
    </row>
    <row r="84" spans="1:10" ht="15" x14ac:dyDescent="0.25">
      <c r="A84" s="53" t="s">
        <v>131</v>
      </c>
      <c r="B84" s="70">
        <v>1179</v>
      </c>
      <c r="C84" s="70">
        <v>964</v>
      </c>
      <c r="D84" s="70">
        <v>964</v>
      </c>
      <c r="E84" s="70">
        <v>953</v>
      </c>
      <c r="F84" s="70">
        <v>717</v>
      </c>
      <c r="G84" s="70">
        <v>606</v>
      </c>
      <c r="H84" s="70">
        <v>568</v>
      </c>
      <c r="I84" s="70">
        <v>452</v>
      </c>
      <c r="J84" s="71">
        <v>1933</v>
      </c>
    </row>
    <row r="85" spans="1:10" ht="15" x14ac:dyDescent="0.25">
      <c r="A85" s="54" t="s">
        <v>132</v>
      </c>
      <c r="B85" s="75">
        <v>514</v>
      </c>
      <c r="C85" s="75">
        <v>365</v>
      </c>
      <c r="D85" s="75">
        <v>288</v>
      </c>
      <c r="E85" s="75">
        <v>391</v>
      </c>
      <c r="F85" s="75">
        <v>257</v>
      </c>
      <c r="G85" s="75">
        <v>246</v>
      </c>
      <c r="H85" s="75">
        <v>328</v>
      </c>
      <c r="I85" s="75">
        <v>346</v>
      </c>
      <c r="J85" s="76">
        <v>553</v>
      </c>
    </row>
    <row r="86" spans="1:10" ht="26.25" x14ac:dyDescent="0.25">
      <c r="A86" s="54" t="s">
        <v>133</v>
      </c>
      <c r="B86" s="75">
        <v>655</v>
      </c>
      <c r="C86" s="75">
        <v>497</v>
      </c>
      <c r="D86" s="75">
        <v>405</v>
      </c>
      <c r="E86" s="75">
        <v>318</v>
      </c>
      <c r="F86" s="75">
        <v>207</v>
      </c>
      <c r="G86" s="75">
        <v>182</v>
      </c>
      <c r="H86" s="75">
        <v>429</v>
      </c>
      <c r="I86" s="75">
        <v>274</v>
      </c>
      <c r="J86" s="76">
        <v>305</v>
      </c>
    </row>
    <row r="87" spans="1:10" ht="15.75" thickBot="1" x14ac:dyDescent="0.3">
      <c r="A87" s="55" t="s">
        <v>134</v>
      </c>
      <c r="B87" s="77">
        <v>235</v>
      </c>
      <c r="C87" s="77">
        <v>183</v>
      </c>
      <c r="D87" s="77">
        <v>163</v>
      </c>
      <c r="E87" s="77">
        <v>164</v>
      </c>
      <c r="F87" s="77">
        <v>117</v>
      </c>
      <c r="G87" s="77">
        <v>118</v>
      </c>
      <c r="H87" s="77">
        <v>237</v>
      </c>
      <c r="I87" s="77">
        <v>192</v>
      </c>
      <c r="J87" s="78">
        <v>0</v>
      </c>
    </row>
    <row r="88" spans="1:10" ht="13.5" thickBot="1" x14ac:dyDescent="0.25"/>
    <row r="89" spans="1:10" ht="15.75" x14ac:dyDescent="0.25">
      <c r="A89" s="35" t="s">
        <v>95</v>
      </c>
      <c r="B89" s="36" t="s">
        <v>34</v>
      </c>
      <c r="C89" s="37"/>
      <c r="D89" s="37"/>
      <c r="E89" s="37"/>
      <c r="F89" s="37"/>
      <c r="G89" s="37"/>
      <c r="H89" s="37"/>
      <c r="I89" s="37"/>
      <c r="J89" s="38"/>
    </row>
    <row r="90" spans="1:10" ht="15.75" x14ac:dyDescent="0.25">
      <c r="A90" s="39" t="s">
        <v>96</v>
      </c>
      <c r="B90" s="40" t="s">
        <v>25</v>
      </c>
      <c r="C90" s="41"/>
      <c r="D90" s="41"/>
      <c r="E90" s="41"/>
      <c r="F90" s="41"/>
      <c r="G90" s="41"/>
      <c r="H90" s="41"/>
      <c r="I90" s="41"/>
      <c r="J90" s="42"/>
    </row>
    <row r="91" spans="1:10" ht="15.75" x14ac:dyDescent="0.25">
      <c r="A91" s="39" t="s">
        <v>97</v>
      </c>
      <c r="B91" s="40" t="s">
        <v>56</v>
      </c>
      <c r="C91" s="41"/>
      <c r="D91" s="41"/>
      <c r="E91" s="41"/>
      <c r="F91" s="41"/>
      <c r="G91" s="41"/>
      <c r="H91" s="41"/>
      <c r="I91" s="41"/>
      <c r="J91" s="42"/>
    </row>
    <row r="92" spans="1:10" ht="15.75" x14ac:dyDescent="0.25">
      <c r="A92" s="39" t="s">
        <v>98</v>
      </c>
      <c r="B92" s="40" t="s">
        <v>99</v>
      </c>
      <c r="C92" s="41"/>
      <c r="D92" s="41"/>
      <c r="E92" s="41"/>
      <c r="F92" s="41"/>
      <c r="G92" s="41"/>
      <c r="H92" s="41"/>
      <c r="I92" s="41"/>
      <c r="J92" s="42"/>
    </row>
    <row r="93" spans="1:10" ht="16.5" thickBot="1" x14ac:dyDescent="0.3">
      <c r="A93" s="43" t="s">
        <v>100</v>
      </c>
      <c r="B93" s="44" t="s">
        <v>137</v>
      </c>
      <c r="C93" s="45"/>
      <c r="D93" s="45"/>
      <c r="E93" s="45"/>
      <c r="F93" s="45"/>
      <c r="G93" s="45"/>
      <c r="H93" s="45"/>
      <c r="I93" s="45"/>
      <c r="J93" s="46"/>
    </row>
    <row r="94" spans="1:10" ht="48" thickBot="1" x14ac:dyDescent="0.25">
      <c r="A94" s="81" t="s">
        <v>102</v>
      </c>
      <c r="B94" s="82" t="s">
        <v>103</v>
      </c>
      <c r="C94" s="83" t="s">
        <v>104</v>
      </c>
      <c r="D94" s="84" t="s">
        <v>105</v>
      </c>
      <c r="E94" s="84" t="s">
        <v>106</v>
      </c>
      <c r="F94" s="84" t="s">
        <v>107</v>
      </c>
      <c r="G94" s="84" t="s">
        <v>108</v>
      </c>
      <c r="H94" s="84" t="s">
        <v>109</v>
      </c>
      <c r="I94" s="85" t="s">
        <v>110</v>
      </c>
      <c r="J94" s="86" t="s">
        <v>111</v>
      </c>
    </row>
    <row r="95" spans="1:10" x14ac:dyDescent="0.2">
      <c r="A95" s="48" t="s">
        <v>112</v>
      </c>
      <c r="B95" s="60">
        <v>1200</v>
      </c>
      <c r="C95" s="60">
        <v>3000</v>
      </c>
      <c r="D95" s="60">
        <v>4600</v>
      </c>
      <c r="E95" s="60">
        <v>10360</v>
      </c>
      <c r="F95" s="60">
        <v>23200</v>
      </c>
      <c r="G95" s="60">
        <v>45000</v>
      </c>
      <c r="H95" s="60">
        <v>117000</v>
      </c>
      <c r="I95" s="60">
        <v>376000</v>
      </c>
      <c r="J95" s="61">
        <v>890</v>
      </c>
    </row>
    <row r="96" spans="1:10" x14ac:dyDescent="0.2">
      <c r="A96" s="49" t="s">
        <v>113</v>
      </c>
      <c r="B96" s="62">
        <v>93</v>
      </c>
      <c r="C96" s="62">
        <v>93</v>
      </c>
      <c r="D96" s="62">
        <v>93</v>
      </c>
      <c r="E96" s="62">
        <v>93</v>
      </c>
      <c r="F96" s="62">
        <v>93</v>
      </c>
      <c r="G96" s="62">
        <v>93</v>
      </c>
      <c r="H96" s="62">
        <v>93</v>
      </c>
      <c r="I96" s="62">
        <v>93</v>
      </c>
      <c r="J96" s="63" t="s">
        <v>114</v>
      </c>
    </row>
    <row r="97" spans="1:10" x14ac:dyDescent="0.2">
      <c r="A97" s="49" t="s">
        <v>115</v>
      </c>
      <c r="B97" s="62">
        <v>8147</v>
      </c>
      <c r="C97" s="62">
        <v>8147</v>
      </c>
      <c r="D97" s="62">
        <v>8147</v>
      </c>
      <c r="E97" s="62">
        <v>8147</v>
      </c>
      <c r="F97" s="62">
        <v>8147</v>
      </c>
      <c r="G97" s="62">
        <v>8147</v>
      </c>
      <c r="H97" s="62">
        <v>8147</v>
      </c>
      <c r="I97" s="62">
        <v>8147</v>
      </c>
      <c r="J97" s="63" t="s">
        <v>114</v>
      </c>
    </row>
    <row r="98" spans="1:10" x14ac:dyDescent="0.2">
      <c r="A98" s="97" t="s">
        <v>116</v>
      </c>
      <c r="B98" s="98">
        <v>8661</v>
      </c>
      <c r="C98" s="98">
        <v>8602</v>
      </c>
      <c r="D98" s="98">
        <v>9535</v>
      </c>
      <c r="E98" s="98">
        <v>10549</v>
      </c>
      <c r="F98" s="98">
        <v>10030</v>
      </c>
      <c r="G98" s="98">
        <v>8720</v>
      </c>
      <c r="H98" s="98">
        <v>6627</v>
      </c>
      <c r="I98" s="98">
        <v>6175</v>
      </c>
      <c r="J98" s="99" t="s">
        <v>114</v>
      </c>
    </row>
    <row r="99" spans="1:10" x14ac:dyDescent="0.2">
      <c r="A99" s="51" t="s">
        <v>117</v>
      </c>
      <c r="B99" s="64">
        <v>39.39</v>
      </c>
      <c r="C99" s="64">
        <v>39.67</v>
      </c>
      <c r="D99" s="64">
        <v>35.78</v>
      </c>
      <c r="E99" s="64">
        <v>32.340000000000003</v>
      </c>
      <c r="F99" s="64">
        <v>34</v>
      </c>
      <c r="G99" s="64">
        <v>39.130000000000003</v>
      </c>
      <c r="H99" s="64">
        <v>51.49</v>
      </c>
      <c r="I99" s="64">
        <v>55.25</v>
      </c>
      <c r="J99" s="65" t="s">
        <v>114</v>
      </c>
    </row>
    <row r="100" spans="1:10" x14ac:dyDescent="0.2">
      <c r="A100" s="49" t="s">
        <v>118</v>
      </c>
      <c r="B100" s="66">
        <v>10.39</v>
      </c>
      <c r="C100" s="66">
        <v>25.81</v>
      </c>
      <c r="D100" s="66">
        <v>43.86</v>
      </c>
      <c r="E100" s="66">
        <v>109.29</v>
      </c>
      <c r="F100" s="66">
        <v>232.71</v>
      </c>
      <c r="G100" s="66">
        <v>392.4</v>
      </c>
      <c r="H100" s="66">
        <v>596.4</v>
      </c>
      <c r="I100" s="66">
        <v>1500.63</v>
      </c>
      <c r="J100" s="67" t="s">
        <v>114</v>
      </c>
    </row>
    <row r="101" spans="1:10" x14ac:dyDescent="0.2">
      <c r="A101" s="49" t="s">
        <v>119</v>
      </c>
      <c r="B101" s="66">
        <v>4.05</v>
      </c>
      <c r="C101" s="66">
        <v>9.81</v>
      </c>
      <c r="D101" s="66">
        <v>13.6</v>
      </c>
      <c r="E101" s="66">
        <v>40.44</v>
      </c>
      <c r="F101" s="66">
        <v>88.43</v>
      </c>
      <c r="G101" s="66">
        <v>133.41999999999999</v>
      </c>
      <c r="H101" s="66">
        <v>238.56</v>
      </c>
      <c r="I101" s="66">
        <v>675.28</v>
      </c>
      <c r="J101" s="67" t="s">
        <v>114</v>
      </c>
    </row>
    <row r="102" spans="1:10" x14ac:dyDescent="0.2">
      <c r="A102" s="101" t="s">
        <v>120</v>
      </c>
      <c r="B102" s="102">
        <v>78.39</v>
      </c>
      <c r="C102" s="102">
        <v>77.67</v>
      </c>
      <c r="D102" s="102">
        <v>65.930000000000007</v>
      </c>
      <c r="E102" s="102">
        <v>69.34</v>
      </c>
      <c r="F102" s="102">
        <v>72.02</v>
      </c>
      <c r="G102" s="102">
        <v>73.13</v>
      </c>
      <c r="H102" s="102">
        <v>66.94</v>
      </c>
      <c r="I102" s="102">
        <v>85.49</v>
      </c>
      <c r="J102" s="103" t="s">
        <v>114</v>
      </c>
    </row>
    <row r="103" spans="1:10" ht="15" x14ac:dyDescent="0.25">
      <c r="A103" s="49" t="s">
        <v>121</v>
      </c>
      <c r="B103" s="68">
        <v>1.01</v>
      </c>
      <c r="C103" s="68">
        <v>1.04</v>
      </c>
      <c r="D103" s="68">
        <v>1.1499999999999999</v>
      </c>
      <c r="E103" s="68">
        <v>0.87</v>
      </c>
      <c r="F103" s="68">
        <v>0.9</v>
      </c>
      <c r="G103" s="68">
        <v>1.1499999999999999</v>
      </c>
      <c r="H103" s="68">
        <v>1.67</v>
      </c>
      <c r="I103" s="68">
        <v>1.9</v>
      </c>
      <c r="J103" s="69" t="s">
        <v>114</v>
      </c>
    </row>
    <row r="104" spans="1:10" ht="15" x14ac:dyDescent="0.25">
      <c r="A104" s="50" t="s">
        <v>122</v>
      </c>
      <c r="B104" s="70">
        <v>4443</v>
      </c>
      <c r="C104" s="70">
        <v>4516</v>
      </c>
      <c r="D104" s="70">
        <v>5840</v>
      </c>
      <c r="E104" s="70">
        <v>5670</v>
      </c>
      <c r="F104" s="70">
        <v>5266</v>
      </c>
      <c r="G104" s="70">
        <v>5014</v>
      </c>
      <c r="H104" s="70">
        <v>5097</v>
      </c>
      <c r="I104" s="70">
        <v>3991</v>
      </c>
      <c r="J104" s="71" t="s">
        <v>114</v>
      </c>
    </row>
    <row r="105" spans="1:10" ht="15" x14ac:dyDescent="0.25">
      <c r="A105" s="49" t="s">
        <v>123</v>
      </c>
      <c r="B105" s="70">
        <v>30</v>
      </c>
      <c r="C105" s="70">
        <v>30</v>
      </c>
      <c r="D105" s="70">
        <v>35</v>
      </c>
      <c r="E105" s="70">
        <v>35</v>
      </c>
      <c r="F105" s="70">
        <v>35</v>
      </c>
      <c r="G105" s="70">
        <v>35</v>
      </c>
      <c r="H105" s="70">
        <v>35</v>
      </c>
      <c r="I105" s="70">
        <v>35</v>
      </c>
      <c r="J105" s="71" t="s">
        <v>114</v>
      </c>
    </row>
    <row r="106" spans="1:10" ht="15" x14ac:dyDescent="0.25">
      <c r="A106" s="49" t="s">
        <v>124</v>
      </c>
      <c r="B106" s="70" t="s">
        <v>114</v>
      </c>
      <c r="C106" s="70" t="s">
        <v>114</v>
      </c>
      <c r="D106" s="70" t="s">
        <v>114</v>
      </c>
      <c r="E106" s="70" t="s">
        <v>114</v>
      </c>
      <c r="F106" s="70" t="s">
        <v>114</v>
      </c>
      <c r="G106" s="70" t="s">
        <v>114</v>
      </c>
      <c r="H106" s="70" t="s">
        <v>114</v>
      </c>
      <c r="I106" s="70" t="s">
        <v>114</v>
      </c>
      <c r="J106" s="71">
        <v>15</v>
      </c>
    </row>
    <row r="107" spans="1:10" ht="15" x14ac:dyDescent="0.25">
      <c r="A107" s="49" t="s">
        <v>125</v>
      </c>
      <c r="B107" s="70" t="s">
        <v>114</v>
      </c>
      <c r="C107" s="70" t="s">
        <v>114</v>
      </c>
      <c r="D107" s="70" t="s">
        <v>114</v>
      </c>
      <c r="E107" s="70" t="s">
        <v>114</v>
      </c>
      <c r="F107" s="70" t="s">
        <v>114</v>
      </c>
      <c r="G107" s="70" t="s">
        <v>114</v>
      </c>
      <c r="H107" s="70" t="s">
        <v>114</v>
      </c>
      <c r="I107" s="70" t="s">
        <v>114</v>
      </c>
      <c r="J107" s="71">
        <v>1.2</v>
      </c>
    </row>
    <row r="108" spans="1:10" ht="15" x14ac:dyDescent="0.25">
      <c r="A108" s="49" t="s">
        <v>126</v>
      </c>
      <c r="B108" s="70" t="s">
        <v>114</v>
      </c>
      <c r="C108" s="70" t="s">
        <v>114</v>
      </c>
      <c r="D108" s="70" t="s">
        <v>114</v>
      </c>
      <c r="E108" s="70" t="s">
        <v>114</v>
      </c>
      <c r="F108" s="70" t="s">
        <v>114</v>
      </c>
      <c r="G108" s="70" t="s">
        <v>114</v>
      </c>
      <c r="H108" s="70" t="s">
        <v>114</v>
      </c>
      <c r="I108" s="70" t="s">
        <v>114</v>
      </c>
      <c r="J108" s="72">
        <v>3.5</v>
      </c>
    </row>
    <row r="109" spans="1:10" ht="15" x14ac:dyDescent="0.25">
      <c r="A109" s="49" t="s">
        <v>127</v>
      </c>
      <c r="B109" s="70" t="s">
        <v>114</v>
      </c>
      <c r="C109" s="70" t="s">
        <v>114</v>
      </c>
      <c r="D109" s="70" t="s">
        <v>114</v>
      </c>
      <c r="E109" s="70" t="s">
        <v>114</v>
      </c>
      <c r="F109" s="70" t="s">
        <v>114</v>
      </c>
      <c r="G109" s="70" t="s">
        <v>114</v>
      </c>
      <c r="H109" s="70" t="s">
        <v>114</v>
      </c>
      <c r="I109" s="70" t="s">
        <v>114</v>
      </c>
      <c r="J109" s="71">
        <v>12</v>
      </c>
    </row>
    <row r="110" spans="1:10" ht="15" x14ac:dyDescent="0.25">
      <c r="A110" s="49" t="s">
        <v>128</v>
      </c>
      <c r="B110" s="73">
        <v>1.46E-2</v>
      </c>
      <c r="C110" s="73">
        <v>1.3100000000000001E-2</v>
      </c>
      <c r="D110" s="73">
        <v>8.8999999999999999E-3</v>
      </c>
      <c r="E110" s="73">
        <v>6.8999999999999999E-3</v>
      </c>
      <c r="F110" s="73">
        <v>4.0000000000000001E-3</v>
      </c>
      <c r="G110" s="73">
        <v>3.2000000000000002E-3</v>
      </c>
      <c r="H110" s="73">
        <v>2.3E-3</v>
      </c>
      <c r="I110" s="73">
        <v>1.6000000000000001E-3</v>
      </c>
      <c r="J110" s="74">
        <v>5.0000000000000001E-3</v>
      </c>
    </row>
    <row r="111" spans="1:10" ht="15" x14ac:dyDescent="0.25">
      <c r="A111" s="52" t="s">
        <v>129</v>
      </c>
      <c r="B111" s="68">
        <v>19.29</v>
      </c>
      <c r="C111" s="68">
        <v>17.41</v>
      </c>
      <c r="D111" s="68">
        <v>16.8</v>
      </c>
      <c r="E111" s="68">
        <v>16.29</v>
      </c>
      <c r="F111" s="68">
        <v>14.84</v>
      </c>
      <c r="G111" s="68">
        <v>14.65</v>
      </c>
      <c r="H111" s="68">
        <v>13.87</v>
      </c>
      <c r="I111" s="68">
        <v>13.03</v>
      </c>
      <c r="J111" s="69">
        <v>255</v>
      </c>
    </row>
    <row r="112" spans="1:10" ht="15" x14ac:dyDescent="0.25">
      <c r="A112" s="95" t="s">
        <v>130</v>
      </c>
      <c r="B112" s="93">
        <v>2572</v>
      </c>
      <c r="C112" s="93">
        <v>1998</v>
      </c>
      <c r="D112" s="93">
        <v>1788</v>
      </c>
      <c r="E112" s="93">
        <v>1795</v>
      </c>
      <c r="F112" s="93">
        <v>1276</v>
      </c>
      <c r="G112" s="93">
        <v>1133</v>
      </c>
      <c r="H112" s="93">
        <v>1534</v>
      </c>
      <c r="I112" s="93">
        <v>1248</v>
      </c>
      <c r="J112" s="94">
        <v>2669</v>
      </c>
    </row>
    <row r="113" spans="1:10" ht="15" x14ac:dyDescent="0.25">
      <c r="A113" s="53" t="s">
        <v>131</v>
      </c>
      <c r="B113" s="70">
        <v>1174</v>
      </c>
      <c r="C113" s="70">
        <v>959</v>
      </c>
      <c r="D113" s="70">
        <v>947</v>
      </c>
      <c r="E113" s="70">
        <v>938</v>
      </c>
      <c r="F113" s="70">
        <v>705</v>
      </c>
      <c r="G113" s="70">
        <v>597</v>
      </c>
      <c r="H113" s="70">
        <v>557</v>
      </c>
      <c r="I113" s="70">
        <v>446</v>
      </c>
      <c r="J113" s="71">
        <v>1854</v>
      </c>
    </row>
    <row r="114" spans="1:10" ht="15" x14ac:dyDescent="0.25">
      <c r="A114" s="54" t="s">
        <v>132</v>
      </c>
      <c r="B114" s="75">
        <v>512</v>
      </c>
      <c r="C114" s="75">
        <v>363</v>
      </c>
      <c r="D114" s="75">
        <v>283</v>
      </c>
      <c r="E114" s="75">
        <v>385</v>
      </c>
      <c r="F114" s="75">
        <v>252</v>
      </c>
      <c r="G114" s="75">
        <v>242</v>
      </c>
      <c r="H114" s="75">
        <v>322</v>
      </c>
      <c r="I114" s="75">
        <v>342</v>
      </c>
      <c r="J114" s="76">
        <v>525</v>
      </c>
    </row>
    <row r="115" spans="1:10" ht="26.25" x14ac:dyDescent="0.25">
      <c r="A115" s="54" t="s">
        <v>133</v>
      </c>
      <c r="B115" s="75">
        <v>652</v>
      </c>
      <c r="C115" s="75">
        <v>495</v>
      </c>
      <c r="D115" s="75">
        <v>397</v>
      </c>
      <c r="E115" s="75">
        <v>312</v>
      </c>
      <c r="F115" s="75">
        <v>203</v>
      </c>
      <c r="G115" s="75">
        <v>179</v>
      </c>
      <c r="H115" s="75">
        <v>421</v>
      </c>
      <c r="I115" s="75">
        <v>271</v>
      </c>
      <c r="J115" s="76">
        <v>290</v>
      </c>
    </row>
    <row r="116" spans="1:10" ht="15.75" thickBot="1" x14ac:dyDescent="0.3">
      <c r="A116" s="55" t="s">
        <v>134</v>
      </c>
      <c r="B116" s="77">
        <v>234</v>
      </c>
      <c r="C116" s="77">
        <v>182</v>
      </c>
      <c r="D116" s="77">
        <v>160</v>
      </c>
      <c r="E116" s="77">
        <v>162</v>
      </c>
      <c r="F116" s="77">
        <v>115</v>
      </c>
      <c r="G116" s="77">
        <v>116</v>
      </c>
      <c r="H116" s="77">
        <v>233</v>
      </c>
      <c r="I116" s="77">
        <v>189</v>
      </c>
      <c r="J116" s="78">
        <v>0</v>
      </c>
    </row>
    <row r="117" spans="1:10" ht="13.5" thickBot="1" x14ac:dyDescent="0.25"/>
    <row r="118" spans="1:10" ht="15.75" x14ac:dyDescent="0.25">
      <c r="A118" s="35" t="s">
        <v>95</v>
      </c>
      <c r="B118" s="36" t="s">
        <v>34</v>
      </c>
      <c r="C118" s="37"/>
      <c r="D118" s="37"/>
      <c r="E118" s="37"/>
      <c r="F118" s="37"/>
      <c r="G118" s="37"/>
      <c r="H118" s="37"/>
      <c r="I118" s="37"/>
      <c r="J118" s="38"/>
    </row>
    <row r="119" spans="1:10" ht="15.75" x14ac:dyDescent="0.25">
      <c r="A119" s="39" t="s">
        <v>96</v>
      </c>
      <c r="B119" s="40" t="s">
        <v>25</v>
      </c>
      <c r="C119" s="41"/>
      <c r="D119" s="41"/>
      <c r="E119" s="41"/>
      <c r="F119" s="41"/>
      <c r="G119" s="41"/>
      <c r="H119" s="41"/>
      <c r="I119" s="41"/>
      <c r="J119" s="42"/>
    </row>
    <row r="120" spans="1:10" ht="15.75" x14ac:dyDescent="0.25">
      <c r="A120" s="39" t="s">
        <v>97</v>
      </c>
      <c r="B120" s="40" t="s">
        <v>56</v>
      </c>
      <c r="C120" s="41"/>
      <c r="D120" s="41"/>
      <c r="E120" s="41"/>
      <c r="F120" s="41"/>
      <c r="G120" s="41"/>
      <c r="H120" s="41"/>
      <c r="I120" s="41"/>
      <c r="J120" s="42"/>
    </row>
    <row r="121" spans="1:10" ht="15.75" x14ac:dyDescent="0.25">
      <c r="A121" s="39" t="s">
        <v>98</v>
      </c>
      <c r="B121" s="40" t="s">
        <v>99</v>
      </c>
      <c r="C121" s="41"/>
      <c r="D121" s="41"/>
      <c r="E121" s="41"/>
      <c r="F121" s="41"/>
      <c r="G121" s="41"/>
      <c r="H121" s="41"/>
      <c r="I121" s="41"/>
      <c r="J121" s="42"/>
    </row>
    <row r="122" spans="1:10" ht="16.5" thickBot="1" x14ac:dyDescent="0.3">
      <c r="A122" s="43" t="s">
        <v>100</v>
      </c>
      <c r="B122" s="44" t="s">
        <v>138</v>
      </c>
      <c r="C122" s="45"/>
      <c r="D122" s="45"/>
      <c r="E122" s="45"/>
      <c r="F122" s="45"/>
      <c r="G122" s="45"/>
      <c r="H122" s="45"/>
      <c r="I122" s="45"/>
      <c r="J122" s="46"/>
    </row>
    <row r="123" spans="1:10" ht="48" thickBot="1" x14ac:dyDescent="0.25">
      <c r="A123" s="81" t="s">
        <v>102</v>
      </c>
      <c r="B123" s="82" t="s">
        <v>103</v>
      </c>
      <c r="C123" s="83" t="s">
        <v>104</v>
      </c>
      <c r="D123" s="84" t="s">
        <v>105</v>
      </c>
      <c r="E123" s="84" t="s">
        <v>106</v>
      </c>
      <c r="F123" s="84" t="s">
        <v>107</v>
      </c>
      <c r="G123" s="84" t="s">
        <v>108</v>
      </c>
      <c r="H123" s="84" t="s">
        <v>109</v>
      </c>
      <c r="I123" s="85" t="s">
        <v>110</v>
      </c>
      <c r="J123" s="86" t="s">
        <v>111</v>
      </c>
    </row>
    <row r="124" spans="1:10" x14ac:dyDescent="0.2">
      <c r="A124" s="48" t="s">
        <v>112</v>
      </c>
      <c r="B124" s="60">
        <v>1200</v>
      </c>
      <c r="C124" s="60">
        <v>3000</v>
      </c>
      <c r="D124" s="60">
        <v>4600</v>
      </c>
      <c r="E124" s="60">
        <v>10360</v>
      </c>
      <c r="F124" s="60">
        <v>23200</v>
      </c>
      <c r="G124" s="60">
        <v>45000</v>
      </c>
      <c r="H124" s="60">
        <v>117000</v>
      </c>
      <c r="I124" s="60">
        <v>376000</v>
      </c>
      <c r="J124" s="61">
        <v>935</v>
      </c>
    </row>
    <row r="125" spans="1:10" x14ac:dyDescent="0.2">
      <c r="A125" s="49" t="s">
        <v>113</v>
      </c>
      <c r="B125" s="62">
        <v>93</v>
      </c>
      <c r="C125" s="62">
        <v>93</v>
      </c>
      <c r="D125" s="62">
        <v>93</v>
      </c>
      <c r="E125" s="62">
        <v>93</v>
      </c>
      <c r="F125" s="62">
        <v>93</v>
      </c>
      <c r="G125" s="62">
        <v>93</v>
      </c>
      <c r="H125" s="62">
        <v>93</v>
      </c>
      <c r="I125" s="62">
        <v>93</v>
      </c>
      <c r="J125" s="63" t="s">
        <v>114</v>
      </c>
    </row>
    <row r="126" spans="1:10" x14ac:dyDescent="0.2">
      <c r="A126" s="49" t="s">
        <v>115</v>
      </c>
      <c r="B126" s="62">
        <v>8147</v>
      </c>
      <c r="C126" s="62">
        <v>8147</v>
      </c>
      <c r="D126" s="62">
        <v>8147</v>
      </c>
      <c r="E126" s="62">
        <v>8147</v>
      </c>
      <c r="F126" s="62">
        <v>8147</v>
      </c>
      <c r="G126" s="62">
        <v>8147</v>
      </c>
      <c r="H126" s="62">
        <v>8147</v>
      </c>
      <c r="I126" s="62">
        <v>8147</v>
      </c>
      <c r="J126" s="63" t="s">
        <v>114</v>
      </c>
    </row>
    <row r="127" spans="1:10" x14ac:dyDescent="0.2">
      <c r="A127" s="97" t="s">
        <v>116</v>
      </c>
      <c r="B127" s="98">
        <v>8618</v>
      </c>
      <c r="C127" s="98">
        <v>8559</v>
      </c>
      <c r="D127" s="98">
        <v>9346</v>
      </c>
      <c r="E127" s="98">
        <v>10339</v>
      </c>
      <c r="F127" s="98">
        <v>9831</v>
      </c>
      <c r="G127" s="98">
        <v>8547</v>
      </c>
      <c r="H127" s="98">
        <v>6495</v>
      </c>
      <c r="I127" s="98">
        <v>6053</v>
      </c>
      <c r="J127" s="99" t="s">
        <v>114</v>
      </c>
    </row>
    <row r="128" spans="1:10" x14ac:dyDescent="0.2">
      <c r="A128" s="51" t="s">
        <v>117</v>
      </c>
      <c r="B128" s="64">
        <v>39.590000000000003</v>
      </c>
      <c r="C128" s="64">
        <v>39.86</v>
      </c>
      <c r="D128" s="64">
        <v>36.51</v>
      </c>
      <c r="E128" s="64">
        <v>33</v>
      </c>
      <c r="F128" s="64">
        <v>34.71</v>
      </c>
      <c r="G128" s="64">
        <v>39.92</v>
      </c>
      <c r="H128" s="64">
        <v>52.53</v>
      </c>
      <c r="I128" s="64">
        <v>56.37</v>
      </c>
      <c r="J128" s="65" t="s">
        <v>114</v>
      </c>
    </row>
    <row r="129" spans="1:10" x14ac:dyDescent="0.2">
      <c r="A129" s="49" t="s">
        <v>118</v>
      </c>
      <c r="B129" s="66">
        <v>10.34</v>
      </c>
      <c r="C129" s="66">
        <v>25.68</v>
      </c>
      <c r="D129" s="66">
        <v>42.99</v>
      </c>
      <c r="E129" s="66">
        <v>107.12</v>
      </c>
      <c r="F129" s="66">
        <v>228.08</v>
      </c>
      <c r="G129" s="66">
        <v>384.6</v>
      </c>
      <c r="H129" s="66">
        <v>584.53</v>
      </c>
      <c r="I129" s="66">
        <v>1470.76</v>
      </c>
      <c r="J129" s="67" t="s">
        <v>114</v>
      </c>
    </row>
    <row r="130" spans="1:10" x14ac:dyDescent="0.2">
      <c r="A130" s="49" t="s">
        <v>119</v>
      </c>
      <c r="B130" s="66">
        <v>4.03</v>
      </c>
      <c r="C130" s="66">
        <v>9.76</v>
      </c>
      <c r="D130" s="66">
        <v>13.33</v>
      </c>
      <c r="E130" s="66">
        <v>39.630000000000003</v>
      </c>
      <c r="F130" s="66">
        <v>86.67</v>
      </c>
      <c r="G130" s="66">
        <v>130.76</v>
      </c>
      <c r="H130" s="66">
        <v>233.81</v>
      </c>
      <c r="I130" s="66">
        <v>661.84</v>
      </c>
      <c r="J130" s="67" t="s">
        <v>114</v>
      </c>
    </row>
    <row r="131" spans="1:10" x14ac:dyDescent="0.2">
      <c r="A131" s="101" t="s">
        <v>120</v>
      </c>
      <c r="B131" s="102">
        <v>78.59</v>
      </c>
      <c r="C131" s="102">
        <v>77.86</v>
      </c>
      <c r="D131" s="102">
        <v>65.930000000000007</v>
      </c>
      <c r="E131" s="102">
        <v>70</v>
      </c>
      <c r="F131" s="102">
        <v>72.709999999999994</v>
      </c>
      <c r="G131" s="102">
        <v>73.92</v>
      </c>
      <c r="H131" s="102">
        <v>68.290000000000006</v>
      </c>
      <c r="I131" s="102">
        <v>87.23</v>
      </c>
      <c r="J131" s="103" t="s">
        <v>114</v>
      </c>
    </row>
    <row r="132" spans="1:10" ht="15" x14ac:dyDescent="0.25">
      <c r="A132" s="49" t="s">
        <v>121</v>
      </c>
      <c r="B132" s="68">
        <v>1.02</v>
      </c>
      <c r="C132" s="68">
        <v>1.05</v>
      </c>
      <c r="D132" s="68">
        <v>1.18</v>
      </c>
      <c r="E132" s="68">
        <v>0.89</v>
      </c>
      <c r="F132" s="68">
        <v>0.91</v>
      </c>
      <c r="G132" s="68">
        <v>1.17</v>
      </c>
      <c r="H132" s="68">
        <v>1.71</v>
      </c>
      <c r="I132" s="68">
        <v>1.94</v>
      </c>
      <c r="J132" s="69" t="s">
        <v>114</v>
      </c>
    </row>
    <row r="133" spans="1:10" ht="15" x14ac:dyDescent="0.25">
      <c r="A133" s="50" t="s">
        <v>122</v>
      </c>
      <c r="B133" s="70">
        <v>4421</v>
      </c>
      <c r="C133" s="70">
        <v>4493</v>
      </c>
      <c r="D133" s="70">
        <v>5724</v>
      </c>
      <c r="E133" s="70">
        <v>5557</v>
      </c>
      <c r="F133" s="70">
        <v>5161</v>
      </c>
      <c r="G133" s="70">
        <v>4914</v>
      </c>
      <c r="H133" s="70">
        <v>4996</v>
      </c>
      <c r="I133" s="70">
        <v>3912</v>
      </c>
      <c r="J133" s="71" t="s">
        <v>114</v>
      </c>
    </row>
    <row r="134" spans="1:10" ht="15" x14ac:dyDescent="0.25">
      <c r="A134" s="49" t="s">
        <v>123</v>
      </c>
      <c r="B134" s="70">
        <v>30</v>
      </c>
      <c r="C134" s="70">
        <v>30</v>
      </c>
      <c r="D134" s="70">
        <v>35</v>
      </c>
      <c r="E134" s="70">
        <v>35</v>
      </c>
      <c r="F134" s="70">
        <v>35</v>
      </c>
      <c r="G134" s="70">
        <v>35</v>
      </c>
      <c r="H134" s="70">
        <v>35</v>
      </c>
      <c r="I134" s="70">
        <v>35</v>
      </c>
      <c r="J134" s="71" t="s">
        <v>114</v>
      </c>
    </row>
    <row r="135" spans="1:10" ht="15" x14ac:dyDescent="0.25">
      <c r="A135" s="49" t="s">
        <v>124</v>
      </c>
      <c r="B135" s="70" t="s">
        <v>114</v>
      </c>
      <c r="C135" s="70" t="s">
        <v>114</v>
      </c>
      <c r="D135" s="70" t="s">
        <v>114</v>
      </c>
      <c r="E135" s="70" t="s">
        <v>114</v>
      </c>
      <c r="F135" s="70" t="s">
        <v>114</v>
      </c>
      <c r="G135" s="70" t="s">
        <v>114</v>
      </c>
      <c r="H135" s="70" t="s">
        <v>114</v>
      </c>
      <c r="I135" s="70" t="s">
        <v>114</v>
      </c>
      <c r="J135" s="71">
        <v>15</v>
      </c>
    </row>
    <row r="136" spans="1:10" ht="15" x14ac:dyDescent="0.25">
      <c r="A136" s="49" t="s">
        <v>125</v>
      </c>
      <c r="B136" s="70" t="s">
        <v>114</v>
      </c>
      <c r="C136" s="70" t="s">
        <v>114</v>
      </c>
      <c r="D136" s="70" t="s">
        <v>114</v>
      </c>
      <c r="E136" s="70" t="s">
        <v>114</v>
      </c>
      <c r="F136" s="70" t="s">
        <v>114</v>
      </c>
      <c r="G136" s="70" t="s">
        <v>114</v>
      </c>
      <c r="H136" s="70" t="s">
        <v>114</v>
      </c>
      <c r="I136" s="70" t="s">
        <v>114</v>
      </c>
      <c r="J136" s="71">
        <v>1.5</v>
      </c>
    </row>
    <row r="137" spans="1:10" ht="15" x14ac:dyDescent="0.25">
      <c r="A137" s="49" t="s">
        <v>126</v>
      </c>
      <c r="B137" s="70" t="s">
        <v>114</v>
      </c>
      <c r="C137" s="70" t="s">
        <v>114</v>
      </c>
      <c r="D137" s="70" t="s">
        <v>114</v>
      </c>
      <c r="E137" s="70" t="s">
        <v>114</v>
      </c>
      <c r="F137" s="70" t="s">
        <v>114</v>
      </c>
      <c r="G137" s="70" t="s">
        <v>114</v>
      </c>
      <c r="H137" s="70" t="s">
        <v>114</v>
      </c>
      <c r="I137" s="70" t="s">
        <v>114</v>
      </c>
      <c r="J137" s="72">
        <v>2</v>
      </c>
    </row>
    <row r="138" spans="1:10" ht="15" x14ac:dyDescent="0.25">
      <c r="A138" s="49" t="s">
        <v>127</v>
      </c>
      <c r="B138" s="70" t="s">
        <v>114</v>
      </c>
      <c r="C138" s="70" t="s">
        <v>114</v>
      </c>
      <c r="D138" s="70" t="s">
        <v>114</v>
      </c>
      <c r="E138" s="70" t="s">
        <v>114</v>
      </c>
      <c r="F138" s="70" t="s">
        <v>114</v>
      </c>
      <c r="G138" s="70" t="s">
        <v>114</v>
      </c>
      <c r="H138" s="70" t="s">
        <v>114</v>
      </c>
      <c r="I138" s="70" t="s">
        <v>114</v>
      </c>
      <c r="J138" s="71">
        <v>13.5</v>
      </c>
    </row>
    <row r="139" spans="1:10" ht="15" x14ac:dyDescent="0.25">
      <c r="A139" s="49" t="s">
        <v>128</v>
      </c>
      <c r="B139" s="73">
        <v>1.46E-2</v>
      </c>
      <c r="C139" s="73">
        <v>1.2999999999999999E-2</v>
      </c>
      <c r="D139" s="73">
        <v>8.8999999999999999E-3</v>
      </c>
      <c r="E139" s="73">
        <v>6.7000000000000002E-3</v>
      </c>
      <c r="F139" s="73">
        <v>4.0000000000000001E-3</v>
      </c>
      <c r="G139" s="73">
        <v>3.2000000000000002E-3</v>
      </c>
      <c r="H139" s="73">
        <v>2.3E-3</v>
      </c>
      <c r="I139" s="73">
        <v>1.6000000000000001E-3</v>
      </c>
      <c r="J139" s="74">
        <v>4.7999999999999996E-3</v>
      </c>
    </row>
    <row r="140" spans="1:10" ht="15" x14ac:dyDescent="0.25">
      <c r="A140" s="52" t="s">
        <v>129</v>
      </c>
      <c r="B140" s="68">
        <v>19.29</v>
      </c>
      <c r="C140" s="68">
        <v>17.41</v>
      </c>
      <c r="D140" s="68">
        <v>16.8</v>
      </c>
      <c r="E140" s="68">
        <v>16.29</v>
      </c>
      <c r="F140" s="68">
        <v>14.84</v>
      </c>
      <c r="G140" s="68">
        <v>14.65</v>
      </c>
      <c r="H140" s="68">
        <v>13.87</v>
      </c>
      <c r="I140" s="68">
        <v>13.03</v>
      </c>
      <c r="J140" s="69">
        <v>243</v>
      </c>
    </row>
    <row r="141" spans="1:10" ht="15" x14ac:dyDescent="0.25">
      <c r="A141" s="95" t="s">
        <v>130</v>
      </c>
      <c r="B141" s="93">
        <v>2559</v>
      </c>
      <c r="C141" s="93">
        <v>1989</v>
      </c>
      <c r="D141" s="93">
        <v>1757</v>
      </c>
      <c r="E141" s="93">
        <v>1765</v>
      </c>
      <c r="F141" s="93">
        <v>1255</v>
      </c>
      <c r="G141" s="93">
        <v>1115</v>
      </c>
      <c r="H141" s="93">
        <v>1503</v>
      </c>
      <c r="I141" s="93">
        <v>1223</v>
      </c>
      <c r="J141" s="94">
        <v>2449</v>
      </c>
    </row>
    <row r="142" spans="1:10" ht="15" x14ac:dyDescent="0.25">
      <c r="A142" s="53" t="s">
        <v>131</v>
      </c>
      <c r="B142" s="70">
        <v>1168</v>
      </c>
      <c r="C142" s="70">
        <v>955</v>
      </c>
      <c r="D142" s="70">
        <v>931</v>
      </c>
      <c r="E142" s="70">
        <v>923</v>
      </c>
      <c r="F142" s="70">
        <v>694</v>
      </c>
      <c r="G142" s="70">
        <v>588</v>
      </c>
      <c r="H142" s="70">
        <v>546</v>
      </c>
      <c r="I142" s="70">
        <v>438</v>
      </c>
      <c r="J142" s="71">
        <v>1669</v>
      </c>
    </row>
    <row r="143" spans="1:10" ht="15" x14ac:dyDescent="0.25">
      <c r="A143" s="54" t="s">
        <v>132</v>
      </c>
      <c r="B143" s="75">
        <v>510</v>
      </c>
      <c r="C143" s="75">
        <v>361</v>
      </c>
      <c r="D143" s="75">
        <v>278</v>
      </c>
      <c r="E143" s="75">
        <v>378</v>
      </c>
      <c r="F143" s="75">
        <v>248</v>
      </c>
      <c r="G143" s="75">
        <v>238</v>
      </c>
      <c r="H143" s="75">
        <v>316</v>
      </c>
      <c r="I143" s="75">
        <v>335</v>
      </c>
      <c r="J143" s="76">
        <v>503</v>
      </c>
    </row>
    <row r="144" spans="1:10" ht="26.25" x14ac:dyDescent="0.25">
      <c r="A144" s="54" t="s">
        <v>133</v>
      </c>
      <c r="B144" s="75">
        <v>649</v>
      </c>
      <c r="C144" s="75">
        <v>493</v>
      </c>
      <c r="D144" s="75">
        <v>389</v>
      </c>
      <c r="E144" s="75">
        <v>306</v>
      </c>
      <c r="F144" s="75">
        <v>199</v>
      </c>
      <c r="G144" s="75">
        <v>176</v>
      </c>
      <c r="H144" s="75">
        <v>412</v>
      </c>
      <c r="I144" s="75">
        <v>265</v>
      </c>
      <c r="J144" s="76">
        <v>277</v>
      </c>
    </row>
    <row r="145" spans="1:10" ht="15.75" thickBot="1" x14ac:dyDescent="0.3">
      <c r="A145" s="55" t="s">
        <v>134</v>
      </c>
      <c r="B145" s="77">
        <v>233</v>
      </c>
      <c r="C145" s="77">
        <v>181</v>
      </c>
      <c r="D145" s="77">
        <v>158</v>
      </c>
      <c r="E145" s="77">
        <v>159</v>
      </c>
      <c r="F145" s="77">
        <v>113</v>
      </c>
      <c r="G145" s="77">
        <v>114</v>
      </c>
      <c r="H145" s="77">
        <v>228</v>
      </c>
      <c r="I145" s="77">
        <v>185</v>
      </c>
      <c r="J145" s="78">
        <v>0</v>
      </c>
    </row>
    <row r="146" spans="1:10" ht="13.5" thickBot="1" x14ac:dyDescent="0.25"/>
    <row r="147" spans="1:10" ht="15.75" x14ac:dyDescent="0.25">
      <c r="A147" s="35" t="s">
        <v>95</v>
      </c>
      <c r="B147" s="36" t="s">
        <v>34</v>
      </c>
      <c r="C147" s="37"/>
      <c r="D147" s="37"/>
      <c r="E147" s="37"/>
      <c r="F147" s="37"/>
      <c r="G147" s="37"/>
      <c r="H147" s="37"/>
      <c r="I147" s="37"/>
      <c r="J147" s="38"/>
    </row>
    <row r="148" spans="1:10" ht="15.75" x14ac:dyDescent="0.25">
      <c r="A148" s="39" t="s">
        <v>96</v>
      </c>
      <c r="B148" s="40" t="s">
        <v>25</v>
      </c>
      <c r="C148" s="41"/>
      <c r="D148" s="41"/>
      <c r="E148" s="41"/>
      <c r="F148" s="41"/>
      <c r="G148" s="41"/>
      <c r="H148" s="41"/>
      <c r="I148" s="41"/>
      <c r="J148" s="42"/>
    </row>
    <row r="149" spans="1:10" ht="15.75" x14ac:dyDescent="0.25">
      <c r="A149" s="39" t="s">
        <v>97</v>
      </c>
      <c r="B149" s="40" t="s">
        <v>56</v>
      </c>
      <c r="C149" s="41"/>
      <c r="D149" s="41"/>
      <c r="E149" s="41"/>
      <c r="F149" s="41"/>
      <c r="G149" s="41"/>
      <c r="H149" s="41"/>
      <c r="I149" s="41"/>
      <c r="J149" s="42"/>
    </row>
    <row r="150" spans="1:10" ht="15.75" x14ac:dyDescent="0.25">
      <c r="A150" s="39" t="s">
        <v>98</v>
      </c>
      <c r="B150" s="40" t="s">
        <v>99</v>
      </c>
      <c r="C150" s="41"/>
      <c r="D150" s="41"/>
      <c r="E150" s="41"/>
      <c r="F150" s="41"/>
      <c r="G150" s="41"/>
      <c r="H150" s="41"/>
      <c r="I150" s="41"/>
      <c r="J150" s="42"/>
    </row>
    <row r="151" spans="1:10" ht="16.5" thickBot="1" x14ac:dyDescent="0.3">
      <c r="A151" s="43" t="s">
        <v>100</v>
      </c>
      <c r="B151" s="44" t="s">
        <v>139</v>
      </c>
      <c r="C151" s="45"/>
      <c r="D151" s="45"/>
      <c r="E151" s="45"/>
      <c r="F151" s="45"/>
      <c r="G151" s="45"/>
      <c r="H151" s="45"/>
      <c r="I151" s="45"/>
      <c r="J151" s="46"/>
    </row>
    <row r="152" spans="1:10" ht="48" thickBot="1" x14ac:dyDescent="0.25">
      <c r="A152" s="81" t="s">
        <v>102</v>
      </c>
      <c r="B152" s="82" t="s">
        <v>103</v>
      </c>
      <c r="C152" s="83" t="s">
        <v>104</v>
      </c>
      <c r="D152" s="84" t="s">
        <v>105</v>
      </c>
      <c r="E152" s="84" t="s">
        <v>106</v>
      </c>
      <c r="F152" s="84" t="s">
        <v>107</v>
      </c>
      <c r="G152" s="84" t="s">
        <v>108</v>
      </c>
      <c r="H152" s="84" t="s">
        <v>109</v>
      </c>
      <c r="I152" s="85" t="s">
        <v>110</v>
      </c>
      <c r="J152" s="86" t="s">
        <v>111</v>
      </c>
    </row>
    <row r="153" spans="1:10" x14ac:dyDescent="0.2">
      <c r="A153" s="48" t="s">
        <v>112</v>
      </c>
      <c r="B153" s="60">
        <v>1200</v>
      </c>
      <c r="C153" s="60">
        <v>3000</v>
      </c>
      <c r="D153" s="60">
        <v>4600</v>
      </c>
      <c r="E153" s="60">
        <v>10360</v>
      </c>
      <c r="F153" s="60">
        <v>23200</v>
      </c>
      <c r="G153" s="60">
        <v>45000</v>
      </c>
      <c r="H153" s="60">
        <v>117000</v>
      </c>
      <c r="I153" s="60">
        <v>376000</v>
      </c>
      <c r="J153" s="61">
        <v>982</v>
      </c>
    </row>
    <row r="154" spans="1:10" x14ac:dyDescent="0.2">
      <c r="A154" s="49" t="s">
        <v>113</v>
      </c>
      <c r="B154" s="62">
        <v>93</v>
      </c>
      <c r="C154" s="62">
        <v>93</v>
      </c>
      <c r="D154" s="62">
        <v>93</v>
      </c>
      <c r="E154" s="62">
        <v>93</v>
      </c>
      <c r="F154" s="62">
        <v>93</v>
      </c>
      <c r="G154" s="62">
        <v>93</v>
      </c>
      <c r="H154" s="62">
        <v>93</v>
      </c>
      <c r="I154" s="62">
        <v>93</v>
      </c>
      <c r="J154" s="63" t="s">
        <v>114</v>
      </c>
    </row>
    <row r="155" spans="1:10" x14ac:dyDescent="0.2">
      <c r="A155" s="49" t="s">
        <v>115</v>
      </c>
      <c r="B155" s="62">
        <v>8147</v>
      </c>
      <c r="C155" s="62">
        <v>8147</v>
      </c>
      <c r="D155" s="62">
        <v>8147</v>
      </c>
      <c r="E155" s="62">
        <v>8147</v>
      </c>
      <c r="F155" s="62">
        <v>8147</v>
      </c>
      <c r="G155" s="62">
        <v>8147</v>
      </c>
      <c r="H155" s="62">
        <v>8147</v>
      </c>
      <c r="I155" s="62">
        <v>8147</v>
      </c>
      <c r="J155" s="63" t="s">
        <v>114</v>
      </c>
    </row>
    <row r="156" spans="1:10" x14ac:dyDescent="0.2">
      <c r="A156" s="97" t="s">
        <v>116</v>
      </c>
      <c r="B156" s="98">
        <v>8597</v>
      </c>
      <c r="C156" s="98">
        <v>8538</v>
      </c>
      <c r="D156" s="98">
        <v>9252</v>
      </c>
      <c r="E156" s="98">
        <v>10236</v>
      </c>
      <c r="F156" s="98">
        <v>9733</v>
      </c>
      <c r="G156" s="98">
        <v>8461</v>
      </c>
      <c r="H156" s="98">
        <v>6430</v>
      </c>
      <c r="I156" s="98">
        <v>5992</v>
      </c>
      <c r="J156" s="99" t="s">
        <v>114</v>
      </c>
    </row>
    <row r="157" spans="1:10" x14ac:dyDescent="0.2">
      <c r="A157" s="51" t="s">
        <v>117</v>
      </c>
      <c r="B157" s="64">
        <v>39.69</v>
      </c>
      <c r="C157" s="64">
        <v>39.96</v>
      </c>
      <c r="D157" s="64">
        <v>36.880000000000003</v>
      </c>
      <c r="E157" s="64">
        <v>33.33</v>
      </c>
      <c r="F157" s="64">
        <v>35.06</v>
      </c>
      <c r="G157" s="64">
        <v>40.33</v>
      </c>
      <c r="H157" s="64">
        <v>53.07</v>
      </c>
      <c r="I157" s="64">
        <v>56.94</v>
      </c>
      <c r="J157" s="65" t="s">
        <v>114</v>
      </c>
    </row>
    <row r="158" spans="1:10" x14ac:dyDescent="0.2">
      <c r="A158" s="49" t="s">
        <v>118</v>
      </c>
      <c r="B158" s="66">
        <v>10.32</v>
      </c>
      <c r="C158" s="66">
        <v>25.61</v>
      </c>
      <c r="D158" s="66">
        <v>42.56</v>
      </c>
      <c r="E158" s="66">
        <v>106.04</v>
      </c>
      <c r="F158" s="66">
        <v>225.8</v>
      </c>
      <c r="G158" s="66">
        <v>380.75</v>
      </c>
      <c r="H158" s="66">
        <v>578.67999999999995</v>
      </c>
      <c r="I158" s="66">
        <v>1456.06</v>
      </c>
      <c r="J158" s="67" t="s">
        <v>114</v>
      </c>
    </row>
    <row r="159" spans="1:10" x14ac:dyDescent="0.2">
      <c r="A159" s="49" t="s">
        <v>119</v>
      </c>
      <c r="B159" s="66">
        <v>4.0199999999999996</v>
      </c>
      <c r="C159" s="66">
        <v>9.73</v>
      </c>
      <c r="D159" s="66">
        <v>13.19</v>
      </c>
      <c r="E159" s="66">
        <v>39.24</v>
      </c>
      <c r="F159" s="66">
        <v>85.8</v>
      </c>
      <c r="G159" s="66">
        <v>129.44999999999999</v>
      </c>
      <c r="H159" s="66">
        <v>231.47</v>
      </c>
      <c r="I159" s="66">
        <v>655.23</v>
      </c>
      <c r="J159" s="67" t="s">
        <v>114</v>
      </c>
    </row>
    <row r="160" spans="1:10" x14ac:dyDescent="0.2">
      <c r="A160" s="101" t="s">
        <v>120</v>
      </c>
      <c r="B160" s="102">
        <v>78.69</v>
      </c>
      <c r="C160" s="102">
        <v>77.959999999999994</v>
      </c>
      <c r="D160" s="102">
        <v>65.930000000000007</v>
      </c>
      <c r="E160" s="102">
        <v>70.33</v>
      </c>
      <c r="F160" s="102">
        <v>73.06</v>
      </c>
      <c r="G160" s="102">
        <v>74.33</v>
      </c>
      <c r="H160" s="102">
        <v>68.98</v>
      </c>
      <c r="I160" s="102">
        <v>88.11</v>
      </c>
      <c r="J160" s="103" t="s">
        <v>114</v>
      </c>
    </row>
    <row r="161" spans="1:10" ht="15" x14ac:dyDescent="0.25">
      <c r="A161" s="49" t="s">
        <v>121</v>
      </c>
      <c r="B161" s="68">
        <v>1.02</v>
      </c>
      <c r="C161" s="68">
        <v>1.05</v>
      </c>
      <c r="D161" s="68">
        <v>1.19</v>
      </c>
      <c r="E161" s="68">
        <v>0.9</v>
      </c>
      <c r="F161" s="68">
        <v>0.92</v>
      </c>
      <c r="G161" s="68">
        <v>1.19</v>
      </c>
      <c r="H161" s="68">
        <v>1.72</v>
      </c>
      <c r="I161" s="68">
        <v>1.96</v>
      </c>
      <c r="J161" s="69" t="s">
        <v>114</v>
      </c>
    </row>
    <row r="162" spans="1:10" ht="15" x14ac:dyDescent="0.25">
      <c r="A162" s="50" t="s">
        <v>122</v>
      </c>
      <c r="B162" s="70">
        <v>4410</v>
      </c>
      <c r="C162" s="70">
        <v>4482</v>
      </c>
      <c r="D162" s="70">
        <v>5667</v>
      </c>
      <c r="E162" s="70">
        <v>5502</v>
      </c>
      <c r="F162" s="70">
        <v>5110</v>
      </c>
      <c r="G162" s="70">
        <v>4865</v>
      </c>
      <c r="H162" s="70">
        <v>4946</v>
      </c>
      <c r="I162" s="70">
        <v>3872</v>
      </c>
      <c r="J162" s="71" t="s">
        <v>114</v>
      </c>
    </row>
    <row r="163" spans="1:10" ht="15" x14ac:dyDescent="0.25">
      <c r="A163" s="49" t="s">
        <v>123</v>
      </c>
      <c r="B163" s="70">
        <v>30</v>
      </c>
      <c r="C163" s="70">
        <v>30</v>
      </c>
      <c r="D163" s="70">
        <v>35</v>
      </c>
      <c r="E163" s="70">
        <v>35</v>
      </c>
      <c r="F163" s="70">
        <v>35</v>
      </c>
      <c r="G163" s="70">
        <v>35</v>
      </c>
      <c r="H163" s="70">
        <v>35</v>
      </c>
      <c r="I163" s="70">
        <v>35</v>
      </c>
      <c r="J163" s="71" t="s">
        <v>114</v>
      </c>
    </row>
    <row r="164" spans="1:10" ht="15" x14ac:dyDescent="0.25">
      <c r="A164" s="49" t="s">
        <v>124</v>
      </c>
      <c r="B164" s="70" t="s">
        <v>114</v>
      </c>
      <c r="C164" s="70" t="s">
        <v>114</v>
      </c>
      <c r="D164" s="70" t="s">
        <v>114</v>
      </c>
      <c r="E164" s="70" t="s">
        <v>114</v>
      </c>
      <c r="F164" s="70" t="s">
        <v>114</v>
      </c>
      <c r="G164" s="70" t="s">
        <v>114</v>
      </c>
      <c r="H164" s="70" t="s">
        <v>114</v>
      </c>
      <c r="I164" s="70" t="s">
        <v>114</v>
      </c>
      <c r="J164" s="71">
        <v>15</v>
      </c>
    </row>
    <row r="165" spans="1:10" ht="15" x14ac:dyDescent="0.25">
      <c r="A165" s="49" t="s">
        <v>125</v>
      </c>
      <c r="B165" s="70" t="s">
        <v>114</v>
      </c>
      <c r="C165" s="70" t="s">
        <v>114</v>
      </c>
      <c r="D165" s="70" t="s">
        <v>114</v>
      </c>
      <c r="E165" s="70" t="s">
        <v>114</v>
      </c>
      <c r="F165" s="70" t="s">
        <v>114</v>
      </c>
      <c r="G165" s="70" t="s">
        <v>114</v>
      </c>
      <c r="H165" s="70" t="s">
        <v>114</v>
      </c>
      <c r="I165" s="70" t="s">
        <v>114</v>
      </c>
      <c r="J165" s="71">
        <v>2</v>
      </c>
    </row>
    <row r="166" spans="1:10" ht="15" x14ac:dyDescent="0.25">
      <c r="A166" s="49" t="s">
        <v>126</v>
      </c>
      <c r="B166" s="70" t="s">
        <v>114</v>
      </c>
      <c r="C166" s="70" t="s">
        <v>114</v>
      </c>
      <c r="D166" s="70" t="s">
        <v>114</v>
      </c>
      <c r="E166" s="70" t="s">
        <v>114</v>
      </c>
      <c r="F166" s="70" t="s">
        <v>114</v>
      </c>
      <c r="G166" s="70" t="s">
        <v>114</v>
      </c>
      <c r="H166" s="70" t="s">
        <v>114</v>
      </c>
      <c r="I166" s="70" t="s">
        <v>114</v>
      </c>
      <c r="J166" s="72">
        <v>2.5</v>
      </c>
    </row>
    <row r="167" spans="1:10" ht="15" x14ac:dyDescent="0.25">
      <c r="A167" s="49" t="s">
        <v>127</v>
      </c>
      <c r="B167" s="70" t="s">
        <v>114</v>
      </c>
      <c r="C167" s="70" t="s">
        <v>114</v>
      </c>
      <c r="D167" s="70" t="s">
        <v>114</v>
      </c>
      <c r="E167" s="70" t="s">
        <v>114</v>
      </c>
      <c r="F167" s="70" t="s">
        <v>114</v>
      </c>
      <c r="G167" s="70" t="s">
        <v>114</v>
      </c>
      <c r="H167" s="70" t="s">
        <v>114</v>
      </c>
      <c r="I167" s="70" t="s">
        <v>114</v>
      </c>
      <c r="J167" s="71">
        <v>16</v>
      </c>
    </row>
    <row r="168" spans="1:10" ht="15" x14ac:dyDescent="0.25">
      <c r="A168" s="49" t="s">
        <v>128</v>
      </c>
      <c r="B168" s="73">
        <v>1.4500000000000001E-2</v>
      </c>
      <c r="C168" s="73">
        <v>1.29E-2</v>
      </c>
      <c r="D168" s="73">
        <v>8.8000000000000005E-3</v>
      </c>
      <c r="E168" s="73">
        <v>6.7000000000000002E-3</v>
      </c>
      <c r="F168" s="73">
        <v>3.8999999999999998E-3</v>
      </c>
      <c r="G168" s="73">
        <v>3.0999999999999999E-3</v>
      </c>
      <c r="H168" s="73">
        <v>2.3E-3</v>
      </c>
      <c r="I168" s="73">
        <v>1.6000000000000001E-3</v>
      </c>
      <c r="J168" s="74">
        <v>4.4999999999999997E-3</v>
      </c>
    </row>
    <row r="169" spans="1:10" ht="15" x14ac:dyDescent="0.25">
      <c r="A169" s="52" t="s">
        <v>129</v>
      </c>
      <c r="B169" s="68">
        <v>19.29</v>
      </c>
      <c r="C169" s="68">
        <v>17.41</v>
      </c>
      <c r="D169" s="68">
        <v>16.8</v>
      </c>
      <c r="E169" s="68">
        <v>16.29</v>
      </c>
      <c r="F169" s="68">
        <v>14.84</v>
      </c>
      <c r="G169" s="68">
        <v>14.65</v>
      </c>
      <c r="H169" s="68">
        <v>13.87</v>
      </c>
      <c r="I169" s="68">
        <v>13.03</v>
      </c>
      <c r="J169" s="69">
        <v>231</v>
      </c>
    </row>
    <row r="170" spans="1:10" ht="15" x14ac:dyDescent="0.25">
      <c r="A170" s="95" t="s">
        <v>130</v>
      </c>
      <c r="B170" s="93">
        <v>2553</v>
      </c>
      <c r="C170" s="93">
        <v>1984</v>
      </c>
      <c r="D170" s="93">
        <v>1741</v>
      </c>
      <c r="E170" s="93">
        <v>1751</v>
      </c>
      <c r="F170" s="93">
        <v>1245</v>
      </c>
      <c r="G170" s="93">
        <v>1106</v>
      </c>
      <c r="H170" s="93">
        <v>1482</v>
      </c>
      <c r="I170" s="93">
        <v>1211</v>
      </c>
      <c r="J170" s="94">
        <v>2325</v>
      </c>
    </row>
    <row r="171" spans="1:10" ht="15" x14ac:dyDescent="0.25">
      <c r="A171" s="53" t="s">
        <v>131</v>
      </c>
      <c r="B171" s="70">
        <v>1165</v>
      </c>
      <c r="C171" s="70">
        <v>953</v>
      </c>
      <c r="D171" s="70">
        <v>923</v>
      </c>
      <c r="E171" s="70">
        <v>916</v>
      </c>
      <c r="F171" s="70">
        <v>689</v>
      </c>
      <c r="G171" s="70">
        <v>583</v>
      </c>
      <c r="H171" s="70">
        <v>535</v>
      </c>
      <c r="I171" s="70">
        <v>433</v>
      </c>
      <c r="J171" s="71">
        <v>1586</v>
      </c>
    </row>
    <row r="172" spans="1:10" ht="15" x14ac:dyDescent="0.25">
      <c r="A172" s="54" t="s">
        <v>132</v>
      </c>
      <c r="B172" s="75">
        <v>508</v>
      </c>
      <c r="C172" s="75">
        <v>360</v>
      </c>
      <c r="D172" s="75">
        <v>276</v>
      </c>
      <c r="E172" s="75">
        <v>375</v>
      </c>
      <c r="F172" s="75">
        <v>246</v>
      </c>
      <c r="G172" s="75">
        <v>236</v>
      </c>
      <c r="H172" s="75">
        <v>312</v>
      </c>
      <c r="I172" s="75">
        <v>332</v>
      </c>
      <c r="J172" s="76">
        <v>476</v>
      </c>
    </row>
    <row r="173" spans="1:10" ht="26.25" x14ac:dyDescent="0.25">
      <c r="A173" s="54" t="s">
        <v>133</v>
      </c>
      <c r="B173" s="75">
        <v>647</v>
      </c>
      <c r="C173" s="75">
        <v>491</v>
      </c>
      <c r="D173" s="75">
        <v>385</v>
      </c>
      <c r="E173" s="75">
        <v>303</v>
      </c>
      <c r="F173" s="75">
        <v>197</v>
      </c>
      <c r="G173" s="75">
        <v>174</v>
      </c>
      <c r="H173" s="75">
        <v>408</v>
      </c>
      <c r="I173" s="75">
        <v>263</v>
      </c>
      <c r="J173" s="76">
        <v>263</v>
      </c>
    </row>
    <row r="174" spans="1:10" ht="15.75" thickBot="1" x14ac:dyDescent="0.3">
      <c r="A174" s="55" t="s">
        <v>134</v>
      </c>
      <c r="B174" s="77">
        <v>232</v>
      </c>
      <c r="C174" s="77">
        <v>181</v>
      </c>
      <c r="D174" s="77">
        <v>156</v>
      </c>
      <c r="E174" s="77">
        <v>158</v>
      </c>
      <c r="F174" s="77">
        <v>112</v>
      </c>
      <c r="G174" s="77">
        <v>113</v>
      </c>
      <c r="H174" s="77">
        <v>226</v>
      </c>
      <c r="I174" s="77">
        <v>184</v>
      </c>
      <c r="J174" s="78">
        <v>0</v>
      </c>
    </row>
  </sheetData>
  <hyperlinks>
    <hyperlink ref="M1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icogen</vt:lpstr>
      <vt:lpstr>Tables</vt:lpstr>
      <vt:lpstr>acceptfrac</vt:lpstr>
      <vt:lpstr>acceptfrac2</vt:lpstr>
      <vt:lpstr>CapCostMult</vt:lpstr>
      <vt:lpstr>CapCostMultEnd</vt:lpstr>
      <vt:lpstr>CapCostMultStar</vt:lpstr>
      <vt:lpstr>capcostyearly</vt:lpstr>
      <vt:lpstr>capfac</vt:lpstr>
      <vt:lpstr>DollarYear</vt:lpstr>
      <vt:lpstr>eleccap</vt:lpstr>
      <vt:lpstr>heatrateyearly</vt:lpstr>
      <vt:lpstr>overalleffyear</vt:lpstr>
      <vt:lpstr>penetration</vt:lpstr>
      <vt:lpstr>rapidcapcostyr</vt:lpstr>
      <vt:lpstr>rapidheatrateyr</vt:lpstr>
      <vt:lpstr>RapidOrAllEffYr</vt:lpstr>
      <vt:lpstr>standbyfrac</vt:lpstr>
      <vt:lpstr>steamseg_chem</vt:lpstr>
      <vt:lpstr>steamseg_food</vt:lpstr>
      <vt:lpstr>steamseg_other</vt:lpstr>
      <vt:lpstr>steamseg_paper</vt:lpstr>
      <vt:lpstr>steamseg_refin</vt:lpstr>
      <vt:lpstr>steamseg_steel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Skelly, Daniel</dc:creator>
  <cp:lastModifiedBy>Amogh Prabhu</cp:lastModifiedBy>
  <cp:lastPrinted>2006-06-09T19:28:53Z</cp:lastPrinted>
  <dcterms:created xsi:type="dcterms:W3CDTF">2004-09-13T13:32:29Z</dcterms:created>
  <dcterms:modified xsi:type="dcterms:W3CDTF">2023-08-22T13:42:19Z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-1052374942</vt:i4>
  </property>
  <property fmtid="{D5CDD505-2E9C-101B-9397-08002B2CF9AE}" pid="3" name="_EmailSubject">
    <vt:lpwstr>icogen.master.xls</vt:lpwstr>
  </property>
  <property fmtid="{D5CDD505-2E9C-101B-9397-08002B2CF9AE}" pid="4" name="_AuthorEmail">
    <vt:lpwstr>Crawford.Honeycutt@eia.doe.gov</vt:lpwstr>
  </property>
  <property fmtid="{D5CDD505-2E9C-101B-9397-08002B2CF9AE}" pid="5" name="_AuthorEmailDisplayName">
    <vt:lpwstr>Honeycutt, Crawford</vt:lpwstr>
  </property>
  <property fmtid="{D5CDD505-2E9C-101B-9397-08002B2CF9AE}" pid="6" name="_PreviousAdHocReviewCycleID">
    <vt:i4>1777391203</vt:i4>
  </property>
  <property fmtid="{D5CDD505-2E9C-101B-9397-08002B2CF9AE}" pid="7" name="_ReviewingToolsShownOnce">
    <vt:lpwstr/>
  </property>
</Properties>
</file>