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Z:\Excel_Practice\Financial Model\Session 3\"/>
    </mc:Choice>
  </mc:AlternateContent>
  <xr:revisionPtr revIDLastSave="0" documentId="13_ncr:1_{FD7AFBB3-3C47-41C3-AE14-9C7FB2A641A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istorical_FS" sheetId="10" r:id="rId1"/>
    <sheet name="Cash_flow" sheetId="11" r:id="rId2"/>
    <sheet name="Data Sheet" sheetId="6" r:id="rId3"/>
    <sheet name="Profit &amp; Loss" sheetId="1" r:id="rId4"/>
    <sheet name="Quarters" sheetId="3" r:id="rId5"/>
    <sheet name="Balance Sheet" sheetId="2" r:id="rId6"/>
    <sheet name="Cash Flow" sheetId="4" r:id="rId7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" i="10" l="1"/>
  <c r="E98" i="10"/>
  <c r="F98" i="10"/>
  <c r="G98" i="10"/>
  <c r="H98" i="10"/>
  <c r="I98" i="10"/>
  <c r="J98" i="10"/>
  <c r="K98" i="10"/>
  <c r="L98" i="10"/>
  <c r="C98" i="10"/>
  <c r="D77" i="10"/>
  <c r="E77" i="10"/>
  <c r="F77" i="10"/>
  <c r="G77" i="10"/>
  <c r="H77" i="10"/>
  <c r="I77" i="10"/>
  <c r="J77" i="10"/>
  <c r="K77" i="10"/>
  <c r="L77" i="10"/>
  <c r="C77" i="10"/>
  <c r="D96" i="10"/>
  <c r="E96" i="10"/>
  <c r="F96" i="10"/>
  <c r="G96" i="10"/>
  <c r="H96" i="10"/>
  <c r="I96" i="10"/>
  <c r="J96" i="10"/>
  <c r="K96" i="10"/>
  <c r="L96" i="10"/>
  <c r="C96" i="10"/>
  <c r="C93" i="10"/>
  <c r="D93" i="10"/>
  <c r="E93" i="10"/>
  <c r="F93" i="10"/>
  <c r="G93" i="10"/>
  <c r="H93" i="10"/>
  <c r="I93" i="10"/>
  <c r="J93" i="10"/>
  <c r="K93" i="10"/>
  <c r="L93" i="10"/>
  <c r="C94" i="10"/>
  <c r="D94" i="10"/>
  <c r="E94" i="10"/>
  <c r="F94" i="10"/>
  <c r="G94" i="10"/>
  <c r="H94" i="10"/>
  <c r="I94" i="10"/>
  <c r="J94" i="10"/>
  <c r="K94" i="10"/>
  <c r="L94" i="10"/>
  <c r="C95" i="10"/>
  <c r="D95" i="10"/>
  <c r="E95" i="10"/>
  <c r="F95" i="10"/>
  <c r="G95" i="10"/>
  <c r="H95" i="10"/>
  <c r="I95" i="10"/>
  <c r="J95" i="10"/>
  <c r="K95" i="10"/>
  <c r="L95" i="10"/>
  <c r="D92" i="10"/>
  <c r="E92" i="10"/>
  <c r="F92" i="10"/>
  <c r="G92" i="10"/>
  <c r="H92" i="10"/>
  <c r="I92" i="10"/>
  <c r="J92" i="10"/>
  <c r="K92" i="10"/>
  <c r="L92" i="10"/>
  <c r="C92" i="10"/>
  <c r="D89" i="10"/>
  <c r="E89" i="10"/>
  <c r="F89" i="10"/>
  <c r="G89" i="10"/>
  <c r="H89" i="10"/>
  <c r="I89" i="10"/>
  <c r="J89" i="10"/>
  <c r="K89" i="10"/>
  <c r="L89" i="10"/>
  <c r="C89" i="10"/>
  <c r="C81" i="10"/>
  <c r="D81" i="10"/>
  <c r="E81" i="10"/>
  <c r="F81" i="10"/>
  <c r="G81" i="10"/>
  <c r="H81" i="10"/>
  <c r="I81" i="10"/>
  <c r="J81" i="10"/>
  <c r="K81" i="10"/>
  <c r="L81" i="10"/>
  <c r="C82" i="10"/>
  <c r="D82" i="10"/>
  <c r="E82" i="10"/>
  <c r="F82" i="10"/>
  <c r="G82" i="10"/>
  <c r="H82" i="10"/>
  <c r="I82" i="10"/>
  <c r="J82" i="10"/>
  <c r="K82" i="10"/>
  <c r="L82" i="10"/>
  <c r="C83" i="10"/>
  <c r="D83" i="10"/>
  <c r="E83" i="10"/>
  <c r="F83" i="10"/>
  <c r="G83" i="10"/>
  <c r="H83" i="10"/>
  <c r="I83" i="10"/>
  <c r="J83" i="10"/>
  <c r="K83" i="10"/>
  <c r="L83" i="10"/>
  <c r="C84" i="10"/>
  <c r="D84" i="10"/>
  <c r="E84" i="10"/>
  <c r="F84" i="10"/>
  <c r="G84" i="10"/>
  <c r="H84" i="10"/>
  <c r="I84" i="10"/>
  <c r="J84" i="10"/>
  <c r="K84" i="10"/>
  <c r="L84" i="10"/>
  <c r="C85" i="10"/>
  <c r="D85" i="10"/>
  <c r="E85" i="10"/>
  <c r="F85" i="10"/>
  <c r="G85" i="10"/>
  <c r="H85" i="10"/>
  <c r="I85" i="10"/>
  <c r="J85" i="10"/>
  <c r="K85" i="10"/>
  <c r="L85" i="10"/>
  <c r="C86" i="10"/>
  <c r="D86" i="10"/>
  <c r="E86" i="10"/>
  <c r="F86" i="10"/>
  <c r="G86" i="10"/>
  <c r="H86" i="10"/>
  <c r="I86" i="10"/>
  <c r="J86" i="10"/>
  <c r="K86" i="10"/>
  <c r="L86" i="10"/>
  <c r="C87" i="10"/>
  <c r="D87" i="10"/>
  <c r="E87" i="10"/>
  <c r="F87" i="10"/>
  <c r="G87" i="10"/>
  <c r="H87" i="10"/>
  <c r="I87" i="10"/>
  <c r="J87" i="10"/>
  <c r="K87" i="10"/>
  <c r="L87" i="10"/>
  <c r="C88" i="10"/>
  <c r="D88" i="10"/>
  <c r="E88" i="10"/>
  <c r="F88" i="10"/>
  <c r="G88" i="10"/>
  <c r="H88" i="10"/>
  <c r="I88" i="10"/>
  <c r="J88" i="10"/>
  <c r="K88" i="10"/>
  <c r="L88" i="10"/>
  <c r="D80" i="10"/>
  <c r="E80" i="10"/>
  <c r="F80" i="10"/>
  <c r="G80" i="10"/>
  <c r="H80" i="10"/>
  <c r="I80" i="10"/>
  <c r="J80" i="10"/>
  <c r="K80" i="10"/>
  <c r="L80" i="10"/>
  <c r="C80" i="10"/>
  <c r="C71" i="10"/>
  <c r="D71" i="10"/>
  <c r="E71" i="10"/>
  <c r="F71" i="10"/>
  <c r="G71" i="10"/>
  <c r="H71" i="10"/>
  <c r="I71" i="10"/>
  <c r="J71" i="10"/>
  <c r="K71" i="10"/>
  <c r="L71" i="10"/>
  <c r="C72" i="10"/>
  <c r="D72" i="10"/>
  <c r="E72" i="10"/>
  <c r="F72" i="10"/>
  <c r="G72" i="10"/>
  <c r="H72" i="10"/>
  <c r="I72" i="10"/>
  <c r="J72" i="10"/>
  <c r="K72" i="10"/>
  <c r="L72" i="10"/>
  <c r="C73" i="10"/>
  <c r="D73" i="10"/>
  <c r="E73" i="10"/>
  <c r="F73" i="10"/>
  <c r="G73" i="10"/>
  <c r="H73" i="10"/>
  <c r="I73" i="10"/>
  <c r="J73" i="10"/>
  <c r="K73" i="10"/>
  <c r="L73" i="10"/>
  <c r="C74" i="10"/>
  <c r="D74" i="10"/>
  <c r="E74" i="10"/>
  <c r="F74" i="10"/>
  <c r="G74" i="10"/>
  <c r="H74" i="10"/>
  <c r="I74" i="10"/>
  <c r="J74" i="10"/>
  <c r="K74" i="10"/>
  <c r="L74" i="10"/>
  <c r="C75" i="10"/>
  <c r="D75" i="10"/>
  <c r="E75" i="10"/>
  <c r="F75" i="10"/>
  <c r="G75" i="10"/>
  <c r="H75" i="10"/>
  <c r="I75" i="10"/>
  <c r="J75" i="10"/>
  <c r="K75" i="10"/>
  <c r="L75" i="10"/>
  <c r="C76" i="10"/>
  <c r="D76" i="10"/>
  <c r="E76" i="10"/>
  <c r="F76" i="10"/>
  <c r="G76" i="10"/>
  <c r="H76" i="10"/>
  <c r="I76" i="10"/>
  <c r="J76" i="10"/>
  <c r="K76" i="10"/>
  <c r="L76" i="10"/>
  <c r="D70" i="10"/>
  <c r="E70" i="10"/>
  <c r="F70" i="10"/>
  <c r="G70" i="10"/>
  <c r="H70" i="10"/>
  <c r="I70" i="10"/>
  <c r="J70" i="10"/>
  <c r="K70" i="10"/>
  <c r="L70" i="10"/>
  <c r="C70" i="10"/>
  <c r="C66" i="10"/>
  <c r="D66" i="10"/>
  <c r="E66" i="10"/>
  <c r="F66" i="10"/>
  <c r="G66" i="10"/>
  <c r="H66" i="10"/>
  <c r="I66" i="10"/>
  <c r="J66" i="10"/>
  <c r="K66" i="10"/>
  <c r="L66" i="10"/>
  <c r="D57" i="10"/>
  <c r="E57" i="10"/>
  <c r="F57" i="10"/>
  <c r="G57" i="10"/>
  <c r="H57" i="10"/>
  <c r="I57" i="10"/>
  <c r="I64" i="10" s="1"/>
  <c r="J57" i="10"/>
  <c r="J64" i="10" s="1"/>
  <c r="K57" i="10"/>
  <c r="L57" i="10"/>
  <c r="L64" i="10" s="1"/>
  <c r="C57" i="10"/>
  <c r="C64" i="10" s="1"/>
  <c r="D56" i="10"/>
  <c r="E56" i="10"/>
  <c r="F56" i="10"/>
  <c r="G56" i="10"/>
  <c r="H56" i="10"/>
  <c r="I56" i="10"/>
  <c r="J56" i="10"/>
  <c r="K56" i="10"/>
  <c r="L56" i="10"/>
  <c r="C56" i="10"/>
  <c r="D64" i="10"/>
  <c r="E64" i="10"/>
  <c r="F64" i="10"/>
  <c r="G64" i="10"/>
  <c r="H64" i="10"/>
  <c r="K64" i="10"/>
  <c r="D62" i="10"/>
  <c r="E62" i="10"/>
  <c r="F62" i="10"/>
  <c r="G62" i="10"/>
  <c r="H62" i="10"/>
  <c r="I62" i="10"/>
  <c r="J62" i="10"/>
  <c r="K62" i="10"/>
  <c r="L62" i="10"/>
  <c r="C62" i="10"/>
  <c r="C60" i="10"/>
  <c r="D60" i="10"/>
  <c r="E60" i="10"/>
  <c r="F60" i="10"/>
  <c r="G60" i="10"/>
  <c r="H60" i="10"/>
  <c r="I60" i="10"/>
  <c r="J60" i="10"/>
  <c r="K60" i="10"/>
  <c r="L60" i="10"/>
  <c r="C61" i="10"/>
  <c r="D61" i="10"/>
  <c r="E61" i="10"/>
  <c r="F61" i="10"/>
  <c r="G61" i="10"/>
  <c r="H61" i="10"/>
  <c r="I61" i="10"/>
  <c r="J61" i="10"/>
  <c r="K61" i="10"/>
  <c r="L61" i="10"/>
  <c r="D59" i="10"/>
  <c r="E59" i="10"/>
  <c r="F59" i="10"/>
  <c r="G59" i="10"/>
  <c r="H59" i="10"/>
  <c r="I59" i="10"/>
  <c r="J59" i="10"/>
  <c r="K59" i="10"/>
  <c r="L59" i="10"/>
  <c r="C59" i="10"/>
  <c r="C54" i="10"/>
  <c r="D54" i="10"/>
  <c r="E54" i="10"/>
  <c r="F54" i="10"/>
  <c r="G54" i="10"/>
  <c r="H54" i="10"/>
  <c r="I54" i="10"/>
  <c r="J54" i="10"/>
  <c r="K54" i="10"/>
  <c r="L54" i="10"/>
  <c r="C55" i="10"/>
  <c r="D55" i="10"/>
  <c r="E55" i="10"/>
  <c r="F55" i="10"/>
  <c r="G55" i="10"/>
  <c r="H55" i="10"/>
  <c r="I55" i="10"/>
  <c r="J55" i="10"/>
  <c r="K55" i="10"/>
  <c r="L55" i="10"/>
  <c r="D53" i="10"/>
  <c r="E53" i="10"/>
  <c r="F53" i="10"/>
  <c r="G53" i="10"/>
  <c r="H53" i="10"/>
  <c r="I53" i="10"/>
  <c r="J53" i="10"/>
  <c r="K53" i="10"/>
  <c r="L53" i="10"/>
  <c r="C53" i="10"/>
  <c r="C49" i="10"/>
  <c r="D49" i="10"/>
  <c r="E49" i="10"/>
  <c r="F49" i="10"/>
  <c r="G49" i="10"/>
  <c r="H49" i="10"/>
  <c r="I49" i="10"/>
  <c r="J49" i="10"/>
  <c r="K49" i="10"/>
  <c r="L49" i="10"/>
  <c r="C50" i="10"/>
  <c r="D50" i="10"/>
  <c r="E50" i="10"/>
  <c r="F50" i="10"/>
  <c r="G50" i="10"/>
  <c r="H50" i="10"/>
  <c r="I50" i="10"/>
  <c r="J50" i="10"/>
  <c r="K50" i="10"/>
  <c r="L50" i="10"/>
  <c r="C51" i="10"/>
  <c r="D51" i="10"/>
  <c r="E51" i="10"/>
  <c r="F51" i="10"/>
  <c r="G51" i="10"/>
  <c r="H51" i="10"/>
  <c r="I51" i="10"/>
  <c r="J51" i="10"/>
  <c r="K51" i="10"/>
  <c r="L51" i="10"/>
  <c r="D48" i="10"/>
  <c r="E48" i="10"/>
  <c r="F48" i="10"/>
  <c r="G48" i="10"/>
  <c r="H48" i="10"/>
  <c r="I48" i="10"/>
  <c r="J48" i="10"/>
  <c r="K48" i="10"/>
  <c r="L48" i="10"/>
  <c r="C48" i="10"/>
  <c r="D47" i="10"/>
  <c r="E47" i="10"/>
  <c r="F47" i="10"/>
  <c r="G47" i="10"/>
  <c r="H47" i="10"/>
  <c r="I47" i="10"/>
  <c r="J47" i="10"/>
  <c r="K47" i="10"/>
  <c r="L47" i="10"/>
  <c r="C47" i="10"/>
  <c r="D36" i="10" l="1"/>
  <c r="D41" i="10" s="1"/>
  <c r="E36" i="10"/>
  <c r="E41" i="10" s="1"/>
  <c r="F36" i="10"/>
  <c r="F41" i="10" s="1"/>
  <c r="G36" i="10"/>
  <c r="G41" i="10" s="1"/>
  <c r="H36" i="10"/>
  <c r="H41" i="10" s="1"/>
  <c r="I36" i="10"/>
  <c r="I41" i="10" s="1"/>
  <c r="J36" i="10"/>
  <c r="J41" i="10" s="1"/>
  <c r="K36" i="10"/>
  <c r="K41" i="10" s="1"/>
  <c r="L36" i="10"/>
  <c r="C36" i="10"/>
  <c r="C41" i="10" s="1"/>
  <c r="M30" i="10"/>
  <c r="D30" i="10"/>
  <c r="E30" i="10"/>
  <c r="F30" i="10"/>
  <c r="G30" i="10"/>
  <c r="H30" i="10"/>
  <c r="I30" i="10"/>
  <c r="J30" i="10"/>
  <c r="K30" i="10"/>
  <c r="L30" i="10"/>
  <c r="C30" i="10"/>
  <c r="M24" i="10"/>
  <c r="M25" i="10" s="1"/>
  <c r="D24" i="10"/>
  <c r="E24" i="10"/>
  <c r="F24" i="10"/>
  <c r="G24" i="10"/>
  <c r="H24" i="10"/>
  <c r="I24" i="10"/>
  <c r="I25" i="10" s="1"/>
  <c r="J24" i="10"/>
  <c r="J25" i="10" s="1"/>
  <c r="K24" i="10"/>
  <c r="K25" i="10" s="1"/>
  <c r="L24" i="10"/>
  <c r="C24" i="10"/>
  <c r="C25" i="10" s="1"/>
  <c r="D21" i="10"/>
  <c r="E21" i="10"/>
  <c r="E22" i="10" s="1"/>
  <c r="F21" i="10"/>
  <c r="G21" i="10"/>
  <c r="H21" i="10"/>
  <c r="I21" i="10"/>
  <c r="J21" i="10"/>
  <c r="K21" i="10"/>
  <c r="L21" i="10"/>
  <c r="D6" i="10"/>
  <c r="D7" i="10" s="1"/>
  <c r="E6" i="10"/>
  <c r="F6" i="10"/>
  <c r="G6" i="10"/>
  <c r="H6" i="10"/>
  <c r="I6" i="10"/>
  <c r="J6" i="10"/>
  <c r="K6" i="10"/>
  <c r="L6" i="10"/>
  <c r="C6" i="10"/>
  <c r="C21" i="10"/>
  <c r="M21" i="10"/>
  <c r="M22" i="10" s="1"/>
  <c r="D15" i="10"/>
  <c r="E15" i="10"/>
  <c r="F15" i="10"/>
  <c r="G15" i="10"/>
  <c r="H15" i="10"/>
  <c r="I15" i="10"/>
  <c r="I16" i="10" s="1"/>
  <c r="J15" i="10"/>
  <c r="K15" i="10"/>
  <c r="L15" i="10"/>
  <c r="C15" i="10"/>
  <c r="C16" i="10" s="1"/>
  <c r="M9" i="10"/>
  <c r="I12" i="10"/>
  <c r="I13" i="10" s="1"/>
  <c r="I10" i="10"/>
  <c r="D9" i="10"/>
  <c r="E9" i="10"/>
  <c r="F9" i="10"/>
  <c r="G9" i="10"/>
  <c r="H9" i="10"/>
  <c r="I9" i="10"/>
  <c r="J9" i="10"/>
  <c r="J12" i="10" s="1"/>
  <c r="J13" i="10" s="1"/>
  <c r="K9" i="10"/>
  <c r="K12" i="10" s="1"/>
  <c r="K13" i="10" s="1"/>
  <c r="L9" i="10"/>
  <c r="L10" i="10" s="1"/>
  <c r="C9" i="10"/>
  <c r="C10" i="10" s="1"/>
  <c r="M6" i="10"/>
  <c r="M16" i="10" s="1"/>
  <c r="B2" i="10"/>
  <c r="K3" i="10"/>
  <c r="L3" i="10"/>
  <c r="D3" i="10"/>
  <c r="E3" i="10"/>
  <c r="F3" i="10"/>
  <c r="G3" i="10"/>
  <c r="H3" i="10"/>
  <c r="I3" i="10"/>
  <c r="J3" i="10"/>
  <c r="C3" i="10"/>
  <c r="H12" i="10" l="1"/>
  <c r="H18" i="10" s="1"/>
  <c r="H19" i="10" s="1"/>
  <c r="G12" i="10"/>
  <c r="G18" i="10" s="1"/>
  <c r="G19" i="10" s="1"/>
  <c r="D22" i="10"/>
  <c r="K10" i="10"/>
  <c r="J10" i="10"/>
  <c r="E7" i="10"/>
  <c r="L25" i="10"/>
  <c r="F16" i="10"/>
  <c r="H7" i="10"/>
  <c r="F10" i="10"/>
  <c r="C12" i="10"/>
  <c r="C13" i="10" s="1"/>
  <c r="G7" i="10"/>
  <c r="E10" i="10"/>
  <c r="H16" i="10"/>
  <c r="G16" i="10"/>
  <c r="F7" i="10"/>
  <c r="D10" i="10"/>
  <c r="L41" i="10"/>
  <c r="M36" i="10"/>
  <c r="M7" i="10"/>
  <c r="H27" i="10"/>
  <c r="E12" i="10"/>
  <c r="D16" i="10"/>
  <c r="G25" i="10"/>
  <c r="H13" i="10"/>
  <c r="G27" i="10"/>
  <c r="H25" i="10"/>
  <c r="F25" i="10"/>
  <c r="G13" i="10"/>
  <c r="F12" i="10"/>
  <c r="E16" i="10"/>
  <c r="E25" i="10"/>
  <c r="G10" i="10"/>
  <c r="D25" i="10"/>
  <c r="K18" i="10"/>
  <c r="H10" i="10"/>
  <c r="D12" i="10"/>
  <c r="L12" i="10"/>
  <c r="I18" i="10"/>
  <c r="M10" i="10"/>
  <c r="K7" i="10"/>
  <c r="H22" i="10"/>
  <c r="J18" i="10"/>
  <c r="F22" i="10"/>
  <c r="J16" i="10"/>
  <c r="G22" i="10"/>
  <c r="I7" i="10"/>
  <c r="L7" i="10"/>
  <c r="L16" i="10"/>
  <c r="L22" i="10"/>
  <c r="I22" i="10"/>
  <c r="K16" i="10"/>
  <c r="K22" i="10"/>
  <c r="J22" i="10"/>
  <c r="J7" i="10"/>
  <c r="C22" i="10"/>
  <c r="M12" i="10"/>
  <c r="C18" i="10" l="1"/>
  <c r="M41" i="10"/>
  <c r="G28" i="10"/>
  <c r="G33" i="10"/>
  <c r="H33" i="10"/>
  <c r="H28" i="10"/>
  <c r="G31" i="10"/>
  <c r="H31" i="10"/>
  <c r="I19" i="10"/>
  <c r="I27" i="10"/>
  <c r="E18" i="10"/>
  <c r="E13" i="10"/>
  <c r="M18" i="10"/>
  <c r="M13" i="10"/>
  <c r="F18" i="10"/>
  <c r="F13" i="10"/>
  <c r="L18" i="10"/>
  <c r="L13" i="10"/>
  <c r="D18" i="10"/>
  <c r="D13" i="10"/>
  <c r="K19" i="10"/>
  <c r="K27" i="10"/>
  <c r="J19" i="10"/>
  <c r="J27" i="10"/>
  <c r="C19" i="10"/>
  <c r="C27" i="10"/>
  <c r="I33" i="10" l="1"/>
  <c r="I28" i="10"/>
  <c r="I31" i="10"/>
  <c r="C33" i="10"/>
  <c r="C28" i="10"/>
  <c r="C31" i="10"/>
  <c r="K28" i="10"/>
  <c r="K33" i="10"/>
  <c r="K31" i="10"/>
  <c r="H38" i="10"/>
  <c r="H34" i="10"/>
  <c r="G38" i="10"/>
  <c r="G34" i="10"/>
  <c r="J28" i="10"/>
  <c r="J33" i="10"/>
  <c r="J31" i="10"/>
  <c r="F19" i="10"/>
  <c r="F27" i="10"/>
  <c r="L19" i="10"/>
  <c r="L27" i="10"/>
  <c r="D19" i="10"/>
  <c r="D27" i="10"/>
  <c r="M19" i="10"/>
  <c r="M27" i="10"/>
  <c r="E19" i="10"/>
  <c r="E27" i="10"/>
  <c r="D33" i="10" l="1"/>
  <c r="D28" i="10"/>
  <c r="D31" i="10"/>
  <c r="H39" i="10"/>
  <c r="H42" i="10"/>
  <c r="H44" i="10" s="1"/>
  <c r="L28" i="10"/>
  <c r="L33" i="10"/>
  <c r="L31" i="10"/>
  <c r="K38" i="10"/>
  <c r="K34" i="10"/>
  <c r="F28" i="10"/>
  <c r="F33" i="10"/>
  <c r="F31" i="10"/>
  <c r="J38" i="10"/>
  <c r="J34" i="10"/>
  <c r="C38" i="10"/>
  <c r="C42" i="10" s="1"/>
  <c r="C44" i="10" s="1"/>
  <c r="C34" i="10"/>
  <c r="E28" i="10"/>
  <c r="E33" i="10"/>
  <c r="E31" i="10"/>
  <c r="M31" i="10"/>
  <c r="M28" i="10"/>
  <c r="M33" i="10"/>
  <c r="G42" i="10"/>
  <c r="G44" i="10" s="1"/>
  <c r="I38" i="10"/>
  <c r="I34" i="10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J13" i="1"/>
  <c r="J14" i="1" s="1"/>
  <c r="B6" i="6"/>
  <c r="C17" i="2"/>
  <c r="D17" i="2"/>
  <c r="E17" i="2"/>
  <c r="F17" i="2"/>
  <c r="G17" i="2"/>
  <c r="H17" i="2"/>
  <c r="I17" i="2"/>
  <c r="J17" i="2"/>
  <c r="K17" i="2"/>
  <c r="C18" i="2"/>
  <c r="D18" i="2"/>
  <c r="D21" i="2" s="1"/>
  <c r="E18" i="2"/>
  <c r="E21" i="2" s="1"/>
  <c r="F18" i="2"/>
  <c r="F21" i="2" s="1"/>
  <c r="G18" i="2"/>
  <c r="H18" i="2"/>
  <c r="I18" i="2"/>
  <c r="J18" i="2"/>
  <c r="K18" i="2"/>
  <c r="K21" i="2" s="1"/>
  <c r="B17" i="2"/>
  <c r="C4" i="2"/>
  <c r="D4" i="2"/>
  <c r="E4" i="2"/>
  <c r="E5" i="2"/>
  <c r="E23" i="2" s="1"/>
  <c r="F4" i="2"/>
  <c r="G4" i="2"/>
  <c r="H4" i="2"/>
  <c r="I4" i="2"/>
  <c r="I5" i="2"/>
  <c r="J4" i="2"/>
  <c r="J5" i="2"/>
  <c r="J23" i="2" s="1"/>
  <c r="K4" i="2"/>
  <c r="C5" i="2"/>
  <c r="D5" i="2"/>
  <c r="D23" i="2" s="1"/>
  <c r="F5" i="2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D16" i="2" s="1"/>
  <c r="E13" i="2"/>
  <c r="E16" i="2" s="1"/>
  <c r="F13" i="2"/>
  <c r="F16" i="2" s="1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E14" i="3" s="1"/>
  <c r="F4" i="3"/>
  <c r="G4" i="3"/>
  <c r="G14" i="3" s="1"/>
  <c r="H4" i="3"/>
  <c r="L4" i="1" s="1"/>
  <c r="I4" i="3"/>
  <c r="I14" i="3" s="1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L11" i="1" s="1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20" i="2" s="1"/>
  <c r="F4" i="1"/>
  <c r="F20" i="2" s="1"/>
  <c r="G4" i="1"/>
  <c r="G6" i="1" s="1"/>
  <c r="G19" i="1" s="1"/>
  <c r="H4" i="1"/>
  <c r="I4" i="1"/>
  <c r="I6" i="1" s="1"/>
  <c r="I19" i="1" s="1"/>
  <c r="J4" i="1"/>
  <c r="L23" i="1" s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G12" i="1"/>
  <c r="G13" i="1" s="1"/>
  <c r="G14" i="1" s="1"/>
  <c r="H12" i="1"/>
  <c r="I12" i="1"/>
  <c r="I23" i="2" s="1"/>
  <c r="J12" i="1"/>
  <c r="K12" i="1"/>
  <c r="K13" i="1" s="1"/>
  <c r="K14" i="1" s="1"/>
  <c r="C15" i="1"/>
  <c r="D15" i="1"/>
  <c r="E15" i="1"/>
  <c r="F15" i="1"/>
  <c r="F14" i="1" s="1"/>
  <c r="G15" i="1"/>
  <c r="H15" i="1"/>
  <c r="I15" i="1"/>
  <c r="J15" i="1"/>
  <c r="K15" i="1"/>
  <c r="B15" i="1"/>
  <c r="H13" i="1"/>
  <c r="I13" i="1"/>
  <c r="B7" i="1"/>
  <c r="B4" i="1"/>
  <c r="B20" i="2" s="1"/>
  <c r="A1" i="1"/>
  <c r="E1" i="6"/>
  <c r="H1" i="1" s="1"/>
  <c r="E1" i="2"/>
  <c r="E1" i="3"/>
  <c r="H16" i="2"/>
  <c r="K23" i="2"/>
  <c r="F23" i="2"/>
  <c r="C23" i="2"/>
  <c r="K16" i="2"/>
  <c r="H23" i="2"/>
  <c r="K6" i="1"/>
  <c r="K19" i="1" s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J21" i="2"/>
  <c r="I21" i="2"/>
  <c r="H21" i="2"/>
  <c r="G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3" i="1"/>
  <c r="L15" i="1"/>
  <c r="B12" i="1"/>
  <c r="B13" i="1" s="1"/>
  <c r="B11" i="1"/>
  <c r="B10" i="1"/>
  <c r="B9" i="1"/>
  <c r="B8" i="1"/>
  <c r="B3" i="1"/>
  <c r="K20" i="2"/>
  <c r="D20" i="2"/>
  <c r="L14" i="1"/>
  <c r="L25" i="1"/>
  <c r="L12" i="1"/>
  <c r="L6" i="1"/>
  <c r="A1" i="3"/>
  <c r="A1" i="2"/>
  <c r="A1" i="4"/>
  <c r="H23" i="1"/>
  <c r="I23" i="1"/>
  <c r="E38" i="10" l="1"/>
  <c r="E34" i="10"/>
  <c r="J39" i="10"/>
  <c r="J42" i="10"/>
  <c r="J44" i="10" s="1"/>
  <c r="F38" i="10"/>
  <c r="F34" i="10"/>
  <c r="M34" i="10"/>
  <c r="M38" i="10"/>
  <c r="K39" i="10"/>
  <c r="K42" i="10"/>
  <c r="K44" i="10" s="1"/>
  <c r="L38" i="10"/>
  <c r="L34" i="10"/>
  <c r="I39" i="10"/>
  <c r="I42" i="10"/>
  <c r="I44" i="10" s="1"/>
  <c r="D38" i="10"/>
  <c r="D34" i="10"/>
  <c r="N11" i="1"/>
  <c r="M11" i="1"/>
  <c r="C14" i="3"/>
  <c r="I16" i="2"/>
  <c r="K24" i="2"/>
  <c r="J6" i="1"/>
  <c r="J19" i="1" s="1"/>
  <c r="K24" i="1" s="1"/>
  <c r="M24" i="1" s="1"/>
  <c r="D14" i="1"/>
  <c r="H14" i="3"/>
  <c r="G20" i="2"/>
  <c r="E24" i="2"/>
  <c r="D14" i="3"/>
  <c r="D24" i="2"/>
  <c r="E6" i="1"/>
  <c r="E19" i="1" s="1"/>
  <c r="I14" i="1"/>
  <c r="K25" i="1" s="1"/>
  <c r="M25" i="1" s="1"/>
  <c r="M14" i="1" s="1"/>
  <c r="J23" i="1"/>
  <c r="H14" i="1"/>
  <c r="J16" i="2"/>
  <c r="G16" i="2"/>
  <c r="D13" i="1"/>
  <c r="E13" i="1" s="1"/>
  <c r="E14" i="1" s="1"/>
  <c r="C6" i="1"/>
  <c r="C19" i="1" s="1"/>
  <c r="H24" i="1" s="1"/>
  <c r="L8" i="1"/>
  <c r="M8" i="1" s="1"/>
  <c r="J24" i="2"/>
  <c r="J20" i="2"/>
  <c r="I24" i="2"/>
  <c r="B14" i="1"/>
  <c r="F24" i="2"/>
  <c r="L19" i="1"/>
  <c r="L24" i="1" s="1"/>
  <c r="L7" i="1"/>
  <c r="C24" i="2"/>
  <c r="C20" i="2"/>
  <c r="H24" i="2"/>
  <c r="G24" i="2"/>
  <c r="L9" i="1"/>
  <c r="J25" i="1"/>
  <c r="M9" i="1"/>
  <c r="N9" i="1"/>
  <c r="N23" i="1"/>
  <c r="N4" i="1" s="1"/>
  <c r="I20" i="2"/>
  <c r="H20" i="2"/>
  <c r="K23" i="1"/>
  <c r="M23" i="1" s="1"/>
  <c r="M4" i="1" s="1"/>
  <c r="H6" i="1"/>
  <c r="H19" i="1" s="1"/>
  <c r="J24" i="1" s="1"/>
  <c r="F6" i="1"/>
  <c r="F19" i="1" s="1"/>
  <c r="I24" i="1" s="1"/>
  <c r="E1" i="4"/>
  <c r="L39" i="10" l="1"/>
  <c r="L42" i="10"/>
  <c r="L44" i="10" s="1"/>
  <c r="M39" i="10"/>
  <c r="M42" i="10"/>
  <c r="M44" i="10" s="1"/>
  <c r="F39" i="10"/>
  <c r="F42" i="10"/>
  <c r="F44" i="10" s="1"/>
  <c r="G39" i="10"/>
  <c r="D39" i="10"/>
  <c r="D42" i="10"/>
  <c r="D44" i="10" s="1"/>
  <c r="E39" i="10"/>
  <c r="E42" i="10"/>
  <c r="E44" i="10" s="1"/>
  <c r="I25" i="1"/>
  <c r="H25" i="1"/>
  <c r="N25" i="1" s="1"/>
  <c r="N14" i="1" s="1"/>
  <c r="N15" i="1" s="1"/>
  <c r="N24" i="1"/>
  <c r="N8" i="1"/>
  <c r="N6" i="1"/>
  <c r="N10" i="1" s="1"/>
  <c r="N12" i="1" s="1"/>
  <c r="N13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<sst xmlns="http://schemas.openxmlformats.org/spreadsheetml/2006/main" count="236" uniqueCount="141">
  <si>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</si>
  <si>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</si>
  <si>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</si>
  <si>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</si>
  <si>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</si>
  <si>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</si>
  <si>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</si>
  <si>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</si>
  <si>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</si>
  <si>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</si>
  <si>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</si>
  <si>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</si>
  <si>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</si>
  <si>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</si>
  <si>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</si>
  <si>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</si>
  <si>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</si>
  <si>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</si>
  <si>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</si>
  <si>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</si>
  <si>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</si>
  <si>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</si>
  <si>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</si>
  <si>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</si>
  <si>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</si>
  <si>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</si>
  <si>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</si>
  <si>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</si>
  <si>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</si>
  <si>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</si>
  <si>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</si>
  <si>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</si>
  <si>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</si>
  <si>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</si>
  <si>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</si>
  <si>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</si>
  <si>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</si>
  <si>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</si>
  <si>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</si>
  <si>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</si>
  <si>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</si>
  <si>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</si>
  <si>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</si>
  <si>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</si>
  <si>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</si>
  <si>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</si>
  <si>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</si>
  <si>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</si>
  <si>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</si>
  <si>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</si>
  <si>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</si>
  <si>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</si>
  <si>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</si>
  <si>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</si>
  <si>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</si>
  <si>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</si>
  <si>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</si>
  <si>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</si>
  <si>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</si>
  <si>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</si>
  <si>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</si>
  <si>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</si>
  <si>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</si>
  <si>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</si>
  <si>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</si>
  <si>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</si>
  <si>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</si>
  <si>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</si>
  <si>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</si>
  <si>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</si>
  <si>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</si>
  <si>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</si>
  <si>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</si>
  <si>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</si>
  <si>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</si>
  <si>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</si>
  <si>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</si>
  <si>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</si>
  <si>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</si>
  <si>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</si>
  <si>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Infosys</t>
  </si>
  <si>
    <t>Years</t>
  </si>
  <si>
    <t>LTM</t>
  </si>
  <si>
    <t>#</t>
  </si>
  <si>
    <t>Income Statement</t>
  </si>
  <si>
    <t>-</t>
  </si>
  <si>
    <t>COGS</t>
  </si>
  <si>
    <t>Gross Profit</t>
  </si>
  <si>
    <t>S&amp;G Exp % Sales</t>
  </si>
  <si>
    <t>EBITDA</t>
  </si>
  <si>
    <t>COGS % Sales</t>
  </si>
  <si>
    <t>Sales &amp; General Expenses</t>
  </si>
  <si>
    <t>EBITDA Margins</t>
  </si>
  <si>
    <t>Interest % Sales</t>
  </si>
  <si>
    <t>Depreciation % Sales</t>
  </si>
  <si>
    <t>Gross Margin</t>
  </si>
  <si>
    <t>Earnings Before Tax</t>
  </si>
  <si>
    <t>EBT % Sales</t>
  </si>
  <si>
    <t>Effective Tax Rate</t>
  </si>
  <si>
    <t>Net Profit</t>
  </si>
  <si>
    <t>No of Equity Shares</t>
  </si>
  <si>
    <t>Earnings per Share</t>
  </si>
  <si>
    <t>EPS Growth %</t>
  </si>
  <si>
    <t>Dividend per Share</t>
  </si>
  <si>
    <t>Dividend Payout Ratio</t>
  </si>
  <si>
    <t>Retained Earnings</t>
  </si>
  <si>
    <t>Balance Sheet</t>
  </si>
  <si>
    <t>Total Liabilities</t>
  </si>
  <si>
    <t>Fixed Assets Net Block</t>
  </si>
  <si>
    <t>Total Assests</t>
  </si>
  <si>
    <t>Total Non Current Assests</t>
  </si>
  <si>
    <t>Total Current Assests</t>
  </si>
  <si>
    <t>Check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</si>
  <si>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</si>
  <si>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</si>
  <si>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</si>
  <si>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</si>
  <si>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</si>
  <si>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</si>
  <si>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</si>
  <si>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</si>
  <si>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</si>
  <si>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</si>
  <si>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</si>
  <si>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</si>
  <si>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Acquisition of companies</t>
  </si>
  <si>
    <t>Inter corporate deposits</t>
  </si>
  <si>
    <t>Other investing items</t>
  </si>
  <si>
    <t>Proceeds from shares</t>
  </si>
  <si>
    <t>Dividends paid</t>
  </si>
  <si>
    <t>Financial liabilities</t>
  </si>
  <si>
    <t>Other financing items</t>
  </si>
  <si>
    <t>Cash from Operating Activity -</t>
  </si>
  <si>
    <t>Cash from Investing Activity -</t>
  </si>
  <si>
    <t>Cash from Financing Activity -</t>
  </si>
  <si>
    <t>Cash Flow Statements</t>
  </si>
  <si>
    <t>Operating Activities</t>
  </si>
  <si>
    <t>Cash from Operating Activities</t>
  </si>
  <si>
    <t>Investing Activities</t>
  </si>
  <si>
    <t>Cash from Investing Activities</t>
  </si>
  <si>
    <t xml:space="preserve">Financing 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</si>
</sst>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"/>
    <numFmt numFmtId="167" formatCode="&quot;₹&quot;\ #,##0.0"/>
    <numFmt numFmtId="171" formatCode="&quot;₹&quot;\ #,##0.0;\(&quot;₹&quot;\ #,##0.0\)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53">
    <xf numFmtId="0" fontId="0" fillId="0" borderId="0" xfId="0"/>
    <xf numFmtId="43" fontId="1" fillId="0" borderId="0" xfId="1" applyFont="1" applyBorder="1"/>
    <xf numFmtId="0" fontId="1" fillId="0" borderId="0" xfId="0" applyFont="1"/>
    <xf numFmtId="0" fontId="6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7" fillId="0" borderId="0" xfId="1" applyNumberFormat="1" applyFont="1" applyFill="1" applyBorder="1"/>
    <xf numFmtId="0" fontId="7" fillId="0" borderId="0" xfId="0" applyFont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0" fontId="0" fillId="6" borderId="0" xfId="0" applyFill="1"/>
    <xf numFmtId="0" fontId="1" fillId="6" borderId="0" xfId="0" applyFont="1" applyFill="1"/>
    <xf numFmtId="0" fontId="2" fillId="7" borderId="0" xfId="0" applyFont="1" applyFill="1"/>
    <xf numFmtId="17" fontId="2" fillId="7" borderId="0" xfId="0" applyNumberFormat="1" applyFont="1" applyFill="1"/>
    <xf numFmtId="0" fontId="2" fillId="7" borderId="0" xfId="0" applyFont="1" applyFill="1" applyAlignment="1">
      <alignment horizontal="center"/>
    </xf>
    <xf numFmtId="166" fontId="0" fillId="6" borderId="0" xfId="0" applyNumberFormat="1" applyFill="1"/>
    <xf numFmtId="167" fontId="0" fillId="6" borderId="0" xfId="0" applyNumberFormat="1" applyFill="1"/>
    <xf numFmtId="171" fontId="0" fillId="6" borderId="0" xfId="0" applyNumberFormat="1" applyFill="1"/>
    <xf numFmtId="43" fontId="1" fillId="8" borderId="0" xfId="1" applyFont="1" applyFill="1" applyBorder="1"/>
    <xf numFmtId="0" fontId="0" fillId="8" borderId="0" xfId="0" applyFill="1"/>
    <xf numFmtId="10" fontId="0" fillId="6" borderId="0" xfId="0" applyNumberFormat="1" applyFill="1"/>
    <xf numFmtId="0" fontId="8" fillId="6" borderId="0" xfId="0" applyFont="1" applyFill="1"/>
    <xf numFmtId="0" fontId="8" fillId="6" borderId="0" xfId="0" applyFont="1" applyFill="1" applyAlignment="1">
      <alignment horizontal="right"/>
    </xf>
    <xf numFmtId="10" fontId="8" fillId="6" borderId="0" xfId="0" applyNumberFormat="1" applyFont="1" applyFill="1"/>
    <xf numFmtId="17" fontId="2" fillId="7" borderId="0" xfId="0" applyNumberFormat="1" applyFont="1" applyFill="1" applyAlignment="1">
      <alignment horizontal="right"/>
    </xf>
    <xf numFmtId="0" fontId="2" fillId="6" borderId="0" xfId="0" applyFont="1" applyFill="1"/>
    <xf numFmtId="17" fontId="2" fillId="6" borderId="0" xfId="0" applyNumberFormat="1" applyFont="1" applyFill="1"/>
    <xf numFmtId="17" fontId="2" fillId="6" borderId="0" xfId="0" applyNumberFormat="1" applyFont="1" applyFill="1" applyAlignment="1">
      <alignment horizontal="right"/>
    </xf>
    <xf numFmtId="10" fontId="8" fillId="6" borderId="0" xfId="0" applyNumberFormat="1" applyFont="1" applyFill="1" applyAlignment="1">
      <alignment horizontal="right"/>
    </xf>
    <xf numFmtId="166" fontId="0" fillId="6" borderId="0" xfId="0" applyNumberFormat="1" applyFill="1" applyAlignment="1">
      <alignment horizontal="right"/>
    </xf>
    <xf numFmtId="171" fontId="1" fillId="6" borderId="0" xfId="0" applyNumberFormat="1" applyFont="1" applyFill="1"/>
    <xf numFmtId="167" fontId="1" fillId="6" borderId="0" xfId="0" applyNumberFormat="1" applyFont="1" applyFill="1"/>
    <xf numFmtId="17" fontId="9" fillId="6" borderId="0" xfId="0" applyNumberFormat="1" applyFont="1" applyFill="1" applyAlignment="1">
      <alignment horizontal="right" vertical="center" wrapText="1"/>
    </xf>
    <xf numFmtId="0" fontId="10" fillId="6" borderId="0" xfId="0" applyFont="1" applyFill="1" applyAlignment="1">
      <alignment horizontal="left" vertical="center"/>
    </xf>
    <xf numFmtId="3" fontId="10" fillId="6" borderId="0" xfId="0" applyNumberFormat="1" applyFont="1" applyFill="1" applyAlignment="1">
      <alignment horizontal="right" vertical="center" wrapText="1"/>
    </xf>
    <xf numFmtId="0" fontId="1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right" vertical="center" wrapText="1"/>
    </xf>
    <xf numFmtId="3" fontId="11" fillId="6" borderId="0" xfId="0" applyNumberFormat="1" applyFont="1" applyFill="1" applyAlignment="1">
      <alignment horizontal="right" vertical="center" wrapText="1"/>
    </xf>
    <xf numFmtId="0" fontId="10" fillId="6" borderId="0" xfId="0" applyFont="1" applyFill="1" applyAlignment="1">
      <alignment horizontal="right" vertical="center" wrapText="1"/>
    </xf>
    <xf numFmtId="17" fontId="0" fillId="6" borderId="0" xfId="0" applyNumberFormat="1" applyFont="1" applyFill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BEE2AC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AC2C-7FFF-4B86-A34B-98DF1126C398}">
  <sheetPr codeName="Sheet7">
    <tabColor theme="7" tint="-0.249977111117893"/>
  </sheetPr>
  <dimension ref="A2:M98"/>
  <sheetViews>
    <sheetView tabSelected="1"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F85" sqref="F85"/>
    </sheetView>
  </sheetViews>
  <sheetFormatPr defaultRowHeight="14.5" x14ac:dyDescent="0.35"/>
  <cols>
    <col min="1" max="1" width="2.1796875" style="23" customWidth="1"/>
    <col min="2" max="2" width="26.54296875" style="23" bestFit="1" customWidth="1"/>
    <col min="3" max="13" width="12.6328125" style="23" customWidth="1"/>
    <col min="14" max="16384" width="8.7265625" style="23"/>
  </cols>
  <sheetData>
    <row r="2" spans="1:13" x14ac:dyDescent="0.35">
      <c r="B2" s="27" t="str">
        <f>"Historical Financial Statement"&amp;" - "&amp;'Data Sheet'!B1</f>
        <v>Historical Financial Statement - INFOSYS LTD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35">
      <c r="B3" s="25" t="s">
        <v>81</v>
      </c>
      <c r="C3" s="26">
        <f>'Data Sheet'!B16</f>
        <v>42094</v>
      </c>
      <c r="D3" s="26">
        <f>'Data Sheet'!C16</f>
        <v>42460</v>
      </c>
      <c r="E3" s="26">
        <f>'Data Sheet'!D16</f>
        <v>42825</v>
      </c>
      <c r="F3" s="26">
        <f>'Data Sheet'!E16</f>
        <v>43190</v>
      </c>
      <c r="G3" s="26">
        <f>'Data Sheet'!F16</f>
        <v>43555</v>
      </c>
      <c r="H3" s="26">
        <f>'Data Sheet'!G16</f>
        <v>43921</v>
      </c>
      <c r="I3" s="26">
        <f>'Data Sheet'!H16</f>
        <v>44286</v>
      </c>
      <c r="J3" s="26">
        <f>'Data Sheet'!I16</f>
        <v>44651</v>
      </c>
      <c r="K3" s="26">
        <f>'Data Sheet'!J16</f>
        <v>45016</v>
      </c>
      <c r="L3" s="26">
        <f>'Data Sheet'!K16</f>
        <v>45382</v>
      </c>
      <c r="M3" s="37" t="s">
        <v>82</v>
      </c>
    </row>
    <row r="4" spans="1:13" x14ac:dyDescent="0.3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40"/>
    </row>
    <row r="5" spans="1:13" x14ac:dyDescent="0.35">
      <c r="A5" s="23" t="s">
        <v>83</v>
      </c>
      <c r="B5" s="31" t="s">
        <v>84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35">
      <c r="B6" s="23" t="s">
        <v>5</v>
      </c>
      <c r="C6" s="30">
        <f>IFERROR('Data Sheet'!B17,0)</f>
        <v>53319</v>
      </c>
      <c r="D6" s="30">
        <f>IFERROR('Data Sheet'!C17,0)</f>
        <v>62441</v>
      </c>
      <c r="E6" s="30">
        <f>IFERROR('Data Sheet'!D17,0)</f>
        <v>68484</v>
      </c>
      <c r="F6" s="30">
        <f>IFERROR('Data Sheet'!E17,0)</f>
        <v>70522</v>
      </c>
      <c r="G6" s="30">
        <f>IFERROR('Data Sheet'!F17,0)</f>
        <v>82675</v>
      </c>
      <c r="H6" s="30">
        <f>IFERROR('Data Sheet'!G17,0)</f>
        <v>90791</v>
      </c>
      <c r="I6" s="30">
        <f>IFERROR('Data Sheet'!H17,0)</f>
        <v>100472</v>
      </c>
      <c r="J6" s="30">
        <f>IFERROR('Data Sheet'!I17,0)</f>
        <v>121641</v>
      </c>
      <c r="K6" s="30">
        <f>IFERROR('Data Sheet'!J17,0)</f>
        <v>146767</v>
      </c>
      <c r="L6" s="30">
        <f>IFERROR('Data Sheet'!K17,0)</f>
        <v>153670</v>
      </c>
      <c r="M6" s="30">
        <f>IFERROR(SUM('Data Sheet'!H42:K42),0)</f>
        <v>157045</v>
      </c>
    </row>
    <row r="7" spans="1:13" x14ac:dyDescent="0.35">
      <c r="B7" s="34" t="s">
        <v>21</v>
      </c>
      <c r="C7" s="35" t="s">
        <v>85</v>
      </c>
      <c r="D7" s="36">
        <f>D6/C6-1</f>
        <v>0.17108347868489648</v>
      </c>
      <c r="E7" s="36">
        <f t="shared" ref="E7:M7" si="0">E6/D6-1</f>
        <v>9.67793597155715E-2</v>
      </c>
      <c r="F7" s="36">
        <f t="shared" si="0"/>
        <v>2.9758775772443125E-2</v>
      </c>
      <c r="G7" s="36">
        <f t="shared" si="0"/>
        <v>0.17232920223476356</v>
      </c>
      <c r="H7" s="36">
        <f t="shared" si="0"/>
        <v>9.8167523435137571E-2</v>
      </c>
      <c r="I7" s="36">
        <f t="shared" si="0"/>
        <v>0.10662951173574475</v>
      </c>
      <c r="J7" s="36">
        <f t="shared" si="0"/>
        <v>0.21069551715900947</v>
      </c>
      <c r="K7" s="36">
        <f t="shared" si="0"/>
        <v>0.20655864387829759</v>
      </c>
      <c r="L7" s="36">
        <f t="shared" si="0"/>
        <v>4.7033733741236095E-2</v>
      </c>
      <c r="M7" s="36">
        <f t="shared" si="0"/>
        <v>2.1962647231079657E-2</v>
      </c>
    </row>
    <row r="9" spans="1:13" x14ac:dyDescent="0.35">
      <c r="B9" s="23" t="s">
        <v>86</v>
      </c>
      <c r="C9" s="30">
        <f>IFERROR(SUM('Data Sheet'!B20:B22),0)</f>
        <v>34009</v>
      </c>
      <c r="D9" s="30">
        <f>IFERROR(SUM('Data Sheet'!C20:C22),0)</f>
        <v>40492</v>
      </c>
      <c r="E9" s="30">
        <f>IFERROR(SUM('Data Sheet'!D20:D22),0)</f>
        <v>44609</v>
      </c>
      <c r="F9" s="30">
        <f>IFERROR(SUM('Data Sheet'!E20:E22),0)</f>
        <v>46395</v>
      </c>
      <c r="G9" s="30">
        <f>IFERROR(SUM('Data Sheet'!F20:F22),0)</f>
        <v>55446</v>
      </c>
      <c r="H9" s="30">
        <f>IFERROR(SUM('Data Sheet'!G20:G22),0)</f>
        <v>62210</v>
      </c>
      <c r="I9" s="30">
        <f>IFERROR(SUM('Data Sheet'!H20:H22),0)</f>
        <v>68490</v>
      </c>
      <c r="J9" s="30">
        <f>IFERROR(SUM('Data Sheet'!I20:I22),0)</f>
        <v>84819</v>
      </c>
      <c r="K9" s="30">
        <f>IFERROR(SUM('Data Sheet'!J20:J22),0)</f>
        <v>104880</v>
      </c>
      <c r="L9" s="30">
        <f>IFERROR(SUM('Data Sheet'!K20:K22),0)</f>
        <v>110030</v>
      </c>
      <c r="M9" s="30">
        <f>IFERROR(SUM('Data Sheet'!H43:K43),0)</f>
        <v>119878</v>
      </c>
    </row>
    <row r="10" spans="1:13" x14ac:dyDescent="0.35">
      <c r="B10" s="34" t="s">
        <v>90</v>
      </c>
      <c r="C10" s="36">
        <f>C9/C6</f>
        <v>0.63784016954556533</v>
      </c>
      <c r="D10" s="36">
        <f t="shared" ref="D10:M10" si="1">D9/D6</f>
        <v>0.64848416905558848</v>
      </c>
      <c r="E10" s="36">
        <f t="shared" si="1"/>
        <v>0.65137842415746738</v>
      </c>
      <c r="F10" s="36">
        <f t="shared" si="1"/>
        <v>0.65787981055557132</v>
      </c>
      <c r="G10" s="36">
        <f t="shared" si="1"/>
        <v>0.67065013607499246</v>
      </c>
      <c r="H10" s="36">
        <f t="shared" si="1"/>
        <v>0.68520007489729162</v>
      </c>
      <c r="I10" s="36">
        <f t="shared" si="1"/>
        <v>0.68168245879448996</v>
      </c>
      <c r="J10" s="36">
        <f t="shared" si="1"/>
        <v>0.69728956519594543</v>
      </c>
      <c r="K10" s="36">
        <f t="shared" si="1"/>
        <v>0.71460205632056251</v>
      </c>
      <c r="L10" s="36">
        <f t="shared" si="1"/>
        <v>0.71601483698835167</v>
      </c>
      <c r="M10" s="36">
        <f t="shared" si="1"/>
        <v>0.7633353497405202</v>
      </c>
    </row>
    <row r="12" spans="1:13" x14ac:dyDescent="0.35">
      <c r="B12" s="23" t="s">
        <v>87</v>
      </c>
      <c r="C12" s="29">
        <f>C6-C9</f>
        <v>19310</v>
      </c>
      <c r="D12" s="29">
        <f t="shared" ref="D12:M12" si="2">D6-D9</f>
        <v>21949</v>
      </c>
      <c r="E12" s="29">
        <f t="shared" si="2"/>
        <v>23875</v>
      </c>
      <c r="F12" s="29">
        <f t="shared" si="2"/>
        <v>24127</v>
      </c>
      <c r="G12" s="29">
        <f t="shared" si="2"/>
        <v>27229</v>
      </c>
      <c r="H12" s="29">
        <f t="shared" si="2"/>
        <v>28581</v>
      </c>
      <c r="I12" s="29">
        <f t="shared" si="2"/>
        <v>31982</v>
      </c>
      <c r="J12" s="29">
        <f t="shared" si="2"/>
        <v>36822</v>
      </c>
      <c r="K12" s="29">
        <f t="shared" si="2"/>
        <v>41887</v>
      </c>
      <c r="L12" s="29">
        <f t="shared" si="2"/>
        <v>43640</v>
      </c>
      <c r="M12" s="29">
        <f t="shared" si="2"/>
        <v>37167</v>
      </c>
    </row>
    <row r="13" spans="1:13" x14ac:dyDescent="0.35">
      <c r="B13" s="34" t="s">
        <v>95</v>
      </c>
      <c r="C13" s="36">
        <f>C12/C6</f>
        <v>0.36215983045443462</v>
      </c>
      <c r="D13" s="36">
        <f t="shared" ref="D13:M13" si="3">D12/D6</f>
        <v>0.35151583094441152</v>
      </c>
      <c r="E13" s="36">
        <f t="shared" si="3"/>
        <v>0.34862157584253256</v>
      </c>
      <c r="F13" s="36">
        <f t="shared" si="3"/>
        <v>0.34212018944442868</v>
      </c>
      <c r="G13" s="36">
        <f t="shared" si="3"/>
        <v>0.32934986392500754</v>
      </c>
      <c r="H13" s="36">
        <f t="shared" si="3"/>
        <v>0.31479992510270843</v>
      </c>
      <c r="I13" s="36">
        <f t="shared" si="3"/>
        <v>0.31831754120550998</v>
      </c>
      <c r="J13" s="36">
        <f t="shared" si="3"/>
        <v>0.30271043480405457</v>
      </c>
      <c r="K13" s="36">
        <f t="shared" si="3"/>
        <v>0.28539794367943749</v>
      </c>
      <c r="L13" s="36">
        <f t="shared" si="3"/>
        <v>0.28398516301164833</v>
      </c>
      <c r="M13" s="36">
        <f t="shared" si="3"/>
        <v>0.23666465025947978</v>
      </c>
    </row>
    <row r="15" spans="1:13" x14ac:dyDescent="0.35">
      <c r="B15" s="23" t="s">
        <v>91</v>
      </c>
      <c r="C15" s="29">
        <f>IFERROR(SUM('Data Sheet'!B23:B24),0)</f>
        <v>4427</v>
      </c>
      <c r="D15" s="29">
        <f>IFERROR(SUM('Data Sheet'!C23:C24),0)</f>
        <v>4870</v>
      </c>
      <c r="E15" s="29">
        <f>IFERROR(SUM('Data Sheet'!D23:D24),0)</f>
        <v>5271</v>
      </c>
      <c r="F15" s="29">
        <f>IFERROR(SUM('Data Sheet'!E23:E24),0)</f>
        <v>5305</v>
      </c>
      <c r="G15" s="29">
        <f>IFERROR(SUM('Data Sheet'!F23:F24),0)</f>
        <v>7059</v>
      </c>
      <c r="H15" s="29">
        <f>IFERROR(SUM('Data Sheet'!G23:G24),0)</f>
        <v>6314</v>
      </c>
      <c r="I15" s="29">
        <f>IFERROR(SUM('Data Sheet'!H23:H24),0)</f>
        <v>4093</v>
      </c>
      <c r="J15" s="29">
        <f>IFERROR(SUM('Data Sheet'!I23:I24),0)</f>
        <v>5331</v>
      </c>
      <c r="K15" s="29">
        <f>IFERROR(SUM('Data Sheet'!J23:J24),0)</f>
        <v>6757</v>
      </c>
      <c r="L15" s="29">
        <f>IFERROR(SUM('Data Sheet'!K23:K24),0)</f>
        <v>7215</v>
      </c>
    </row>
    <row r="16" spans="1:13" x14ac:dyDescent="0.35">
      <c r="B16" s="34" t="s">
        <v>88</v>
      </c>
      <c r="C16" s="36">
        <f>C15/C6</f>
        <v>8.3028563926555263E-2</v>
      </c>
      <c r="D16" s="36">
        <f t="shared" ref="D16:M16" si="4">D15/D6</f>
        <v>7.7993625982927889E-2</v>
      </c>
      <c r="E16" s="36">
        <f t="shared" si="4"/>
        <v>7.6966882775538814E-2</v>
      </c>
      <c r="F16" s="36">
        <f t="shared" si="4"/>
        <v>7.5224752559484978E-2</v>
      </c>
      <c r="G16" s="36">
        <f t="shared" si="4"/>
        <v>8.5382521923193233E-2</v>
      </c>
      <c r="H16" s="36">
        <f t="shared" si="4"/>
        <v>6.9544338095185648E-2</v>
      </c>
      <c r="I16" s="36">
        <f t="shared" si="4"/>
        <v>4.0737717971176049E-2</v>
      </c>
      <c r="J16" s="36">
        <f t="shared" si="4"/>
        <v>4.3825683774385282E-2</v>
      </c>
      <c r="K16" s="36">
        <f t="shared" si="4"/>
        <v>4.6038959711651804E-2</v>
      </c>
      <c r="L16" s="36">
        <f t="shared" si="4"/>
        <v>4.6951259191774584E-2</v>
      </c>
      <c r="M16" s="36">
        <f t="shared" si="4"/>
        <v>0</v>
      </c>
    </row>
    <row r="18" spans="2:13" x14ac:dyDescent="0.35">
      <c r="B18" s="23" t="s">
        <v>89</v>
      </c>
      <c r="C18" s="29">
        <f>C12-C15</f>
        <v>14883</v>
      </c>
      <c r="D18" s="29">
        <f t="shared" ref="D18:M18" si="5">D12-D15</f>
        <v>17079</v>
      </c>
      <c r="E18" s="29">
        <f t="shared" si="5"/>
        <v>18604</v>
      </c>
      <c r="F18" s="29">
        <f t="shared" si="5"/>
        <v>18822</v>
      </c>
      <c r="G18" s="29">
        <f t="shared" si="5"/>
        <v>20170</v>
      </c>
      <c r="H18" s="29">
        <f t="shared" si="5"/>
        <v>22267</v>
      </c>
      <c r="I18" s="29">
        <f t="shared" si="5"/>
        <v>27889</v>
      </c>
      <c r="J18" s="29">
        <f t="shared" si="5"/>
        <v>31491</v>
      </c>
      <c r="K18" s="29">
        <f t="shared" si="5"/>
        <v>35130</v>
      </c>
      <c r="L18" s="29">
        <f t="shared" si="5"/>
        <v>36425</v>
      </c>
      <c r="M18" s="29">
        <f t="shared" si="5"/>
        <v>37167</v>
      </c>
    </row>
    <row r="19" spans="2:13" x14ac:dyDescent="0.35">
      <c r="B19" s="34" t="s">
        <v>92</v>
      </c>
      <c r="C19" s="36">
        <f>C18/C6</f>
        <v>0.27913126652787934</v>
      </c>
      <c r="D19" s="36">
        <f t="shared" ref="D19:M19" si="6">D18/D6</f>
        <v>0.27352220496148366</v>
      </c>
      <c r="E19" s="36">
        <f t="shared" si="6"/>
        <v>0.27165469306699375</v>
      </c>
      <c r="F19" s="36">
        <f t="shared" si="6"/>
        <v>0.26689543688494372</v>
      </c>
      <c r="G19" s="36">
        <f t="shared" si="6"/>
        <v>0.24396734200181433</v>
      </c>
      <c r="H19" s="36">
        <f t="shared" si="6"/>
        <v>0.24525558700752279</v>
      </c>
      <c r="I19" s="36">
        <f t="shared" si="6"/>
        <v>0.27757982323433394</v>
      </c>
      <c r="J19" s="36">
        <f t="shared" si="6"/>
        <v>0.25888475102966929</v>
      </c>
      <c r="K19" s="36">
        <f t="shared" si="6"/>
        <v>0.23935898396778568</v>
      </c>
      <c r="L19" s="36">
        <f t="shared" si="6"/>
        <v>0.23703390381987374</v>
      </c>
      <c r="M19" s="36">
        <f t="shared" si="6"/>
        <v>0.23666465025947978</v>
      </c>
    </row>
    <row r="21" spans="2:13" x14ac:dyDescent="0.35">
      <c r="B21" s="23" t="s">
        <v>10</v>
      </c>
      <c r="C21" s="29">
        <f>IFERROR('Data Sheet'!B27,0)</f>
        <v>12</v>
      </c>
      <c r="D21" s="29">
        <f>IFERROR('Data Sheet'!C27,0)</f>
        <v>0</v>
      </c>
      <c r="E21" s="29">
        <f>IFERROR('Data Sheet'!D27,0)</f>
        <v>0</v>
      </c>
      <c r="F21" s="29">
        <f>IFERROR('Data Sheet'!E27,0)</f>
        <v>0</v>
      </c>
      <c r="G21" s="29">
        <f>IFERROR('Data Sheet'!F27,0)</f>
        <v>0</v>
      </c>
      <c r="H21" s="29">
        <f>IFERROR('Data Sheet'!G27,0)</f>
        <v>170</v>
      </c>
      <c r="I21" s="29">
        <f>IFERROR('Data Sheet'!H27,0)</f>
        <v>195</v>
      </c>
      <c r="J21" s="29">
        <f>IFERROR('Data Sheet'!I27,0)</f>
        <v>200</v>
      </c>
      <c r="K21" s="29">
        <f>IFERROR('Data Sheet'!J27,0)</f>
        <v>284</v>
      </c>
      <c r="L21" s="29">
        <f>IFERROR('Data Sheet'!K27,0)</f>
        <v>470</v>
      </c>
      <c r="M21" s="29">
        <f>IFERROR(SUM('Data Sheet'!H46:K46),0)</f>
        <v>454</v>
      </c>
    </row>
    <row r="22" spans="2:13" x14ac:dyDescent="0.35">
      <c r="B22" s="34" t="s">
        <v>93</v>
      </c>
      <c r="C22" s="36">
        <f>C21/C6</f>
        <v>2.2506048500534517E-4</v>
      </c>
      <c r="D22" s="36">
        <f t="shared" ref="D22:M22" si="7">D21/D6</f>
        <v>0</v>
      </c>
      <c r="E22" s="36">
        <f t="shared" si="7"/>
        <v>0</v>
      </c>
      <c r="F22" s="36">
        <f t="shared" si="7"/>
        <v>0</v>
      </c>
      <c r="G22" s="36">
        <f t="shared" si="7"/>
        <v>0</v>
      </c>
      <c r="H22" s="36">
        <f t="shared" si="7"/>
        <v>1.8724322895441179E-3</v>
      </c>
      <c r="I22" s="36">
        <f t="shared" si="7"/>
        <v>1.9408392387928975E-3</v>
      </c>
      <c r="J22" s="36">
        <f t="shared" si="7"/>
        <v>1.6441824713706726E-3</v>
      </c>
      <c r="K22" s="36">
        <f t="shared" si="7"/>
        <v>1.9350398931639945E-3</v>
      </c>
      <c r="L22" s="36">
        <f t="shared" si="7"/>
        <v>3.0585019847725646E-3</v>
      </c>
      <c r="M22" s="36">
        <f t="shared" si="7"/>
        <v>2.8908911458499155E-3</v>
      </c>
    </row>
    <row r="24" spans="2:13" x14ac:dyDescent="0.35">
      <c r="B24" s="23" t="s">
        <v>9</v>
      </c>
      <c r="C24" s="29">
        <f>IFERROR('Data Sheet'!B26,0)</f>
        <v>1017</v>
      </c>
      <c r="D24" s="29">
        <f>IFERROR('Data Sheet'!C26,0)</f>
        <v>1459</v>
      </c>
      <c r="E24" s="29">
        <f>IFERROR('Data Sheet'!D26,0)</f>
        <v>1703</v>
      </c>
      <c r="F24" s="29">
        <f>IFERROR('Data Sheet'!E26,0)</f>
        <v>1863</v>
      </c>
      <c r="G24" s="29">
        <f>IFERROR('Data Sheet'!F26,0)</f>
        <v>2011</v>
      </c>
      <c r="H24" s="29">
        <f>IFERROR('Data Sheet'!G26,0)</f>
        <v>2893</v>
      </c>
      <c r="I24" s="29">
        <f>IFERROR('Data Sheet'!H26,0)</f>
        <v>3267</v>
      </c>
      <c r="J24" s="29">
        <f>IFERROR('Data Sheet'!I26,0)</f>
        <v>3476</v>
      </c>
      <c r="K24" s="29">
        <f>IFERROR('Data Sheet'!J26,0)</f>
        <v>4225</v>
      </c>
      <c r="L24" s="29">
        <f>IFERROR('Data Sheet'!K26,0)</f>
        <v>4678</v>
      </c>
      <c r="M24" s="29">
        <f>IFERROR(SUM('Data Sheet'!H45:K45),0)</f>
        <v>4648</v>
      </c>
    </row>
    <row r="25" spans="2:13" x14ac:dyDescent="0.35">
      <c r="B25" s="34" t="s">
        <v>94</v>
      </c>
      <c r="C25" s="36">
        <f>C24/C6</f>
        <v>1.9073876104203004E-2</v>
      </c>
      <c r="D25" s="36">
        <f t="shared" ref="D25:M25" si="8">D24/D6</f>
        <v>2.3366057558335068E-2</v>
      </c>
      <c r="E25" s="36">
        <f t="shared" si="8"/>
        <v>2.4867122247532271E-2</v>
      </c>
      <c r="F25" s="36">
        <f t="shared" si="8"/>
        <v>2.6417288222115084E-2</v>
      </c>
      <c r="G25" s="36">
        <f t="shared" si="8"/>
        <v>2.4324160870879952E-2</v>
      </c>
      <c r="H25" s="36">
        <f t="shared" si="8"/>
        <v>3.1864391845006661E-2</v>
      </c>
      <c r="I25" s="36">
        <f t="shared" si="8"/>
        <v>3.2516522016084085E-2</v>
      </c>
      <c r="J25" s="36">
        <f t="shared" si="8"/>
        <v>2.8575891352422292E-2</v>
      </c>
      <c r="K25" s="36">
        <f t="shared" si="8"/>
        <v>2.8787125171189708E-2</v>
      </c>
      <c r="L25" s="36">
        <f t="shared" si="8"/>
        <v>3.0441855925034164E-2</v>
      </c>
      <c r="M25" s="36">
        <f t="shared" si="8"/>
        <v>2.9596612435926008E-2</v>
      </c>
    </row>
    <row r="27" spans="2:13" x14ac:dyDescent="0.35">
      <c r="B27" s="23" t="s">
        <v>96</v>
      </c>
      <c r="C27" s="29">
        <f>IFERROR(C18-SUM(C24,C21),0)</f>
        <v>13854</v>
      </c>
      <c r="D27" s="29">
        <f t="shared" ref="D27:M27" si="9">IFERROR(D18-SUM(D24,D21),0)</f>
        <v>15620</v>
      </c>
      <c r="E27" s="29">
        <f t="shared" si="9"/>
        <v>16901</v>
      </c>
      <c r="F27" s="29">
        <f t="shared" si="9"/>
        <v>16959</v>
      </c>
      <c r="G27" s="29">
        <f t="shared" si="9"/>
        <v>18159</v>
      </c>
      <c r="H27" s="29">
        <f t="shared" si="9"/>
        <v>19204</v>
      </c>
      <c r="I27" s="29">
        <f t="shared" si="9"/>
        <v>24427</v>
      </c>
      <c r="J27" s="29">
        <f t="shared" si="9"/>
        <v>27815</v>
      </c>
      <c r="K27" s="29">
        <f t="shared" si="9"/>
        <v>30621</v>
      </c>
      <c r="L27" s="29">
        <f t="shared" si="9"/>
        <v>31277</v>
      </c>
      <c r="M27" s="29">
        <f t="shared" si="9"/>
        <v>32065</v>
      </c>
    </row>
    <row r="28" spans="2:13" x14ac:dyDescent="0.35">
      <c r="B28" s="34" t="s">
        <v>97</v>
      </c>
      <c r="C28" s="36">
        <f>C27/C6</f>
        <v>0.259832329938671</v>
      </c>
      <c r="D28" s="36">
        <f t="shared" ref="D28:M28" si="10">D27/D6</f>
        <v>0.25015614740314857</v>
      </c>
      <c r="E28" s="36">
        <f t="shared" si="10"/>
        <v>0.24678757081946148</v>
      </c>
      <c r="F28" s="36">
        <f t="shared" si="10"/>
        <v>0.24047814866282863</v>
      </c>
      <c r="G28" s="36">
        <f t="shared" si="10"/>
        <v>0.2196431811309344</v>
      </c>
      <c r="H28" s="36">
        <f t="shared" si="10"/>
        <v>0.211518762872972</v>
      </c>
      <c r="I28" s="36">
        <f t="shared" si="10"/>
        <v>0.24312246197945697</v>
      </c>
      <c r="J28" s="36">
        <f t="shared" si="10"/>
        <v>0.2286646772058763</v>
      </c>
      <c r="K28" s="36">
        <f t="shared" si="10"/>
        <v>0.20863681890343197</v>
      </c>
      <c r="L28" s="36">
        <f t="shared" si="10"/>
        <v>0.20353354591006703</v>
      </c>
      <c r="M28" s="36">
        <f t="shared" si="10"/>
        <v>0.20417714667770384</v>
      </c>
    </row>
    <row r="30" spans="2:13" x14ac:dyDescent="0.35">
      <c r="B30" s="23" t="s">
        <v>12</v>
      </c>
      <c r="C30" s="29">
        <f>IFERROR('Data Sheet'!B29,0)</f>
        <v>4911</v>
      </c>
      <c r="D30" s="29">
        <f>IFERROR('Data Sheet'!C29,0)</f>
        <v>5251</v>
      </c>
      <c r="E30" s="29">
        <f>IFERROR('Data Sheet'!D29,0)</f>
        <v>5598</v>
      </c>
      <c r="F30" s="29">
        <f>IFERROR('Data Sheet'!E29,0)</f>
        <v>4241</v>
      </c>
      <c r="G30" s="29">
        <f>IFERROR('Data Sheet'!F29,0)</f>
        <v>5631</v>
      </c>
      <c r="H30" s="29">
        <f>IFERROR('Data Sheet'!G29,0)</f>
        <v>5368</v>
      </c>
      <c r="I30" s="29">
        <f>IFERROR('Data Sheet'!H29,0)</f>
        <v>7205</v>
      </c>
      <c r="J30" s="29">
        <f>IFERROR('Data Sheet'!I29,0)</f>
        <v>7964</v>
      </c>
      <c r="K30" s="29">
        <f>IFERROR('Data Sheet'!J29,0)</f>
        <v>9214</v>
      </c>
      <c r="L30" s="29">
        <f>IFERROR('Data Sheet'!K29,0)</f>
        <v>9740</v>
      </c>
      <c r="M30" s="29">
        <f>IFERROR(SUM('Data Sheet'!H48:K48),0)</f>
        <v>10155</v>
      </c>
    </row>
    <row r="31" spans="2:13" x14ac:dyDescent="0.35">
      <c r="B31" s="34" t="s">
        <v>98</v>
      </c>
      <c r="C31" s="36">
        <f>C30/C27</f>
        <v>0.35448245993936767</v>
      </c>
      <c r="D31" s="36">
        <f t="shared" ref="D31:M31" si="11">D30/D27</f>
        <v>0.33617157490396926</v>
      </c>
      <c r="E31" s="36">
        <f t="shared" si="11"/>
        <v>0.33122300455594345</v>
      </c>
      <c r="F31" s="36">
        <f t="shared" si="11"/>
        <v>0.25007370717613064</v>
      </c>
      <c r="G31" s="36">
        <f t="shared" si="11"/>
        <v>0.31009416818106722</v>
      </c>
      <c r="H31" s="36">
        <f t="shared" si="11"/>
        <v>0.27952509893772132</v>
      </c>
      <c r="I31" s="36">
        <f t="shared" si="11"/>
        <v>0.29496049453473616</v>
      </c>
      <c r="J31" s="36">
        <f t="shared" si="11"/>
        <v>0.28632033075678592</v>
      </c>
      <c r="K31" s="36">
        <f t="shared" si="11"/>
        <v>0.30090460794879331</v>
      </c>
      <c r="L31" s="36">
        <f t="shared" si="11"/>
        <v>0.31141094094702176</v>
      </c>
      <c r="M31" s="36">
        <f t="shared" si="11"/>
        <v>0.31670045220645565</v>
      </c>
    </row>
    <row r="33" spans="1:13" x14ac:dyDescent="0.35">
      <c r="B33" s="23" t="s">
        <v>99</v>
      </c>
      <c r="C33" s="29">
        <f>C27-C30</f>
        <v>8943</v>
      </c>
      <c r="D33" s="29">
        <f t="shared" ref="D33:M33" si="12">D27-D30</f>
        <v>10369</v>
      </c>
      <c r="E33" s="29">
        <f t="shared" si="12"/>
        <v>11303</v>
      </c>
      <c r="F33" s="29">
        <f t="shared" si="12"/>
        <v>12718</v>
      </c>
      <c r="G33" s="29">
        <f t="shared" si="12"/>
        <v>12528</v>
      </c>
      <c r="H33" s="29">
        <f t="shared" si="12"/>
        <v>13836</v>
      </c>
      <c r="I33" s="29">
        <f t="shared" si="12"/>
        <v>17222</v>
      </c>
      <c r="J33" s="29">
        <f t="shared" si="12"/>
        <v>19851</v>
      </c>
      <c r="K33" s="29">
        <f t="shared" si="12"/>
        <v>21407</v>
      </c>
      <c r="L33" s="29">
        <f t="shared" si="12"/>
        <v>21537</v>
      </c>
      <c r="M33" s="29">
        <f t="shared" si="12"/>
        <v>21910</v>
      </c>
    </row>
    <row r="34" spans="1:13" x14ac:dyDescent="0.35">
      <c r="B34" s="34" t="s">
        <v>98</v>
      </c>
      <c r="C34" s="36">
        <f>C33/C6</f>
        <v>0.1677263264502335</v>
      </c>
      <c r="D34" s="36">
        <f t="shared" ref="D34:M34" si="13">D33/D6</f>
        <v>0.16606076135872264</v>
      </c>
      <c r="E34" s="36">
        <f t="shared" si="13"/>
        <v>0.16504585012557677</v>
      </c>
      <c r="F34" s="36">
        <f t="shared" si="13"/>
        <v>0.18034088653186239</v>
      </c>
      <c r="G34" s="36">
        <f t="shared" si="13"/>
        <v>0.1515331115814938</v>
      </c>
      <c r="H34" s="36">
        <f t="shared" si="13"/>
        <v>0.15239395975372008</v>
      </c>
      <c r="I34" s="36">
        <f t="shared" si="13"/>
        <v>0.17141094036149376</v>
      </c>
      <c r="J34" s="36">
        <f t="shared" si="13"/>
        <v>0.16319333119589613</v>
      </c>
      <c r="K34" s="36">
        <f t="shared" si="13"/>
        <v>0.14585703870761138</v>
      </c>
      <c r="L34" s="36">
        <f t="shared" si="13"/>
        <v>0.14015097286392919</v>
      </c>
      <c r="M34" s="36">
        <f t="shared" si="13"/>
        <v>0.13951415199465123</v>
      </c>
    </row>
    <row r="36" spans="1:13" x14ac:dyDescent="0.35">
      <c r="B36" s="23" t="s">
        <v>100</v>
      </c>
      <c r="C36" s="29">
        <f>IFERROR('Data Sheet'!B93,0)</f>
        <v>459.38</v>
      </c>
      <c r="D36" s="29">
        <f>IFERROR('Data Sheet'!C93,0)</f>
        <v>459.39</v>
      </c>
      <c r="E36" s="29">
        <f>IFERROR('Data Sheet'!D93,0)</f>
        <v>459.39</v>
      </c>
      <c r="F36" s="29">
        <f>IFERROR('Data Sheet'!E93,0)</f>
        <v>436.82</v>
      </c>
      <c r="G36" s="29">
        <f>IFERROR('Data Sheet'!F93,0)</f>
        <v>436.89</v>
      </c>
      <c r="H36" s="29">
        <f>IFERROR('Data Sheet'!G93,0)</f>
        <v>425.9</v>
      </c>
      <c r="I36" s="29">
        <f>IFERROR('Data Sheet'!H93,0)</f>
        <v>426.07</v>
      </c>
      <c r="J36" s="29">
        <f>IFERROR('Data Sheet'!I93,0)</f>
        <v>420.67</v>
      </c>
      <c r="K36" s="29">
        <f>IFERROR('Data Sheet'!J93,0)</f>
        <v>414.86</v>
      </c>
      <c r="L36" s="29">
        <f>IFERROR('Data Sheet'!K93,0)</f>
        <v>415.09</v>
      </c>
      <c r="M36" s="29">
        <f>L36</f>
        <v>415.09</v>
      </c>
    </row>
    <row r="38" spans="1:13" x14ac:dyDescent="0.35">
      <c r="B38" t="s">
        <v>101</v>
      </c>
      <c r="C38" s="28">
        <f>C33/C36</f>
        <v>19.467543210414036</v>
      </c>
      <c r="D38" s="28">
        <f t="shared" ref="D38:M38" si="14">D33/D36</f>
        <v>22.571235769172162</v>
      </c>
      <c r="E38" s="28">
        <f t="shared" si="14"/>
        <v>24.604366660136268</v>
      </c>
      <c r="F38" s="28">
        <f t="shared" si="14"/>
        <v>29.114967263403692</v>
      </c>
      <c r="G38" s="28">
        <f t="shared" si="14"/>
        <v>28.6754102863421</v>
      </c>
      <c r="H38" s="28">
        <f t="shared" si="14"/>
        <v>32.486499178210849</v>
      </c>
      <c r="I38" s="28">
        <f t="shared" si="14"/>
        <v>40.420588166263762</v>
      </c>
      <c r="J38" s="28">
        <f t="shared" si="14"/>
        <v>47.189008011030019</v>
      </c>
      <c r="K38" s="28">
        <f t="shared" si="14"/>
        <v>51.600539941184977</v>
      </c>
      <c r="L38" s="28">
        <f t="shared" si="14"/>
        <v>51.885133344575877</v>
      </c>
      <c r="M38" s="28">
        <f t="shared" si="14"/>
        <v>52.783733648124503</v>
      </c>
    </row>
    <row r="39" spans="1:13" x14ac:dyDescent="0.35">
      <c r="B39" s="34" t="s">
        <v>102</v>
      </c>
      <c r="C39" s="41" t="s">
        <v>85</v>
      </c>
      <c r="D39" s="36">
        <f>IFERROR(D38/C38-1,0)</f>
        <v>0.15942908281810442</v>
      </c>
      <c r="E39" s="36">
        <f t="shared" ref="E39:M39" si="15">IFERROR(E38/D38-1,0)</f>
        <v>9.0076188639213184E-2</v>
      </c>
      <c r="F39" s="36">
        <f t="shared" si="15"/>
        <v>0.1833252066827411</v>
      </c>
      <c r="G39" s="36">
        <f t="shared" si="15"/>
        <v>-1.5097285636109792E-2</v>
      </c>
      <c r="H39" s="36">
        <f t="shared" si="15"/>
        <v>0.13290442416734827</v>
      </c>
      <c r="I39" s="36">
        <f t="shared" si="15"/>
        <v>0.24422726944288353</v>
      </c>
      <c r="J39" s="36">
        <f t="shared" si="15"/>
        <v>0.16744981089650213</v>
      </c>
      <c r="K39" s="36">
        <f t="shared" si="15"/>
        <v>9.3486430762091954E-2</v>
      </c>
      <c r="L39" s="36">
        <f t="shared" si="15"/>
        <v>5.5153183225462588E-3</v>
      </c>
      <c r="M39" s="36">
        <f t="shared" si="15"/>
        <v>1.7319032362910214E-2</v>
      </c>
    </row>
    <row r="41" spans="1:13" x14ac:dyDescent="0.35">
      <c r="B41" t="s">
        <v>103</v>
      </c>
      <c r="C41" s="28">
        <f>IFERROR('Data Sheet'!B31/Historical_FS!C36,0)</f>
        <v>14.817362532108495</v>
      </c>
      <c r="D41" s="28">
        <f>IFERROR('Data Sheet'!C31/Historical_FS!D36,0)</f>
        <v>12.077755284181196</v>
      </c>
      <c r="E41" s="28">
        <f>IFERROR('Data Sheet'!D31/Historical_FS!E36,0)</f>
        <v>12.824832930625396</v>
      </c>
      <c r="F41" s="28">
        <f>IFERROR('Data Sheet'!E31/Historical_FS!F36,0)</f>
        <v>21.669337484547412</v>
      </c>
      <c r="G41" s="28">
        <f>IFERROR('Data Sheet'!F31/Historical_FS!G36,0)</f>
        <v>21.109432580283368</v>
      </c>
      <c r="H41" s="28">
        <f>IFERROR('Data Sheet'!G31/Historical_FS!H36,0)</f>
        <v>17.438365813571263</v>
      </c>
      <c r="I41" s="28">
        <f>IFERROR('Data Sheet'!H31/Historical_FS!I36,0)</f>
        <v>26.919520266622857</v>
      </c>
      <c r="J41" s="28">
        <f>IFERROR('Data Sheet'!I31/Historical_FS!J36,0)</f>
        <v>30.921149594694178</v>
      </c>
      <c r="K41" s="28">
        <f>IFERROR('Data Sheet'!J31/Historical_FS!K36,0)</f>
        <v>33.913127320059779</v>
      </c>
      <c r="L41" s="28">
        <f>IFERROR('Data Sheet'!K31/Historical_FS!L36,0)</f>
        <v>45.901370787058234</v>
      </c>
      <c r="M41" s="42">
        <f>L41</f>
        <v>45.901370787058234</v>
      </c>
    </row>
    <row r="42" spans="1:13" x14ac:dyDescent="0.35">
      <c r="B42" s="34" t="s">
        <v>104</v>
      </c>
      <c r="C42" s="41">
        <f>IFERROR(C41/C38,0)</f>
        <v>0.76113161131611329</v>
      </c>
      <c r="D42" s="41">
        <f t="shared" ref="D42:M42" si="16">IFERROR(D41/D38,0)</f>
        <v>0.53509499469572763</v>
      </c>
      <c r="E42" s="41">
        <f t="shared" si="16"/>
        <v>0.52124214810227376</v>
      </c>
      <c r="F42" s="41">
        <f t="shared" si="16"/>
        <v>0.74426796666142481</v>
      </c>
      <c r="G42" s="41">
        <f t="shared" si="16"/>
        <v>0.73615102171136659</v>
      </c>
      <c r="H42" s="41">
        <f t="shared" si="16"/>
        <v>0.53678808904307607</v>
      </c>
      <c r="I42" s="41">
        <f t="shared" si="16"/>
        <v>0.66598536755312976</v>
      </c>
      <c r="J42" s="41">
        <f t="shared" si="16"/>
        <v>0.6552616996624856</v>
      </c>
      <c r="K42" s="41">
        <f t="shared" si="16"/>
        <v>0.65722427243425052</v>
      </c>
      <c r="L42" s="41">
        <f t="shared" si="16"/>
        <v>0.8846728885174352</v>
      </c>
      <c r="M42" s="41">
        <f t="shared" si="16"/>
        <v>0.86961204929256053</v>
      </c>
    </row>
    <row r="44" spans="1:13" x14ac:dyDescent="0.35">
      <c r="B44" s="23" t="s">
        <v>105</v>
      </c>
      <c r="C44" s="33">
        <f>IFERROR(1-C42,0)</f>
        <v>0.23886838868388671</v>
      </c>
      <c r="D44" s="33">
        <f t="shared" ref="D44:M44" si="17">IFERROR(1-D42,0)</f>
        <v>0.46490500530427237</v>
      </c>
      <c r="E44" s="33">
        <f t="shared" si="17"/>
        <v>0.47875785189772624</v>
      </c>
      <c r="F44" s="33">
        <f t="shared" si="17"/>
        <v>0.25573203333857519</v>
      </c>
      <c r="G44" s="33">
        <f t="shared" si="17"/>
        <v>0.26384897828863341</v>
      </c>
      <c r="H44" s="33">
        <f t="shared" si="17"/>
        <v>0.46321191095692393</v>
      </c>
      <c r="I44" s="33">
        <f t="shared" si="17"/>
        <v>0.33401463244687024</v>
      </c>
      <c r="J44" s="33">
        <f t="shared" si="17"/>
        <v>0.3447383003375144</v>
      </c>
      <c r="K44" s="33">
        <f t="shared" si="17"/>
        <v>0.34277572756574948</v>
      </c>
      <c r="L44" s="33">
        <f t="shared" si="17"/>
        <v>0.1153271114825648</v>
      </c>
      <c r="M44" s="33">
        <f t="shared" si="17"/>
        <v>0.13038795070743947</v>
      </c>
    </row>
    <row r="46" spans="1:13" x14ac:dyDescent="0.35">
      <c r="A46" s="23" t="s">
        <v>83</v>
      </c>
      <c r="B46" s="31" t="s">
        <v>106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</row>
    <row r="47" spans="1:13" x14ac:dyDescent="0.35">
      <c r="B47" s="23" t="s">
        <v>23</v>
      </c>
      <c r="C47" s="30">
        <f>IFERROR('Data Sheet'!B57,0)</f>
        <v>572</v>
      </c>
      <c r="D47" s="30">
        <f>IFERROR('Data Sheet'!C57,0)</f>
        <v>1144</v>
      </c>
      <c r="E47" s="30">
        <f>IFERROR('Data Sheet'!D57,0)</f>
        <v>1144</v>
      </c>
      <c r="F47" s="30">
        <f>IFERROR('Data Sheet'!E57,0)</f>
        <v>1088</v>
      </c>
      <c r="G47" s="30">
        <f>IFERROR('Data Sheet'!F57,0)</f>
        <v>2170</v>
      </c>
      <c r="H47" s="30">
        <f>IFERROR('Data Sheet'!G57,0)</f>
        <v>2122</v>
      </c>
      <c r="I47" s="30">
        <f>IFERROR('Data Sheet'!H57,0)</f>
        <v>2124</v>
      </c>
      <c r="J47" s="30">
        <f>IFERROR('Data Sheet'!I57,0)</f>
        <v>2098</v>
      </c>
      <c r="K47" s="30">
        <f>IFERROR('Data Sheet'!J57,0)</f>
        <v>2069</v>
      </c>
      <c r="L47" s="30">
        <f>IFERROR('Data Sheet'!K57,0)</f>
        <v>2071</v>
      </c>
    </row>
    <row r="48" spans="1:13" x14ac:dyDescent="0.35">
      <c r="B48" s="23" t="s">
        <v>24</v>
      </c>
      <c r="C48" s="30">
        <f>IFERROR('Data Sheet'!B58,0)</f>
        <v>50164</v>
      </c>
      <c r="D48" s="30">
        <f>IFERROR('Data Sheet'!C58,0)</f>
        <v>60600</v>
      </c>
      <c r="E48" s="30">
        <f>IFERROR('Data Sheet'!D58,0)</f>
        <v>67838</v>
      </c>
      <c r="F48" s="30">
        <f>IFERROR('Data Sheet'!E58,0)</f>
        <v>63835</v>
      </c>
      <c r="G48" s="30">
        <f>IFERROR('Data Sheet'!F58,0)</f>
        <v>62778</v>
      </c>
      <c r="H48" s="30">
        <f>IFERROR('Data Sheet'!G58,0)</f>
        <v>63328</v>
      </c>
      <c r="I48" s="30">
        <f>IFERROR('Data Sheet'!H58,0)</f>
        <v>74227</v>
      </c>
      <c r="J48" s="30">
        <f>IFERROR('Data Sheet'!I58,0)</f>
        <v>73252</v>
      </c>
      <c r="K48" s="30">
        <f>IFERROR('Data Sheet'!J58,0)</f>
        <v>73338</v>
      </c>
      <c r="L48" s="30">
        <f>IFERROR('Data Sheet'!K58,0)</f>
        <v>86045</v>
      </c>
    </row>
    <row r="49" spans="2:12" x14ac:dyDescent="0.35">
      <c r="B49" s="23" t="s">
        <v>61</v>
      </c>
      <c r="C49" s="30">
        <f>IFERROR('Data Sheet'!B59,0)</f>
        <v>0</v>
      </c>
      <c r="D49" s="30">
        <f>IFERROR('Data Sheet'!C59,0)</f>
        <v>0</v>
      </c>
      <c r="E49" s="30">
        <f>IFERROR('Data Sheet'!D59,0)</f>
        <v>0</v>
      </c>
      <c r="F49" s="30">
        <f>IFERROR('Data Sheet'!E59,0)</f>
        <v>0</v>
      </c>
      <c r="G49" s="30">
        <f>IFERROR('Data Sheet'!F59,0)</f>
        <v>0</v>
      </c>
      <c r="H49" s="30">
        <f>IFERROR('Data Sheet'!G59,0)</f>
        <v>4633</v>
      </c>
      <c r="I49" s="30">
        <f>IFERROR('Data Sheet'!H59,0)</f>
        <v>5325</v>
      </c>
      <c r="J49" s="30">
        <f>IFERROR('Data Sheet'!I59,0)</f>
        <v>5474</v>
      </c>
      <c r="K49" s="30">
        <f>IFERROR('Data Sheet'!J59,0)</f>
        <v>8299</v>
      </c>
      <c r="L49" s="30">
        <f>IFERROR('Data Sheet'!K59,0)</f>
        <v>8359</v>
      </c>
    </row>
    <row r="50" spans="2:12" x14ac:dyDescent="0.35">
      <c r="B50" s="23" t="s">
        <v>62</v>
      </c>
      <c r="C50" s="30">
        <f>IFERROR('Data Sheet'!B60,0)</f>
        <v>15553</v>
      </c>
      <c r="D50" s="30">
        <f>IFERROR('Data Sheet'!C60,0)</f>
        <v>13354</v>
      </c>
      <c r="E50" s="30">
        <f>IFERROR('Data Sheet'!D60,0)</f>
        <v>14166</v>
      </c>
      <c r="F50" s="30">
        <f>IFERROR('Data Sheet'!E60,0)</f>
        <v>14426</v>
      </c>
      <c r="G50" s="30">
        <f>IFERROR('Data Sheet'!F60,0)</f>
        <v>19118</v>
      </c>
      <c r="H50" s="30">
        <f>IFERROR('Data Sheet'!G60,0)</f>
        <v>21717</v>
      </c>
      <c r="I50" s="30">
        <f>IFERROR('Data Sheet'!H60,0)</f>
        <v>25835</v>
      </c>
      <c r="J50" s="30">
        <f>IFERROR('Data Sheet'!I60,0)</f>
        <v>35905</v>
      </c>
      <c r="K50" s="30">
        <f>IFERROR('Data Sheet'!J60,0)</f>
        <v>40890</v>
      </c>
      <c r="L50" s="30">
        <f>IFERROR('Data Sheet'!K60,0)</f>
        <v>39545</v>
      </c>
    </row>
    <row r="51" spans="2:12" x14ac:dyDescent="0.35">
      <c r="B51" s="24" t="s">
        <v>107</v>
      </c>
      <c r="C51" s="43">
        <f>IFERROR('Data Sheet'!B61,0)</f>
        <v>66289</v>
      </c>
      <c r="D51" s="43">
        <f>IFERROR('Data Sheet'!C61,0)</f>
        <v>75098</v>
      </c>
      <c r="E51" s="43">
        <f>IFERROR('Data Sheet'!D61,0)</f>
        <v>83148</v>
      </c>
      <c r="F51" s="43">
        <f>IFERROR('Data Sheet'!E61,0)</f>
        <v>79349</v>
      </c>
      <c r="G51" s="43">
        <f>IFERROR('Data Sheet'!F61,0)</f>
        <v>84066</v>
      </c>
      <c r="H51" s="43">
        <f>IFERROR('Data Sheet'!G61,0)</f>
        <v>91800</v>
      </c>
      <c r="I51" s="43">
        <f>IFERROR('Data Sheet'!H61,0)</f>
        <v>107511</v>
      </c>
      <c r="J51" s="43">
        <f>IFERROR('Data Sheet'!I61,0)</f>
        <v>116729</v>
      </c>
      <c r="K51" s="43">
        <f>IFERROR('Data Sheet'!J61,0)</f>
        <v>124596</v>
      </c>
      <c r="L51" s="43">
        <f>IFERROR('Data Sheet'!K61,0)</f>
        <v>136020</v>
      </c>
    </row>
    <row r="53" spans="2:12" x14ac:dyDescent="0.35">
      <c r="B53" s="23" t="s">
        <v>108</v>
      </c>
      <c r="C53" s="30">
        <f>IFERROR('Data Sheet'!B62,0)</f>
        <v>11346</v>
      </c>
      <c r="D53" s="30">
        <f>IFERROR('Data Sheet'!C62,0)</f>
        <v>13386</v>
      </c>
      <c r="E53" s="30">
        <f>IFERROR('Data Sheet'!D62,0)</f>
        <v>14179</v>
      </c>
      <c r="F53" s="30">
        <f>IFERROR('Data Sheet'!E62,0)</f>
        <v>12574</v>
      </c>
      <c r="G53" s="30">
        <f>IFERROR('Data Sheet'!F62,0)</f>
        <v>15710</v>
      </c>
      <c r="H53" s="30">
        <f>IFERROR('Data Sheet'!G62,0)</f>
        <v>23789</v>
      </c>
      <c r="I53" s="30">
        <f>IFERROR('Data Sheet'!H62,0)</f>
        <v>25505</v>
      </c>
      <c r="J53" s="30">
        <f>IFERROR('Data Sheet'!I62,0)</f>
        <v>25800</v>
      </c>
      <c r="K53" s="30">
        <f>IFERROR('Data Sheet'!J62,0)</f>
        <v>29225</v>
      </c>
      <c r="L53" s="30">
        <f>IFERROR('Data Sheet'!K62,0)</f>
        <v>27622</v>
      </c>
    </row>
    <row r="54" spans="2:12" x14ac:dyDescent="0.35">
      <c r="B54" s="23" t="s">
        <v>27</v>
      </c>
      <c r="C54" s="30">
        <f>IFERROR('Data Sheet'!B63,0)</f>
        <v>776</v>
      </c>
      <c r="D54" s="30">
        <f>IFERROR('Data Sheet'!C63,0)</f>
        <v>960</v>
      </c>
      <c r="E54" s="30">
        <f>IFERROR('Data Sheet'!D63,0)</f>
        <v>1365</v>
      </c>
      <c r="F54" s="30">
        <f>IFERROR('Data Sheet'!E63,0)</f>
        <v>1606</v>
      </c>
      <c r="G54" s="30">
        <f>IFERROR('Data Sheet'!F63,0)</f>
        <v>1388</v>
      </c>
      <c r="H54" s="30">
        <f>IFERROR('Data Sheet'!G63,0)</f>
        <v>954</v>
      </c>
      <c r="I54" s="30">
        <f>IFERROR('Data Sheet'!H63,0)</f>
        <v>922</v>
      </c>
      <c r="J54" s="30">
        <f>IFERROR('Data Sheet'!I63,0)</f>
        <v>416</v>
      </c>
      <c r="K54" s="30">
        <f>IFERROR('Data Sheet'!J63,0)</f>
        <v>288</v>
      </c>
      <c r="L54" s="30">
        <f>IFERROR('Data Sheet'!K63,0)</f>
        <v>293</v>
      </c>
    </row>
    <row r="55" spans="2:12" x14ac:dyDescent="0.35">
      <c r="B55" s="23" t="s">
        <v>28</v>
      </c>
      <c r="C55" s="30">
        <f>IFERROR('Data Sheet'!B64,0)</f>
        <v>2270</v>
      </c>
      <c r="D55" s="30">
        <f>IFERROR('Data Sheet'!C64,0)</f>
        <v>1892</v>
      </c>
      <c r="E55" s="30">
        <f>IFERROR('Data Sheet'!D64,0)</f>
        <v>16423</v>
      </c>
      <c r="F55" s="30">
        <f>IFERROR('Data Sheet'!E64,0)</f>
        <v>12163</v>
      </c>
      <c r="G55" s="30">
        <f>IFERROR('Data Sheet'!F64,0)</f>
        <v>11261</v>
      </c>
      <c r="H55" s="30">
        <f>IFERROR('Data Sheet'!G64,0)</f>
        <v>8792</v>
      </c>
      <c r="I55" s="30">
        <f>IFERROR('Data Sheet'!H64,0)</f>
        <v>14205</v>
      </c>
      <c r="J55" s="30">
        <f>IFERROR('Data Sheet'!I64,0)</f>
        <v>20324</v>
      </c>
      <c r="K55" s="30">
        <f>IFERROR('Data Sheet'!J64,0)</f>
        <v>19478</v>
      </c>
      <c r="L55" s="30">
        <f>IFERROR('Data Sheet'!K64,0)</f>
        <v>24623</v>
      </c>
    </row>
    <row r="56" spans="2:12" x14ac:dyDescent="0.35">
      <c r="B56" s="23" t="s">
        <v>63</v>
      </c>
      <c r="C56" s="30">
        <f>IFERROR('Data Sheet'!B65-SUM('Data Sheet'!B67:B69),0)</f>
        <v>11817</v>
      </c>
      <c r="D56" s="30">
        <f>IFERROR('Data Sheet'!C65-SUM('Data Sheet'!C67:C69),0)</f>
        <v>14833</v>
      </c>
      <c r="E56" s="30">
        <f>IFERROR('Data Sheet'!D65-SUM('Data Sheet'!D67:D69),0)</f>
        <v>16234</v>
      </c>
      <c r="F56" s="30">
        <f>IFERROR('Data Sheet'!E65-SUM('Data Sheet'!E67:E69),0)</f>
        <v>20046</v>
      </c>
      <c r="G56" s="30">
        <f>IFERROR('Data Sheet'!F65-SUM('Data Sheet'!F67:F69),0)</f>
        <v>21312</v>
      </c>
      <c r="H56" s="30">
        <f>IFERROR('Data Sheet'!G65-SUM('Data Sheet'!G67:G69),0)</f>
        <v>21129</v>
      </c>
      <c r="I56" s="30">
        <f>IFERROR('Data Sheet'!H65-SUM('Data Sheet'!H67:H69),0)</f>
        <v>22871</v>
      </c>
      <c r="J56" s="30">
        <f>IFERROR('Data Sheet'!I65-SUM('Data Sheet'!I67:I69),0)</f>
        <v>30019</v>
      </c>
      <c r="K56" s="30">
        <f>IFERROR('Data Sheet'!J65-SUM('Data Sheet'!J67:J69),0)</f>
        <v>38008</v>
      </c>
      <c r="L56" s="30">
        <f>IFERROR('Data Sheet'!K65-SUM('Data Sheet'!K67:K69),0)</f>
        <v>38503</v>
      </c>
    </row>
    <row r="57" spans="2:12" x14ac:dyDescent="0.35">
      <c r="B57" s="24" t="s">
        <v>110</v>
      </c>
      <c r="C57" s="43">
        <f>IFERROR(SUM(C53:C56),0)</f>
        <v>26209</v>
      </c>
      <c r="D57" s="43">
        <f t="shared" ref="D57:L57" si="18">IFERROR(SUM(D53:D56),0)</f>
        <v>31071</v>
      </c>
      <c r="E57" s="43">
        <f t="shared" si="18"/>
        <v>48201</v>
      </c>
      <c r="F57" s="43">
        <f t="shared" si="18"/>
        <v>46389</v>
      </c>
      <c r="G57" s="43">
        <f t="shared" si="18"/>
        <v>49671</v>
      </c>
      <c r="H57" s="43">
        <f t="shared" si="18"/>
        <v>54664</v>
      </c>
      <c r="I57" s="43">
        <f t="shared" si="18"/>
        <v>63503</v>
      </c>
      <c r="J57" s="43">
        <f t="shared" si="18"/>
        <v>76559</v>
      </c>
      <c r="K57" s="43">
        <f t="shared" si="18"/>
        <v>86999</v>
      </c>
      <c r="L57" s="43">
        <f t="shared" si="18"/>
        <v>91041</v>
      </c>
    </row>
    <row r="59" spans="2:12" x14ac:dyDescent="0.35">
      <c r="B59" s="23" t="s">
        <v>68</v>
      </c>
      <c r="C59" s="30">
        <f>IFERROR('Data Sheet'!B67,0)</f>
        <v>9713</v>
      </c>
      <c r="D59" s="30">
        <f>IFERROR('Data Sheet'!C67,0)</f>
        <v>11330</v>
      </c>
      <c r="E59" s="30">
        <f>IFERROR('Data Sheet'!D67,0)</f>
        <v>12322</v>
      </c>
      <c r="F59" s="30">
        <f>IFERROR('Data Sheet'!E67,0)</f>
        <v>13142</v>
      </c>
      <c r="G59" s="30">
        <f>IFERROR('Data Sheet'!F67,0)</f>
        <v>14827</v>
      </c>
      <c r="H59" s="30">
        <f>IFERROR('Data Sheet'!G67,0)</f>
        <v>18487</v>
      </c>
      <c r="I59" s="30">
        <f>IFERROR('Data Sheet'!H67,0)</f>
        <v>19294</v>
      </c>
      <c r="J59" s="30">
        <f>IFERROR('Data Sheet'!I67,0)</f>
        <v>22698</v>
      </c>
      <c r="K59" s="30">
        <f>IFERROR('Data Sheet'!J67,0)</f>
        <v>25424</v>
      </c>
      <c r="L59" s="30">
        <f>IFERROR('Data Sheet'!K67,0)</f>
        <v>30193</v>
      </c>
    </row>
    <row r="60" spans="2:12" x14ac:dyDescent="0.35">
      <c r="B60" s="23" t="s">
        <v>44</v>
      </c>
      <c r="C60" s="30">
        <f>IFERROR('Data Sheet'!B68,0)</f>
        <v>0</v>
      </c>
      <c r="D60" s="30">
        <f>IFERROR('Data Sheet'!C68,0)</f>
        <v>0</v>
      </c>
      <c r="E60" s="30">
        <f>IFERROR('Data Sheet'!D68,0)</f>
        <v>0</v>
      </c>
      <c r="F60" s="30">
        <f>IFERROR('Data Sheet'!E68,0)</f>
        <v>0</v>
      </c>
      <c r="G60" s="30">
        <f>IFERROR('Data Sheet'!F68,0)</f>
        <v>0</v>
      </c>
      <c r="H60" s="30">
        <f>IFERROR('Data Sheet'!G68,0)</f>
        <v>0</v>
      </c>
      <c r="I60" s="30">
        <f>IFERROR('Data Sheet'!H68,0)</f>
        <v>0</v>
      </c>
      <c r="J60" s="30">
        <f>IFERROR('Data Sheet'!I68,0)</f>
        <v>0</v>
      </c>
      <c r="K60" s="30">
        <f>IFERROR('Data Sheet'!J68,0)</f>
        <v>0</v>
      </c>
      <c r="L60" s="30">
        <f>IFERROR('Data Sheet'!K68,0)</f>
        <v>0</v>
      </c>
    </row>
    <row r="61" spans="2:12" x14ac:dyDescent="0.35">
      <c r="B61" s="23" t="s">
        <v>77</v>
      </c>
      <c r="C61" s="30">
        <f>IFERROR('Data Sheet'!B69,0)</f>
        <v>30367</v>
      </c>
      <c r="D61" s="30">
        <f>IFERROR('Data Sheet'!C69,0)</f>
        <v>32697</v>
      </c>
      <c r="E61" s="30">
        <f>IFERROR('Data Sheet'!D69,0)</f>
        <v>22625</v>
      </c>
      <c r="F61" s="30">
        <f>IFERROR('Data Sheet'!E69,0)</f>
        <v>19818</v>
      </c>
      <c r="G61" s="30">
        <f>IFERROR('Data Sheet'!F69,0)</f>
        <v>19568</v>
      </c>
      <c r="H61" s="30">
        <f>IFERROR('Data Sheet'!G69,0)</f>
        <v>18649</v>
      </c>
      <c r="I61" s="30">
        <f>IFERROR('Data Sheet'!H69,0)</f>
        <v>24714</v>
      </c>
      <c r="J61" s="30">
        <f>IFERROR('Data Sheet'!I69,0)</f>
        <v>17472</v>
      </c>
      <c r="K61" s="30">
        <f>IFERROR('Data Sheet'!J69,0)</f>
        <v>12173</v>
      </c>
      <c r="L61" s="30">
        <f>IFERROR('Data Sheet'!K69,0)</f>
        <v>14786</v>
      </c>
    </row>
    <row r="62" spans="2:12" x14ac:dyDescent="0.35">
      <c r="B62" s="24" t="s">
        <v>111</v>
      </c>
      <c r="C62" s="43">
        <f>IFERROR(SUM(C59,C60,C61),0)</f>
        <v>40080</v>
      </c>
      <c r="D62" s="43">
        <f t="shared" ref="D62:L62" si="19">IFERROR(SUM(D59,D60,D61),0)</f>
        <v>44027</v>
      </c>
      <c r="E62" s="43">
        <f t="shared" si="19"/>
        <v>34947</v>
      </c>
      <c r="F62" s="43">
        <f t="shared" si="19"/>
        <v>32960</v>
      </c>
      <c r="G62" s="43">
        <f t="shared" si="19"/>
        <v>34395</v>
      </c>
      <c r="H62" s="43">
        <f t="shared" si="19"/>
        <v>37136</v>
      </c>
      <c r="I62" s="43">
        <f t="shared" si="19"/>
        <v>44008</v>
      </c>
      <c r="J62" s="43">
        <f t="shared" si="19"/>
        <v>40170</v>
      </c>
      <c r="K62" s="43">
        <f t="shared" si="19"/>
        <v>37597</v>
      </c>
      <c r="L62" s="43">
        <f t="shared" si="19"/>
        <v>44979</v>
      </c>
    </row>
    <row r="64" spans="2:12" x14ac:dyDescent="0.35">
      <c r="B64" s="24" t="s">
        <v>109</v>
      </c>
      <c r="C64" s="44">
        <f>IFERROR(SUM(C62+C57),0)</f>
        <v>66289</v>
      </c>
      <c r="D64" s="44">
        <f t="shared" ref="D64:L64" si="20">IFERROR(SUM(D62+D57),0)</f>
        <v>75098</v>
      </c>
      <c r="E64" s="44">
        <f t="shared" si="20"/>
        <v>83148</v>
      </c>
      <c r="F64" s="44">
        <f t="shared" si="20"/>
        <v>79349</v>
      </c>
      <c r="G64" s="44">
        <f t="shared" si="20"/>
        <v>84066</v>
      </c>
      <c r="H64" s="44">
        <f t="shared" si="20"/>
        <v>91800</v>
      </c>
      <c r="I64" s="44">
        <f t="shared" si="20"/>
        <v>107511</v>
      </c>
      <c r="J64" s="44">
        <f t="shared" si="20"/>
        <v>116729</v>
      </c>
      <c r="K64" s="44">
        <f t="shared" si="20"/>
        <v>124596</v>
      </c>
      <c r="L64" s="44">
        <f t="shared" si="20"/>
        <v>136020</v>
      </c>
    </row>
    <row r="66" spans="1:13" x14ac:dyDescent="0.35">
      <c r="B66" s="23" t="s">
        <v>112</v>
      </c>
      <c r="C66" s="23" t="b">
        <f>C64=C51</f>
        <v>1</v>
      </c>
      <c r="D66" s="23" t="b">
        <f t="shared" ref="D66:L66" si="21">D64=D51</f>
        <v>1</v>
      </c>
      <c r="E66" s="23" t="b">
        <f t="shared" si="21"/>
        <v>1</v>
      </c>
      <c r="F66" s="23" t="b">
        <f t="shared" si="21"/>
        <v>1</v>
      </c>
      <c r="G66" s="23" t="b">
        <f t="shared" si="21"/>
        <v>1</v>
      </c>
      <c r="H66" s="23" t="b">
        <f t="shared" si="21"/>
        <v>1</v>
      </c>
      <c r="I66" s="23" t="b">
        <f t="shared" si="21"/>
        <v>1</v>
      </c>
      <c r="J66" s="23" t="b">
        <f t="shared" si="21"/>
        <v>1</v>
      </c>
      <c r="K66" s="23" t="b">
        <f t="shared" si="21"/>
        <v>1</v>
      </c>
      <c r="L66" s="23" t="b">
        <f t="shared" si="21"/>
        <v>1</v>
      </c>
    </row>
    <row r="68" spans="1:13" x14ac:dyDescent="0.35">
      <c r="A68" s="23" t="s">
        <v>83</v>
      </c>
      <c r="B68" s="31" t="s">
        <v>135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</row>
    <row r="69" spans="1:13" x14ac:dyDescent="0.35">
      <c r="B69" s="24" t="s">
        <v>136</v>
      </c>
    </row>
    <row r="70" spans="1:13" x14ac:dyDescent="0.35">
      <c r="B70" s="23" t="s">
        <v>113</v>
      </c>
      <c r="C70" s="30">
        <f>IFERROR(Cash_flow!C4,0)</f>
        <v>15946</v>
      </c>
      <c r="D70" s="30">
        <f>IFERROR(Cash_flow!D4,0)</f>
        <v>17839</v>
      </c>
      <c r="E70" s="30">
        <f>IFERROR(Cash_flow!E4,0)</f>
        <v>19340</v>
      </c>
      <c r="F70" s="30">
        <f>IFERROR(Cash_flow!F4,0)</f>
        <v>19963</v>
      </c>
      <c r="G70" s="30">
        <f>IFERROR(Cash_flow!G4,0)</f>
        <v>22126</v>
      </c>
      <c r="H70" s="30">
        <f>IFERROR(Cash_flow!H4,0)</f>
        <v>23920</v>
      </c>
      <c r="I70" s="30">
        <f>IFERROR(Cash_flow!I4,0)</f>
        <v>28845</v>
      </c>
      <c r="J70" s="30">
        <f>IFERROR(Cash_flow!J4,0)</f>
        <v>32921</v>
      </c>
      <c r="K70" s="30">
        <f>IFERROR(Cash_flow!K4,0)</f>
        <v>37605</v>
      </c>
      <c r="L70" s="30">
        <f>IFERROR(Cash_flow!L4,0)</f>
        <v>39523</v>
      </c>
    </row>
    <row r="71" spans="1:13" x14ac:dyDescent="0.35">
      <c r="B71" s="23" t="s">
        <v>68</v>
      </c>
      <c r="C71" s="30">
        <f>IFERROR(Cash_flow!C5,0)</f>
        <v>-1475</v>
      </c>
      <c r="D71" s="30">
        <f>IFERROR(Cash_flow!D5,0)</f>
        <v>-1654</v>
      </c>
      <c r="E71" s="30">
        <f>IFERROR(Cash_flow!E5,0)</f>
        <v>-1743</v>
      </c>
      <c r="F71" s="30">
        <f>IFERROR(Cash_flow!F5,0)</f>
        <v>-1523</v>
      </c>
      <c r="G71" s="30">
        <f>IFERROR(Cash_flow!G5,0)</f>
        <v>-2881</v>
      </c>
      <c r="H71" s="30">
        <f>IFERROR(Cash_flow!H5,0)</f>
        <v>-3861</v>
      </c>
      <c r="I71" s="30">
        <f>IFERROR(Cash_flow!I5,0)</f>
        <v>-1835</v>
      </c>
      <c r="J71" s="30">
        <f>IFERROR(Cash_flow!J5,0)</f>
        <v>-7937</v>
      </c>
      <c r="K71" s="30">
        <f>IFERROR(Cash_flow!K5,0)</f>
        <v>-7076</v>
      </c>
      <c r="L71" s="30">
        <f>IFERROR(Cash_flow!L5,0)</f>
        <v>-2667</v>
      </c>
    </row>
    <row r="72" spans="1:13" x14ac:dyDescent="0.35">
      <c r="B72" s="23" t="s">
        <v>114</v>
      </c>
      <c r="C72" s="30">
        <f>IFERROR(Cash_flow!C6,0)</f>
        <v>0</v>
      </c>
      <c r="D72" s="30">
        <f>IFERROR(Cash_flow!D6,0)</f>
        <v>242</v>
      </c>
      <c r="E72" s="30">
        <f>IFERROR(Cash_flow!E6,0)</f>
        <v>-19</v>
      </c>
      <c r="F72" s="30">
        <f>IFERROR(Cash_flow!F6,0)</f>
        <v>328</v>
      </c>
      <c r="G72" s="30">
        <f>IFERROR(Cash_flow!G6,0)</f>
        <v>916</v>
      </c>
      <c r="H72" s="30">
        <f>IFERROR(Cash_flow!H6,0)</f>
        <v>-373</v>
      </c>
      <c r="I72" s="30">
        <f>IFERROR(Cash_flow!I6,0)</f>
        <v>-245</v>
      </c>
      <c r="J72" s="30">
        <f>IFERROR(Cash_flow!J6,0)</f>
        <v>1489</v>
      </c>
      <c r="K72" s="30">
        <f>IFERROR(Cash_flow!K6,0)</f>
        <v>-279</v>
      </c>
      <c r="L72" s="30">
        <f>IFERROR(Cash_flow!L6,0)</f>
        <v>91</v>
      </c>
    </row>
    <row r="73" spans="1:13" x14ac:dyDescent="0.35">
      <c r="B73" s="23" t="s">
        <v>115</v>
      </c>
      <c r="C73" s="30">
        <f>IFERROR(Cash_flow!C7,0)</f>
        <v>-221</v>
      </c>
      <c r="D73" s="30">
        <f>IFERROR(Cash_flow!D7,0)</f>
        <v>-1134</v>
      </c>
      <c r="E73" s="30">
        <f>IFERROR(Cash_flow!E7,0)</f>
        <v>0</v>
      </c>
      <c r="F73" s="30">
        <f>IFERROR(Cash_flow!F7,0)</f>
        <v>0</v>
      </c>
      <c r="G73" s="30">
        <f>IFERROR(Cash_flow!G7,0)</f>
        <v>0</v>
      </c>
      <c r="H73" s="30">
        <f>IFERROR(Cash_flow!H7,0)</f>
        <v>0</v>
      </c>
      <c r="I73" s="30">
        <f>IFERROR(Cash_flow!I7,0)</f>
        <v>0</v>
      </c>
      <c r="J73" s="30">
        <f>IFERROR(Cash_flow!J7,0)</f>
        <v>-1914</v>
      </c>
      <c r="K73" s="30">
        <f>IFERROR(Cash_flow!K7,0)</f>
        <v>-3108</v>
      </c>
      <c r="L73" s="30">
        <f>IFERROR(Cash_flow!L7,0)</f>
        <v>-1172</v>
      </c>
    </row>
    <row r="74" spans="1:13" x14ac:dyDescent="0.35">
      <c r="B74" s="23" t="s">
        <v>116</v>
      </c>
      <c r="C74" s="30">
        <f>IFERROR(Cash_flow!C8,0)</f>
        <v>854</v>
      </c>
      <c r="D74" s="30">
        <f>IFERROR(Cash_flow!D8,0)</f>
        <v>600</v>
      </c>
      <c r="E74" s="30">
        <f>IFERROR(Cash_flow!E8,0)</f>
        <v>-394</v>
      </c>
      <c r="F74" s="30">
        <f>IFERROR(Cash_flow!F8,0)</f>
        <v>1279</v>
      </c>
      <c r="G74" s="30">
        <f>IFERROR(Cash_flow!G8,0)</f>
        <v>1512</v>
      </c>
      <c r="H74" s="30">
        <f>IFERROR(Cash_flow!H8,0)</f>
        <v>1867</v>
      </c>
      <c r="I74" s="30">
        <f>IFERROR(Cash_flow!I8,0)</f>
        <v>2848</v>
      </c>
      <c r="J74" s="30">
        <f>IFERROR(Cash_flow!J8,0)</f>
        <v>6938</v>
      </c>
      <c r="K74" s="30">
        <f>IFERROR(Cash_flow!K8,0)</f>
        <v>4119</v>
      </c>
      <c r="L74" s="30">
        <f>IFERROR(Cash_flow!L8,0)</f>
        <v>-1334</v>
      </c>
    </row>
    <row r="75" spans="1:13" x14ac:dyDescent="0.35">
      <c r="B75" s="23" t="s">
        <v>117</v>
      </c>
      <c r="C75" s="30">
        <f>IFERROR(Cash_flow!C9,0)</f>
        <v>-842</v>
      </c>
      <c r="D75" s="30">
        <f>IFERROR(Cash_flow!D9,0)</f>
        <v>-1946</v>
      </c>
      <c r="E75" s="30">
        <f>IFERROR(Cash_flow!E9,0)</f>
        <v>-2156</v>
      </c>
      <c r="F75" s="30">
        <f>IFERROR(Cash_flow!F9,0)</f>
        <v>84</v>
      </c>
      <c r="G75" s="30">
        <f>IFERROR(Cash_flow!G9,0)</f>
        <v>-453</v>
      </c>
      <c r="H75" s="30">
        <f>IFERROR(Cash_flow!H9,0)</f>
        <v>-2367</v>
      </c>
      <c r="I75" s="30">
        <f>IFERROR(Cash_flow!I9,0)</f>
        <v>768</v>
      </c>
      <c r="J75" s="30">
        <f>IFERROR(Cash_flow!J9,0)</f>
        <v>-1424</v>
      </c>
      <c r="K75" s="30">
        <f>IFERROR(Cash_flow!K9,0)</f>
        <v>-6344</v>
      </c>
      <c r="L75" s="30">
        <f>IFERROR(Cash_flow!L9,0)</f>
        <v>-5082</v>
      </c>
    </row>
    <row r="76" spans="1:13" x14ac:dyDescent="0.35">
      <c r="B76" s="23" t="s">
        <v>118</v>
      </c>
      <c r="C76" s="30">
        <f>IFERROR(Cash_flow!C10,0)</f>
        <v>-6751</v>
      </c>
      <c r="D76" s="30">
        <f>IFERROR(Cash_flow!D10,0)</f>
        <v>-5865</v>
      </c>
      <c r="E76" s="30">
        <f>IFERROR(Cash_flow!E10,0)</f>
        <v>-5653</v>
      </c>
      <c r="F76" s="30">
        <f>IFERROR(Cash_flow!F10,0)</f>
        <v>-6829</v>
      </c>
      <c r="G76" s="30">
        <f>IFERROR(Cash_flow!G10,0)</f>
        <v>-6832</v>
      </c>
      <c r="H76" s="30">
        <f>IFERROR(Cash_flow!H10,0)</f>
        <v>-4550</v>
      </c>
      <c r="I76" s="30">
        <f>IFERROR(Cash_flow!I10,0)</f>
        <v>-6389</v>
      </c>
      <c r="J76" s="30">
        <f>IFERROR(Cash_flow!J10,0)</f>
        <v>-7612</v>
      </c>
      <c r="K76" s="30">
        <f>IFERROR(Cash_flow!K10,0)</f>
        <v>-8794</v>
      </c>
      <c r="L76" s="30">
        <f>IFERROR(Cash_flow!L10,0)</f>
        <v>-9231</v>
      </c>
    </row>
    <row r="77" spans="1:13" x14ac:dyDescent="0.35">
      <c r="B77" s="24" t="s">
        <v>137</v>
      </c>
      <c r="C77" s="43">
        <f>SUM(C70:C76)</f>
        <v>7511</v>
      </c>
      <c r="D77" s="43">
        <f t="shared" ref="D77:L77" si="22">SUM(D70:D76)</f>
        <v>8082</v>
      </c>
      <c r="E77" s="43">
        <f t="shared" si="22"/>
        <v>9375</v>
      </c>
      <c r="F77" s="43">
        <f t="shared" si="22"/>
        <v>13302</v>
      </c>
      <c r="G77" s="43">
        <f t="shared" si="22"/>
        <v>14388</v>
      </c>
      <c r="H77" s="43">
        <f t="shared" si="22"/>
        <v>14636</v>
      </c>
      <c r="I77" s="43">
        <f t="shared" si="22"/>
        <v>23992</v>
      </c>
      <c r="J77" s="43">
        <f t="shared" si="22"/>
        <v>22461</v>
      </c>
      <c r="K77" s="43">
        <f t="shared" si="22"/>
        <v>16123</v>
      </c>
      <c r="L77" s="43">
        <f t="shared" si="22"/>
        <v>20128</v>
      </c>
    </row>
    <row r="79" spans="1:13" x14ac:dyDescent="0.35">
      <c r="B79" s="24" t="s">
        <v>138</v>
      </c>
    </row>
    <row r="80" spans="1:13" x14ac:dyDescent="0.35">
      <c r="B80" s="23" t="s">
        <v>119</v>
      </c>
      <c r="C80" s="30">
        <f>IFERROR(Cash_flow!C12,0)</f>
        <v>-2247</v>
      </c>
      <c r="D80" s="30">
        <f>IFERROR(Cash_flow!D12,0)</f>
        <v>-2723</v>
      </c>
      <c r="E80" s="30">
        <f>IFERROR(Cash_flow!E12,0)</f>
        <v>-2760</v>
      </c>
      <c r="F80" s="30">
        <f>IFERROR(Cash_flow!F12,0)</f>
        <v>-1998</v>
      </c>
      <c r="G80" s="30">
        <f>IFERROR(Cash_flow!G12,0)</f>
        <v>-2445</v>
      </c>
      <c r="H80" s="30">
        <f>IFERROR(Cash_flow!H12,0)</f>
        <v>-3307</v>
      </c>
      <c r="I80" s="30">
        <f>IFERROR(Cash_flow!I12,0)</f>
        <v>-2107</v>
      </c>
      <c r="J80" s="30">
        <f>IFERROR(Cash_flow!J12,0)</f>
        <v>-2161</v>
      </c>
      <c r="K80" s="30">
        <f>IFERROR(Cash_flow!K12,0)</f>
        <v>-2579</v>
      </c>
      <c r="L80" s="30">
        <f>IFERROR(Cash_flow!L12,0)</f>
        <v>-2201</v>
      </c>
    </row>
    <row r="81" spans="2:12" x14ac:dyDescent="0.35">
      <c r="B81" s="23" t="s">
        <v>120</v>
      </c>
      <c r="C81" s="30">
        <f>IFERROR(Cash_flow!C13,0)</f>
        <v>0</v>
      </c>
      <c r="D81" s="30">
        <f>IFERROR(Cash_flow!D13,0)</f>
        <v>0</v>
      </c>
      <c r="E81" s="30">
        <f>IFERROR(Cash_flow!E13,0)</f>
        <v>0</v>
      </c>
      <c r="F81" s="30">
        <f>IFERROR(Cash_flow!F13,0)</f>
        <v>0</v>
      </c>
      <c r="G81" s="30">
        <f>IFERROR(Cash_flow!G13,0)</f>
        <v>0</v>
      </c>
      <c r="H81" s="30">
        <f>IFERROR(Cash_flow!H13,0)</f>
        <v>0</v>
      </c>
      <c r="I81" s="30">
        <f>IFERROR(Cash_flow!I13,0)</f>
        <v>0</v>
      </c>
      <c r="J81" s="30">
        <f>IFERROR(Cash_flow!J13,0)</f>
        <v>0</v>
      </c>
      <c r="K81" s="30">
        <f>IFERROR(Cash_flow!K13,0)</f>
        <v>0</v>
      </c>
      <c r="L81" s="30">
        <f>IFERROR(Cash_flow!L13,0)</f>
        <v>0</v>
      </c>
    </row>
    <row r="82" spans="2:12" x14ac:dyDescent="0.35">
      <c r="B82" s="23" t="s">
        <v>121</v>
      </c>
      <c r="C82" s="30">
        <f>IFERROR(Cash_flow!C14,0)</f>
        <v>-23923</v>
      </c>
      <c r="D82" s="30">
        <f>IFERROR(Cash_flow!D14,0)</f>
        <v>-24577</v>
      </c>
      <c r="E82" s="30">
        <f>IFERROR(Cash_flow!E14,0)</f>
        <v>-66410</v>
      </c>
      <c r="F82" s="30">
        <f>IFERROR(Cash_flow!F14,0)</f>
        <v>-69159</v>
      </c>
      <c r="G82" s="30">
        <f>IFERROR(Cash_flow!G14,0)</f>
        <v>-79410</v>
      </c>
      <c r="H82" s="30">
        <f>IFERROR(Cash_flow!H14,0)</f>
        <v>-37482</v>
      </c>
      <c r="I82" s="30">
        <f>IFERROR(Cash_flow!I14,0)</f>
        <v>-46738</v>
      </c>
      <c r="J82" s="30">
        <f>IFERROR(Cash_flow!J14,0)</f>
        <v>-59951</v>
      </c>
      <c r="K82" s="30">
        <f>IFERROR(Cash_flow!K14,0)</f>
        <v>-75800</v>
      </c>
      <c r="L82" s="30">
        <f>IFERROR(Cash_flow!L14,0)</f>
        <v>-78092</v>
      </c>
    </row>
    <row r="83" spans="2:12" x14ac:dyDescent="0.35">
      <c r="B83" s="23" t="s">
        <v>122</v>
      </c>
      <c r="C83" s="30">
        <f>IFERROR(Cash_flow!C15,0)</f>
        <v>25253</v>
      </c>
      <c r="D83" s="30">
        <f>IFERROR(Cash_flow!D15,0)</f>
        <v>24980</v>
      </c>
      <c r="E83" s="30">
        <f>IFERROR(Cash_flow!E15,0)</f>
        <v>52048</v>
      </c>
      <c r="F83" s="30">
        <f>IFERROR(Cash_flow!F15,0)</f>
        <v>74003</v>
      </c>
      <c r="G83" s="30">
        <f>IFERROR(Cash_flow!G15,0)</f>
        <v>78098</v>
      </c>
      <c r="H83" s="30">
        <f>IFERROR(Cash_flow!H15,0)</f>
        <v>38861</v>
      </c>
      <c r="I83" s="30">
        <f>IFERROR(Cash_flow!I15,0)</f>
        <v>40381</v>
      </c>
      <c r="J83" s="30">
        <f>IFERROR(Cash_flow!J15,0)</f>
        <v>57356</v>
      </c>
      <c r="K83" s="30">
        <f>IFERROR(Cash_flow!K15,0)</f>
        <v>76722</v>
      </c>
      <c r="L83" s="30">
        <f>IFERROR(Cash_flow!L15,0)</f>
        <v>72930</v>
      </c>
    </row>
    <row r="84" spans="2:12" x14ac:dyDescent="0.35">
      <c r="B84" s="23" t="s">
        <v>123</v>
      </c>
      <c r="C84" s="30">
        <f>IFERROR(Cash_flow!C16,0)</f>
        <v>2551</v>
      </c>
      <c r="D84" s="30">
        <f>IFERROR(Cash_flow!D16,0)</f>
        <v>2383</v>
      </c>
      <c r="E84" s="30">
        <f>IFERROR(Cash_flow!E16,0)</f>
        <v>0</v>
      </c>
      <c r="F84" s="30">
        <f>IFERROR(Cash_flow!F16,0)</f>
        <v>0</v>
      </c>
      <c r="G84" s="30">
        <f>IFERROR(Cash_flow!G16,0)</f>
        <v>0</v>
      </c>
      <c r="H84" s="30">
        <f>IFERROR(Cash_flow!H16,0)</f>
        <v>0</v>
      </c>
      <c r="I84" s="30">
        <f>IFERROR(Cash_flow!I16,0)</f>
        <v>0</v>
      </c>
      <c r="J84" s="30">
        <f>IFERROR(Cash_flow!J16,0)</f>
        <v>0</v>
      </c>
      <c r="K84" s="30">
        <f>IFERROR(Cash_flow!K16,0)</f>
        <v>0</v>
      </c>
      <c r="L84" s="30">
        <f>IFERROR(Cash_flow!L16,0)</f>
        <v>0</v>
      </c>
    </row>
    <row r="85" spans="2:12" x14ac:dyDescent="0.35">
      <c r="B85" s="23" t="s">
        <v>124</v>
      </c>
      <c r="C85" s="30">
        <f>IFERROR(Cash_flow!C17,0)</f>
        <v>0</v>
      </c>
      <c r="D85" s="30">
        <f>IFERROR(Cash_flow!D17,0)</f>
        <v>0</v>
      </c>
      <c r="E85" s="30">
        <f>IFERROR(Cash_flow!E17,0)</f>
        <v>2753</v>
      </c>
      <c r="F85" s="30">
        <f>IFERROR(Cash_flow!F17,0)</f>
        <v>1768</v>
      </c>
      <c r="G85" s="30">
        <f>IFERROR(Cash_flow!G17,0)</f>
        <v>1557</v>
      </c>
      <c r="H85" s="30">
        <f>IFERROR(Cash_flow!H17,0)</f>
        <v>1929</v>
      </c>
      <c r="I85" s="30">
        <f>IFERROR(Cash_flow!I17,0)</f>
        <v>1418</v>
      </c>
      <c r="J85" s="30">
        <f>IFERROR(Cash_flow!J17,0)</f>
        <v>1898</v>
      </c>
      <c r="K85" s="30">
        <f>IFERROR(Cash_flow!K17,0)</f>
        <v>1525</v>
      </c>
      <c r="L85" s="30">
        <f>IFERROR(Cash_flow!L17,0)</f>
        <v>1768</v>
      </c>
    </row>
    <row r="86" spans="2:12" x14ac:dyDescent="0.35">
      <c r="B86" s="23" t="s">
        <v>125</v>
      </c>
      <c r="C86" s="30">
        <f>IFERROR(Cash_flow!C18,0)</f>
        <v>-1376</v>
      </c>
      <c r="D86" s="30">
        <f>IFERROR(Cash_flow!D18,0)</f>
        <v>-747</v>
      </c>
      <c r="E86" s="30">
        <f>IFERROR(Cash_flow!E18,0)</f>
        <v>0</v>
      </c>
      <c r="F86" s="30">
        <f>IFERROR(Cash_flow!F18,0)</f>
        <v>0</v>
      </c>
      <c r="G86" s="30">
        <f>IFERROR(Cash_flow!G18,0)</f>
        <v>0</v>
      </c>
      <c r="H86" s="30">
        <f>IFERROR(Cash_flow!H18,0)</f>
        <v>0</v>
      </c>
      <c r="I86" s="30">
        <f>IFERROR(Cash_flow!I18,0)</f>
        <v>0</v>
      </c>
      <c r="J86" s="30">
        <f>IFERROR(Cash_flow!J18,0)</f>
        <v>0</v>
      </c>
      <c r="K86" s="30">
        <f>IFERROR(Cash_flow!K18,0)</f>
        <v>0</v>
      </c>
      <c r="L86" s="30">
        <f>IFERROR(Cash_flow!L18,0)</f>
        <v>0</v>
      </c>
    </row>
    <row r="87" spans="2:12" x14ac:dyDescent="0.35">
      <c r="B87" s="23" t="s">
        <v>126</v>
      </c>
      <c r="C87" s="30">
        <f>IFERROR(Cash_flow!C19,0)</f>
        <v>0</v>
      </c>
      <c r="D87" s="30">
        <f>IFERROR(Cash_flow!D19,0)</f>
        <v>-142</v>
      </c>
      <c r="E87" s="30">
        <f>IFERROR(Cash_flow!E19,0)</f>
        <v>-164</v>
      </c>
      <c r="F87" s="30">
        <f>IFERROR(Cash_flow!F19,0)</f>
        <v>-130</v>
      </c>
      <c r="G87" s="30">
        <f>IFERROR(Cash_flow!G19,0)</f>
        <v>-24</v>
      </c>
      <c r="H87" s="30">
        <f>IFERROR(Cash_flow!H19,0)</f>
        <v>-108</v>
      </c>
      <c r="I87" s="30">
        <f>IFERROR(Cash_flow!I19,0)</f>
        <v>-207</v>
      </c>
      <c r="J87" s="30">
        <f>IFERROR(Cash_flow!J19,0)</f>
        <v>0</v>
      </c>
      <c r="K87" s="30">
        <f>IFERROR(Cash_flow!K19,0)</f>
        <v>0</v>
      </c>
      <c r="L87" s="30">
        <f>IFERROR(Cash_flow!L19,0)</f>
        <v>0</v>
      </c>
    </row>
    <row r="88" spans="2:12" x14ac:dyDescent="0.35">
      <c r="B88" s="23" t="s">
        <v>127</v>
      </c>
      <c r="C88" s="30">
        <f>IFERROR(Cash_flow!C20,0)</f>
        <v>741</v>
      </c>
      <c r="D88" s="30">
        <f>IFERROR(Cash_flow!D20,0)</f>
        <v>-59</v>
      </c>
      <c r="E88" s="30">
        <f>IFERROR(Cash_flow!E20,0)</f>
        <v>-131</v>
      </c>
      <c r="F88" s="30">
        <f>IFERROR(Cash_flow!F20,0)</f>
        <v>49</v>
      </c>
      <c r="G88" s="30">
        <f>IFERROR(Cash_flow!G20,0)</f>
        <v>1592</v>
      </c>
      <c r="H88" s="30">
        <f>IFERROR(Cash_flow!H20,0)</f>
        <v>-224</v>
      </c>
      <c r="I88" s="30">
        <f>IFERROR(Cash_flow!I20,0)</f>
        <v>-120</v>
      </c>
      <c r="J88" s="30">
        <f>IFERROR(Cash_flow!J20,0)</f>
        <v>-3627</v>
      </c>
      <c r="K88" s="30">
        <f>IFERROR(Cash_flow!K20,0)</f>
        <v>-939</v>
      </c>
      <c r="L88" s="30">
        <f>IFERROR(Cash_flow!L20,0)</f>
        <v>502</v>
      </c>
    </row>
    <row r="89" spans="2:12" x14ac:dyDescent="0.35">
      <c r="B89" s="24" t="s">
        <v>139</v>
      </c>
      <c r="C89" s="43">
        <f>SUM(C80:C88)</f>
        <v>999</v>
      </c>
      <c r="D89" s="43">
        <f t="shared" ref="D89:L89" si="23">SUM(D80:D88)</f>
        <v>-885</v>
      </c>
      <c r="E89" s="43">
        <f t="shared" si="23"/>
        <v>-14664</v>
      </c>
      <c r="F89" s="43">
        <f t="shared" si="23"/>
        <v>4533</v>
      </c>
      <c r="G89" s="43">
        <f t="shared" si="23"/>
        <v>-632</v>
      </c>
      <c r="H89" s="43">
        <f t="shared" si="23"/>
        <v>-331</v>
      </c>
      <c r="I89" s="43">
        <f t="shared" si="23"/>
        <v>-7373</v>
      </c>
      <c r="J89" s="43">
        <f t="shared" si="23"/>
        <v>-6485</v>
      </c>
      <c r="K89" s="43">
        <f t="shared" si="23"/>
        <v>-1071</v>
      </c>
      <c r="L89" s="43">
        <f t="shared" si="23"/>
        <v>-5093</v>
      </c>
    </row>
    <row r="91" spans="2:12" x14ac:dyDescent="0.35">
      <c r="B91" s="24" t="s">
        <v>140</v>
      </c>
    </row>
    <row r="92" spans="2:12" x14ac:dyDescent="0.35">
      <c r="B92" s="23" t="s">
        <v>128</v>
      </c>
      <c r="C92" s="30">
        <f>IFERROR(Cash_flow!C22,0)</f>
        <v>0</v>
      </c>
      <c r="D92" s="30">
        <f>IFERROR(Cash_flow!D22,0)</f>
        <v>0</v>
      </c>
      <c r="E92" s="30">
        <f>IFERROR(Cash_flow!E22,0)</f>
        <v>0</v>
      </c>
      <c r="F92" s="30">
        <f>IFERROR(Cash_flow!F22,0)</f>
        <v>5</v>
      </c>
      <c r="G92" s="30">
        <f>IFERROR(Cash_flow!G22,0)</f>
        <v>6</v>
      </c>
      <c r="H92" s="30">
        <f>IFERROR(Cash_flow!H22,0)</f>
        <v>6</v>
      </c>
      <c r="I92" s="30">
        <f>IFERROR(Cash_flow!I22,0)</f>
        <v>15</v>
      </c>
      <c r="J92" s="30">
        <f>IFERROR(Cash_flow!J22,0)</f>
        <v>21</v>
      </c>
      <c r="K92" s="30">
        <f>IFERROR(Cash_flow!K22,0)</f>
        <v>35</v>
      </c>
      <c r="L92" s="30">
        <f>IFERROR(Cash_flow!L22,0)</f>
        <v>5</v>
      </c>
    </row>
    <row r="93" spans="2:12" x14ac:dyDescent="0.35">
      <c r="B93" s="23" t="s">
        <v>129</v>
      </c>
      <c r="C93" s="30">
        <f>IFERROR(Cash_flow!C23,0)</f>
        <v>-4935</v>
      </c>
      <c r="D93" s="30">
        <f>IFERROR(Cash_flow!D23,0)</f>
        <v>-6813</v>
      </c>
      <c r="E93" s="30">
        <f>IFERROR(Cash_flow!E23,0)</f>
        <v>-6939</v>
      </c>
      <c r="F93" s="30">
        <f>IFERROR(Cash_flow!F23,0)</f>
        <v>-7464</v>
      </c>
      <c r="G93" s="30">
        <f>IFERROR(Cash_flow!G23,0)</f>
        <v>-13705</v>
      </c>
      <c r="H93" s="30">
        <f>IFERROR(Cash_flow!H23,0)</f>
        <v>-9548</v>
      </c>
      <c r="I93" s="30">
        <f>IFERROR(Cash_flow!I23,0)</f>
        <v>-9137</v>
      </c>
      <c r="J93" s="30">
        <f>IFERROR(Cash_flow!J23,0)</f>
        <v>-12731</v>
      </c>
      <c r="K93" s="30">
        <f>IFERROR(Cash_flow!K23,0)</f>
        <v>-13653</v>
      </c>
      <c r="L93" s="30">
        <f>IFERROR(Cash_flow!L23,0)</f>
        <v>-14731</v>
      </c>
    </row>
    <row r="94" spans="2:12" x14ac:dyDescent="0.35">
      <c r="B94" s="23" t="s">
        <v>130</v>
      </c>
      <c r="C94" s="30">
        <f>IFERROR(Cash_flow!C24,0)</f>
        <v>0</v>
      </c>
      <c r="D94" s="30">
        <f>IFERROR(Cash_flow!D24,0)</f>
        <v>0</v>
      </c>
      <c r="E94" s="30">
        <f>IFERROR(Cash_flow!E24,0)</f>
        <v>0</v>
      </c>
      <c r="F94" s="30">
        <f>IFERROR(Cash_flow!F24,0)</f>
        <v>0</v>
      </c>
      <c r="G94" s="30">
        <f>IFERROR(Cash_flow!G24,0)</f>
        <v>0</v>
      </c>
      <c r="H94" s="30">
        <f>IFERROR(Cash_flow!H24,0)</f>
        <v>-571</v>
      </c>
      <c r="I94" s="30">
        <f>IFERROR(Cash_flow!I24,0)</f>
        <v>-698</v>
      </c>
      <c r="J94" s="30">
        <f>IFERROR(Cash_flow!J24,0)</f>
        <v>-915</v>
      </c>
      <c r="K94" s="30">
        <f>IFERROR(Cash_flow!K24,0)</f>
        <v>-1231</v>
      </c>
      <c r="L94" s="30">
        <f>IFERROR(Cash_flow!L24,0)</f>
        <v>-2024</v>
      </c>
    </row>
    <row r="95" spans="2:12" x14ac:dyDescent="0.35">
      <c r="B95" s="23" t="s">
        <v>131</v>
      </c>
      <c r="C95" s="30">
        <f>IFERROR(Cash_flow!C25,0)</f>
        <v>0</v>
      </c>
      <c r="D95" s="30">
        <f>IFERROR(Cash_flow!D25,0)</f>
        <v>0</v>
      </c>
      <c r="E95" s="30">
        <f>IFERROR(Cash_flow!E25,0)</f>
        <v>0</v>
      </c>
      <c r="F95" s="30">
        <f>IFERROR(Cash_flow!F25,0)</f>
        <v>-13046</v>
      </c>
      <c r="G95" s="30">
        <f>IFERROR(Cash_flow!G25,0)</f>
        <v>-813</v>
      </c>
      <c r="H95" s="30">
        <f>IFERROR(Cash_flow!H25,0)</f>
        <v>-7478</v>
      </c>
      <c r="I95" s="30">
        <f>IFERROR(Cash_flow!I25,0)</f>
        <v>34</v>
      </c>
      <c r="J95" s="30">
        <f>IFERROR(Cash_flow!J25,0)</f>
        <v>-11017</v>
      </c>
      <c r="K95" s="30">
        <f>IFERROR(Cash_flow!K25,0)</f>
        <v>-11846</v>
      </c>
      <c r="L95" s="30">
        <f>IFERROR(Cash_flow!L25,0)</f>
        <v>-754</v>
      </c>
    </row>
    <row r="96" spans="2:12" x14ac:dyDescent="0.35">
      <c r="B96" s="24" t="s">
        <v>33</v>
      </c>
      <c r="C96" s="43">
        <f>SUM(C92:C95)</f>
        <v>-4935</v>
      </c>
      <c r="D96" s="43">
        <f t="shared" ref="D96:L96" si="24">SUM(D92:D95)</f>
        <v>-6813</v>
      </c>
      <c r="E96" s="43">
        <f t="shared" si="24"/>
        <v>-6939</v>
      </c>
      <c r="F96" s="43">
        <f t="shared" si="24"/>
        <v>-20505</v>
      </c>
      <c r="G96" s="43">
        <f t="shared" si="24"/>
        <v>-14512</v>
      </c>
      <c r="H96" s="43">
        <f t="shared" si="24"/>
        <v>-17591</v>
      </c>
      <c r="I96" s="43">
        <f t="shared" si="24"/>
        <v>-9786</v>
      </c>
      <c r="J96" s="43">
        <f t="shared" si="24"/>
        <v>-24642</v>
      </c>
      <c r="K96" s="43">
        <f t="shared" si="24"/>
        <v>-26695</v>
      </c>
      <c r="L96" s="43">
        <f t="shared" si="24"/>
        <v>-17504</v>
      </c>
    </row>
    <row r="98" spans="2:12" x14ac:dyDescent="0.35">
      <c r="B98" s="24" t="s">
        <v>34</v>
      </c>
      <c r="C98" s="43">
        <f>IFERROR(C77+C89+C96,0)</f>
        <v>3575</v>
      </c>
      <c r="D98" s="43">
        <f t="shared" ref="D98:L98" si="25">IFERROR(D77+D89+D96,0)</f>
        <v>384</v>
      </c>
      <c r="E98" s="43">
        <f t="shared" si="25"/>
        <v>-12228</v>
      </c>
      <c r="F98" s="43">
        <f t="shared" si="25"/>
        <v>-2670</v>
      </c>
      <c r="G98" s="43">
        <f t="shared" si="25"/>
        <v>-756</v>
      </c>
      <c r="H98" s="43">
        <f t="shared" si="25"/>
        <v>-3286</v>
      </c>
      <c r="I98" s="43">
        <f t="shared" si="25"/>
        <v>6833</v>
      </c>
      <c r="J98" s="43">
        <f t="shared" si="25"/>
        <v>-8666</v>
      </c>
      <c r="K98" s="43">
        <f t="shared" si="25"/>
        <v>-11643</v>
      </c>
      <c r="L98" s="43">
        <f t="shared" si="25"/>
        <v>-2469</v>
      </c>
    </row>
  </sheetData>
  <mergeCells count="1">
    <mergeCell ref="B2:M2"/>
  </mergeCells>
  <pageMargins left="0.7" right="0.7" top="0.75" bottom="0.75" header="0.3" footer="0.3"/>
  <ignoredErrors>
    <ignoredError sqref="M6 C9:M9 C15:L15 M21 M24 M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BCFC-429E-47FB-9771-A761F9079E33}">
  <dimension ref="B2:L26"/>
  <sheetViews>
    <sheetView workbookViewId="0">
      <selection activeCell="B26" sqref="B26"/>
    </sheetView>
  </sheetViews>
  <sheetFormatPr defaultRowHeight="14.5" x14ac:dyDescent="0.35"/>
  <cols>
    <col min="2" max="2" width="30.54296875" bestFit="1" customWidth="1"/>
    <col min="3" max="3" width="7.54296875" bestFit="1" customWidth="1"/>
  </cols>
  <sheetData>
    <row r="2" spans="2:12" x14ac:dyDescent="0.35">
      <c r="B2" s="45"/>
      <c r="C2" s="45">
        <v>42064</v>
      </c>
      <c r="D2" s="45">
        <v>42430</v>
      </c>
      <c r="E2" s="45">
        <v>42795</v>
      </c>
      <c r="F2" s="45">
        <v>43160</v>
      </c>
      <c r="G2" s="45">
        <v>43525</v>
      </c>
      <c r="H2" s="45">
        <v>43891</v>
      </c>
      <c r="I2" s="45">
        <v>44256</v>
      </c>
      <c r="J2" s="45">
        <v>44621</v>
      </c>
      <c r="K2" s="45">
        <v>44986</v>
      </c>
      <c r="L2" s="52">
        <v>45352</v>
      </c>
    </row>
    <row r="3" spans="2:12" x14ac:dyDescent="0.35">
      <c r="B3" s="46" t="s">
        <v>132</v>
      </c>
      <c r="C3" s="47">
        <v>8353</v>
      </c>
      <c r="D3" s="47">
        <v>10028</v>
      </c>
      <c r="E3" s="47">
        <v>11531</v>
      </c>
      <c r="F3" s="47">
        <v>13218</v>
      </c>
      <c r="G3" s="47">
        <v>14841</v>
      </c>
      <c r="H3" s="47">
        <v>17003</v>
      </c>
      <c r="I3" s="47">
        <v>23224</v>
      </c>
      <c r="J3" s="47">
        <v>23885</v>
      </c>
      <c r="K3" s="47">
        <v>22467</v>
      </c>
      <c r="L3" s="47">
        <v>25210</v>
      </c>
    </row>
    <row r="4" spans="2:12" x14ac:dyDescent="0.35">
      <c r="B4" s="46" t="s">
        <v>113</v>
      </c>
      <c r="C4" s="47">
        <v>15946</v>
      </c>
      <c r="D4" s="47">
        <v>17839</v>
      </c>
      <c r="E4" s="47">
        <v>19340</v>
      </c>
      <c r="F4" s="47">
        <v>19963</v>
      </c>
      <c r="G4" s="47">
        <v>22126</v>
      </c>
      <c r="H4" s="47">
        <v>23920</v>
      </c>
      <c r="I4" s="47">
        <v>28845</v>
      </c>
      <c r="J4" s="47">
        <v>32921</v>
      </c>
      <c r="K4" s="47">
        <v>37605</v>
      </c>
      <c r="L4" s="47">
        <v>39523</v>
      </c>
    </row>
    <row r="5" spans="2:12" x14ac:dyDescent="0.35">
      <c r="B5" s="48" t="s">
        <v>68</v>
      </c>
      <c r="C5" s="50">
        <v>-1475</v>
      </c>
      <c r="D5" s="50">
        <v>-1654</v>
      </c>
      <c r="E5" s="50">
        <v>-1743</v>
      </c>
      <c r="F5" s="50">
        <v>-1523</v>
      </c>
      <c r="G5" s="50">
        <v>-2881</v>
      </c>
      <c r="H5" s="50">
        <v>-3861</v>
      </c>
      <c r="I5" s="50">
        <v>-1835</v>
      </c>
      <c r="J5" s="50">
        <v>-7937</v>
      </c>
      <c r="K5" s="50">
        <v>-7076</v>
      </c>
      <c r="L5" s="50">
        <v>-2667</v>
      </c>
    </row>
    <row r="6" spans="2:12" x14ac:dyDescent="0.35">
      <c r="B6" s="48" t="s">
        <v>114</v>
      </c>
      <c r="C6" s="49">
        <v>0</v>
      </c>
      <c r="D6" s="49">
        <v>242</v>
      </c>
      <c r="E6" s="49">
        <v>-19</v>
      </c>
      <c r="F6" s="49">
        <v>328</v>
      </c>
      <c r="G6" s="49">
        <v>916</v>
      </c>
      <c r="H6" s="49">
        <v>-373</v>
      </c>
      <c r="I6" s="49">
        <v>-245</v>
      </c>
      <c r="J6" s="50">
        <v>1489</v>
      </c>
      <c r="K6" s="49">
        <v>-279</v>
      </c>
      <c r="L6" s="49">
        <v>91</v>
      </c>
    </row>
    <row r="7" spans="2:12" x14ac:dyDescent="0.35">
      <c r="B7" s="48" t="s">
        <v>115</v>
      </c>
      <c r="C7" s="49">
        <v>-221</v>
      </c>
      <c r="D7" s="50">
        <v>-1134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50">
        <v>-1914</v>
      </c>
      <c r="K7" s="50">
        <v>-3108</v>
      </c>
      <c r="L7" s="50">
        <v>-1172</v>
      </c>
    </row>
    <row r="8" spans="2:12" x14ac:dyDescent="0.35">
      <c r="B8" s="48" t="s">
        <v>116</v>
      </c>
      <c r="C8" s="49">
        <v>854</v>
      </c>
      <c r="D8" s="49">
        <v>600</v>
      </c>
      <c r="E8" s="49">
        <v>-394</v>
      </c>
      <c r="F8" s="50">
        <v>1279</v>
      </c>
      <c r="G8" s="50">
        <v>1512</v>
      </c>
      <c r="H8" s="50">
        <v>1867</v>
      </c>
      <c r="I8" s="50">
        <v>2848</v>
      </c>
      <c r="J8" s="50">
        <v>6938</v>
      </c>
      <c r="K8" s="50">
        <v>4119</v>
      </c>
      <c r="L8" s="50">
        <v>-1334</v>
      </c>
    </row>
    <row r="9" spans="2:12" x14ac:dyDescent="0.35">
      <c r="B9" s="46" t="s">
        <v>117</v>
      </c>
      <c r="C9" s="51">
        <v>-842</v>
      </c>
      <c r="D9" s="47">
        <v>-1946</v>
      </c>
      <c r="E9" s="47">
        <v>-2156</v>
      </c>
      <c r="F9" s="51">
        <v>84</v>
      </c>
      <c r="G9" s="51">
        <v>-453</v>
      </c>
      <c r="H9" s="47">
        <v>-2367</v>
      </c>
      <c r="I9" s="51">
        <v>768</v>
      </c>
      <c r="J9" s="47">
        <v>-1424</v>
      </c>
      <c r="K9" s="47">
        <v>-6344</v>
      </c>
      <c r="L9" s="47">
        <v>-5082</v>
      </c>
    </row>
    <row r="10" spans="2:12" x14ac:dyDescent="0.35">
      <c r="B10" s="48" t="s">
        <v>118</v>
      </c>
      <c r="C10" s="50">
        <v>-6751</v>
      </c>
      <c r="D10" s="50">
        <v>-5865</v>
      </c>
      <c r="E10" s="50">
        <v>-5653</v>
      </c>
      <c r="F10" s="50">
        <v>-6829</v>
      </c>
      <c r="G10" s="50">
        <v>-6832</v>
      </c>
      <c r="H10" s="50">
        <v>-4550</v>
      </c>
      <c r="I10" s="50">
        <v>-6389</v>
      </c>
      <c r="J10" s="50">
        <v>-7612</v>
      </c>
      <c r="K10" s="50">
        <v>-8794</v>
      </c>
      <c r="L10" s="50">
        <v>-9231</v>
      </c>
    </row>
    <row r="11" spans="2:12" x14ac:dyDescent="0.35">
      <c r="B11" s="46" t="s">
        <v>133</v>
      </c>
      <c r="C11" s="51">
        <v>999</v>
      </c>
      <c r="D11" s="51">
        <v>-885</v>
      </c>
      <c r="E11" s="47">
        <v>-14664</v>
      </c>
      <c r="F11" s="47">
        <v>4533</v>
      </c>
      <c r="G11" s="51">
        <v>-632</v>
      </c>
      <c r="H11" s="51">
        <v>-331</v>
      </c>
      <c r="I11" s="47">
        <v>-7373</v>
      </c>
      <c r="J11" s="47">
        <v>-6485</v>
      </c>
      <c r="K11" s="47">
        <v>-1071</v>
      </c>
      <c r="L11" s="47">
        <v>-5093</v>
      </c>
    </row>
    <row r="12" spans="2:12" x14ac:dyDescent="0.35">
      <c r="B12" s="48" t="s">
        <v>119</v>
      </c>
      <c r="C12" s="50">
        <v>-2247</v>
      </c>
      <c r="D12" s="50">
        <v>-2723</v>
      </c>
      <c r="E12" s="50">
        <v>-2760</v>
      </c>
      <c r="F12" s="50">
        <v>-1998</v>
      </c>
      <c r="G12" s="50">
        <v>-2445</v>
      </c>
      <c r="H12" s="50">
        <v>-3307</v>
      </c>
      <c r="I12" s="50">
        <v>-2107</v>
      </c>
      <c r="J12" s="50">
        <v>-2161</v>
      </c>
      <c r="K12" s="50">
        <v>-2579</v>
      </c>
      <c r="L12" s="50">
        <v>-2201</v>
      </c>
    </row>
    <row r="13" spans="2:12" x14ac:dyDescent="0.35">
      <c r="B13" s="48" t="s">
        <v>120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</row>
    <row r="14" spans="2:12" x14ac:dyDescent="0.35">
      <c r="B14" s="48" t="s">
        <v>121</v>
      </c>
      <c r="C14" s="50">
        <v>-23923</v>
      </c>
      <c r="D14" s="50">
        <v>-24577</v>
      </c>
      <c r="E14" s="50">
        <v>-66410</v>
      </c>
      <c r="F14" s="50">
        <v>-69159</v>
      </c>
      <c r="G14" s="50">
        <v>-79410</v>
      </c>
      <c r="H14" s="50">
        <v>-37482</v>
      </c>
      <c r="I14" s="50">
        <v>-46738</v>
      </c>
      <c r="J14" s="50">
        <v>-59951</v>
      </c>
      <c r="K14" s="50">
        <v>-75800</v>
      </c>
      <c r="L14" s="50">
        <v>-78092</v>
      </c>
    </row>
    <row r="15" spans="2:12" x14ac:dyDescent="0.35">
      <c r="B15" s="48" t="s">
        <v>122</v>
      </c>
      <c r="C15" s="50">
        <v>25253</v>
      </c>
      <c r="D15" s="50">
        <v>24980</v>
      </c>
      <c r="E15" s="50">
        <v>52048</v>
      </c>
      <c r="F15" s="50">
        <v>74003</v>
      </c>
      <c r="G15" s="50">
        <v>78098</v>
      </c>
      <c r="H15" s="50">
        <v>38861</v>
      </c>
      <c r="I15" s="50">
        <v>40381</v>
      </c>
      <c r="J15" s="50">
        <v>57356</v>
      </c>
      <c r="K15" s="50">
        <v>76722</v>
      </c>
      <c r="L15" s="50">
        <v>72930</v>
      </c>
    </row>
    <row r="16" spans="2:12" x14ac:dyDescent="0.35">
      <c r="B16" s="48" t="s">
        <v>123</v>
      </c>
      <c r="C16" s="50">
        <v>2551</v>
      </c>
      <c r="D16" s="50">
        <v>2383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</row>
    <row r="17" spans="2:12" x14ac:dyDescent="0.35">
      <c r="B17" s="48" t="s">
        <v>124</v>
      </c>
      <c r="C17" s="49">
        <v>0</v>
      </c>
      <c r="D17" s="49">
        <v>0</v>
      </c>
      <c r="E17" s="50">
        <v>2753</v>
      </c>
      <c r="F17" s="50">
        <v>1768</v>
      </c>
      <c r="G17" s="50">
        <v>1557</v>
      </c>
      <c r="H17" s="50">
        <v>1929</v>
      </c>
      <c r="I17" s="50">
        <v>1418</v>
      </c>
      <c r="J17" s="50">
        <v>1898</v>
      </c>
      <c r="K17" s="50">
        <v>1525</v>
      </c>
      <c r="L17" s="50">
        <v>1768</v>
      </c>
    </row>
    <row r="18" spans="2:12" x14ac:dyDescent="0.35">
      <c r="B18" s="48" t="s">
        <v>125</v>
      </c>
      <c r="C18" s="50">
        <v>-1376</v>
      </c>
      <c r="D18" s="49">
        <v>-747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</row>
    <row r="19" spans="2:12" x14ac:dyDescent="0.35">
      <c r="B19" s="48" t="s">
        <v>126</v>
      </c>
      <c r="C19" s="49">
        <v>0</v>
      </c>
      <c r="D19" s="49">
        <v>-142</v>
      </c>
      <c r="E19" s="49">
        <v>-164</v>
      </c>
      <c r="F19" s="49">
        <v>-130</v>
      </c>
      <c r="G19" s="49">
        <v>-24</v>
      </c>
      <c r="H19" s="49">
        <v>-108</v>
      </c>
      <c r="I19" s="49">
        <v>-207</v>
      </c>
      <c r="J19" s="49">
        <v>0</v>
      </c>
      <c r="K19" s="49">
        <v>0</v>
      </c>
      <c r="L19" s="49">
        <v>0</v>
      </c>
    </row>
    <row r="20" spans="2:12" x14ac:dyDescent="0.35">
      <c r="B20" s="48" t="s">
        <v>127</v>
      </c>
      <c r="C20" s="49">
        <v>741</v>
      </c>
      <c r="D20" s="49">
        <v>-59</v>
      </c>
      <c r="E20" s="49">
        <v>-131</v>
      </c>
      <c r="F20" s="49">
        <v>49</v>
      </c>
      <c r="G20" s="50">
        <v>1592</v>
      </c>
      <c r="H20" s="49">
        <v>-224</v>
      </c>
      <c r="I20" s="49">
        <v>-120</v>
      </c>
      <c r="J20" s="50">
        <v>-3627</v>
      </c>
      <c r="K20" s="49">
        <v>-939</v>
      </c>
      <c r="L20" s="49">
        <v>502</v>
      </c>
    </row>
    <row r="21" spans="2:12" x14ac:dyDescent="0.35">
      <c r="B21" s="46" t="s">
        <v>134</v>
      </c>
      <c r="C21" s="47">
        <v>-4935</v>
      </c>
      <c r="D21" s="47">
        <v>-6813</v>
      </c>
      <c r="E21" s="47">
        <v>-6939</v>
      </c>
      <c r="F21" s="47">
        <v>-20505</v>
      </c>
      <c r="G21" s="47">
        <v>-14512</v>
      </c>
      <c r="H21" s="47">
        <v>-17591</v>
      </c>
      <c r="I21" s="47">
        <v>-9786</v>
      </c>
      <c r="J21" s="47">
        <v>-24642</v>
      </c>
      <c r="K21" s="47">
        <v>-26695</v>
      </c>
      <c r="L21" s="47">
        <v>-17504</v>
      </c>
    </row>
    <row r="22" spans="2:12" x14ac:dyDescent="0.35">
      <c r="B22" s="48" t="s">
        <v>128</v>
      </c>
      <c r="C22" s="49">
        <v>0</v>
      </c>
      <c r="D22" s="49">
        <v>0</v>
      </c>
      <c r="E22" s="49">
        <v>0</v>
      </c>
      <c r="F22" s="49">
        <v>5</v>
      </c>
      <c r="G22" s="49">
        <v>6</v>
      </c>
      <c r="H22" s="49">
        <v>6</v>
      </c>
      <c r="I22" s="49">
        <v>15</v>
      </c>
      <c r="J22" s="49">
        <v>21</v>
      </c>
      <c r="K22" s="49">
        <v>35</v>
      </c>
      <c r="L22" s="49">
        <v>5</v>
      </c>
    </row>
    <row r="23" spans="2:12" x14ac:dyDescent="0.35">
      <c r="B23" s="48" t="s">
        <v>129</v>
      </c>
      <c r="C23" s="50">
        <v>-4935</v>
      </c>
      <c r="D23" s="50">
        <v>-6813</v>
      </c>
      <c r="E23" s="50">
        <v>-6939</v>
      </c>
      <c r="F23" s="50">
        <v>-7464</v>
      </c>
      <c r="G23" s="50">
        <v>-13705</v>
      </c>
      <c r="H23" s="50">
        <v>-9548</v>
      </c>
      <c r="I23" s="50">
        <v>-9137</v>
      </c>
      <c r="J23" s="50">
        <v>-12731</v>
      </c>
      <c r="K23" s="50">
        <v>-13653</v>
      </c>
      <c r="L23" s="50">
        <v>-14731</v>
      </c>
    </row>
    <row r="24" spans="2:12" x14ac:dyDescent="0.35">
      <c r="B24" s="48" t="s">
        <v>130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-571</v>
      </c>
      <c r="I24" s="49">
        <v>-698</v>
      </c>
      <c r="J24" s="49">
        <v>-915</v>
      </c>
      <c r="K24" s="50">
        <v>-1231</v>
      </c>
      <c r="L24" s="50">
        <v>-2024</v>
      </c>
    </row>
    <row r="25" spans="2:12" x14ac:dyDescent="0.35">
      <c r="B25" s="48" t="s">
        <v>131</v>
      </c>
      <c r="C25" s="49">
        <v>0</v>
      </c>
      <c r="D25" s="49">
        <v>0</v>
      </c>
      <c r="E25" s="49">
        <v>0</v>
      </c>
      <c r="F25" s="50">
        <v>-13046</v>
      </c>
      <c r="G25" s="49">
        <v>-813</v>
      </c>
      <c r="H25" s="50">
        <v>-7478</v>
      </c>
      <c r="I25" s="49">
        <v>34</v>
      </c>
      <c r="J25" s="50">
        <v>-11017</v>
      </c>
      <c r="K25" s="50">
        <v>-11846</v>
      </c>
      <c r="L25" s="49">
        <v>-754</v>
      </c>
    </row>
    <row r="26" spans="2:12" x14ac:dyDescent="0.35">
      <c r="B26" s="46" t="s">
        <v>34</v>
      </c>
      <c r="C26" s="47">
        <v>4417</v>
      </c>
      <c r="D26" s="47">
        <v>2330</v>
      </c>
      <c r="E26" s="47">
        <v>-10072</v>
      </c>
      <c r="F26" s="47">
        <v>-2754</v>
      </c>
      <c r="G26" s="51">
        <v>-303</v>
      </c>
      <c r="H26" s="51">
        <v>-919</v>
      </c>
      <c r="I26" s="47">
        <v>6065</v>
      </c>
      <c r="J26" s="47">
        <v>-7242</v>
      </c>
      <c r="K26" s="47">
        <v>-5299</v>
      </c>
      <c r="L26" s="47">
        <v>2613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K93"/>
  <sheetViews>
    <sheetView zoomScale="86" zoomScaleNormal="120" zoomScalePageLayoutView="120" workbookViewId="0">
      <pane xSplit="1" ySplit="1" topLeftCell="B62" activePane="bottomRight" state="frozen"/>
      <selection activeCell="C4" sqref="C4"/>
      <selection pane="topRight" activeCell="C4" sqref="C4"/>
      <selection pane="bottomLeft" activeCell="C4" sqref="C4"/>
      <selection pane="bottomRight" activeCell="K67" sqref="K67:K69"/>
    </sheetView>
  </sheetViews>
  <sheetFormatPr defaultColWidth="8.81640625" defaultRowHeight="14.5" x14ac:dyDescent="0.35"/>
  <cols>
    <col min="1" max="1" width="27.6328125" style="4" bestFit="1" customWidth="1"/>
    <col min="2" max="11" width="13.453125" style="4" bestFit="1" customWidth="1"/>
    <col min="12" max="16384" width="8.81640625" style="4"/>
  </cols>
  <sheetData>
    <row r="1" spans="1:11" s="1" customFormat="1" x14ac:dyDescent="0.35">
      <c r="A1" s="1" t="s">
        <v>80</v>
      </c>
      <c r="B1" s="1" t="s">
        <v>53</v>
      </c>
      <c r="E1" s="21" t="str">
        <f>IF(B2&lt;&gt;B3, "A NEW VERSION OF THE WORKSHEET IS AVAILABLE", "")</f>
        <v/>
      </c>
      <c r="F1" s="21"/>
      <c r="G1" s="21"/>
      <c r="H1" s="21"/>
      <c r="I1" s="21"/>
      <c r="J1" s="21"/>
      <c r="K1" s="21"/>
    </row>
    <row r="2" spans="1:11" x14ac:dyDescent="0.35">
      <c r="A2" s="1" t="s">
        <v>51</v>
      </c>
      <c r="B2" s="4">
        <v>2.1</v>
      </c>
      <c r="E2" s="22" t="s">
        <v>35</v>
      </c>
      <c r="F2" s="22"/>
      <c r="G2" s="22"/>
      <c r="H2" s="22"/>
      <c r="I2" s="22"/>
      <c r="J2" s="22"/>
      <c r="K2" s="22"/>
    </row>
    <row r="3" spans="1:11" x14ac:dyDescent="0.35">
      <c r="A3" s="1" t="s">
        <v>52</v>
      </c>
      <c r="B3" s="4">
        <v>2.1</v>
      </c>
    </row>
    <row r="4" spans="1:11" x14ac:dyDescent="0.35">
      <c r="A4" s="1"/>
    </row>
    <row r="5" spans="1:11" x14ac:dyDescent="0.35">
      <c r="A5" s="1" t="s">
        <v>54</v>
      </c>
    </row>
    <row r="6" spans="1:11" x14ac:dyDescent="0.35">
      <c r="A6" s="4" t="s">
        <v>41</v>
      </c>
      <c r="B6" s="4">
        <f>IF(B9&gt;0, B9/B8, 0)</f>
        <v>415.22691914826743</v>
      </c>
    </row>
    <row r="7" spans="1:11" x14ac:dyDescent="0.35">
      <c r="A7" s="4" t="s">
        <v>30</v>
      </c>
      <c r="B7">
        <v>5</v>
      </c>
    </row>
    <row r="8" spans="1:11" x14ac:dyDescent="0.35">
      <c r="A8" s="4" t="s">
        <v>42</v>
      </c>
      <c r="B8">
        <v>1909.05</v>
      </c>
    </row>
    <row r="9" spans="1:11" x14ac:dyDescent="0.35">
      <c r="A9" s="4" t="s">
        <v>69</v>
      </c>
      <c r="B9">
        <v>792688.95</v>
      </c>
    </row>
    <row r="15" spans="1:11" x14ac:dyDescent="0.35">
      <c r="A15" s="1" t="s">
        <v>36</v>
      </c>
    </row>
    <row r="16" spans="1:11" s="18" customFormat="1" x14ac:dyDescent="0.35">
      <c r="A16" s="17" t="s">
        <v>37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 x14ac:dyDescent="0.35">
      <c r="A17" s="6" t="s">
        <v>5</v>
      </c>
      <c r="B17">
        <v>53319</v>
      </c>
      <c r="C17">
        <v>62441</v>
      </c>
      <c r="D17">
        <v>68484</v>
      </c>
      <c r="E17">
        <v>70522</v>
      </c>
      <c r="F17">
        <v>82675</v>
      </c>
      <c r="G17">
        <v>90791</v>
      </c>
      <c r="H17">
        <v>100472</v>
      </c>
      <c r="I17">
        <v>121641</v>
      </c>
      <c r="J17">
        <v>146767</v>
      </c>
      <c r="K17">
        <v>153670</v>
      </c>
    </row>
    <row r="18" spans="1:11" s="6" customFormat="1" x14ac:dyDescent="0.35">
      <c r="A18" s="4" t="s">
        <v>70</v>
      </c>
    </row>
    <row r="19" spans="1:11" s="6" customFormat="1" x14ac:dyDescent="0.35">
      <c r="A19" s="4" t="s">
        <v>71</v>
      </c>
    </row>
    <row r="20" spans="1:11" s="6" customFormat="1" x14ac:dyDescent="0.35">
      <c r="A20" s="4" t="s">
        <v>72</v>
      </c>
      <c r="B20">
        <v>219</v>
      </c>
      <c r="C20">
        <v>217</v>
      </c>
      <c r="D20">
        <v>228</v>
      </c>
      <c r="E20">
        <v>207</v>
      </c>
      <c r="F20">
        <v>221</v>
      </c>
      <c r="G20">
        <v>229</v>
      </c>
      <c r="H20">
        <v>143</v>
      </c>
      <c r="I20">
        <v>132</v>
      </c>
      <c r="J20">
        <v>176</v>
      </c>
      <c r="K20">
        <v>199</v>
      </c>
    </row>
    <row r="21" spans="1:11" s="6" customFormat="1" x14ac:dyDescent="0.35">
      <c r="A21" s="4" t="s">
        <v>73</v>
      </c>
      <c r="B21">
        <v>3979</v>
      </c>
      <c r="C21">
        <v>5860</v>
      </c>
      <c r="D21">
        <v>6712</v>
      </c>
      <c r="E21">
        <v>7286</v>
      </c>
      <c r="F21">
        <v>9902</v>
      </c>
      <c r="G21">
        <v>11086</v>
      </c>
      <c r="H21">
        <v>12800</v>
      </c>
      <c r="I21">
        <v>20690</v>
      </c>
      <c r="J21">
        <v>26330</v>
      </c>
      <c r="K21">
        <v>27195</v>
      </c>
    </row>
    <row r="22" spans="1:11" s="6" customFormat="1" x14ac:dyDescent="0.35">
      <c r="A22" s="4" t="s">
        <v>74</v>
      </c>
      <c r="B22">
        <v>29811</v>
      </c>
      <c r="C22">
        <v>34415</v>
      </c>
      <c r="D22">
        <v>37669</v>
      </c>
      <c r="E22">
        <v>38902</v>
      </c>
      <c r="F22">
        <v>45323</v>
      </c>
      <c r="G22">
        <v>50895</v>
      </c>
      <c r="H22">
        <v>55547</v>
      </c>
      <c r="I22">
        <v>63997</v>
      </c>
      <c r="J22">
        <v>78374</v>
      </c>
      <c r="K22">
        <v>82636</v>
      </c>
    </row>
    <row r="23" spans="1:11" s="6" customFormat="1" x14ac:dyDescent="0.35">
      <c r="A23" s="4" t="s">
        <v>75</v>
      </c>
      <c r="B23">
        <v>3385</v>
      </c>
      <c r="C23">
        <v>4441</v>
      </c>
      <c r="D23">
        <v>4584</v>
      </c>
      <c r="E23">
        <v>4585</v>
      </c>
      <c r="F23">
        <v>5553</v>
      </c>
      <c r="G23">
        <v>5375</v>
      </c>
      <c r="H23">
        <v>3194</v>
      </c>
      <c r="I23">
        <v>4305</v>
      </c>
      <c r="J23">
        <v>5300</v>
      </c>
      <c r="K23">
        <v>5705</v>
      </c>
    </row>
    <row r="24" spans="1:11" s="6" customFormat="1" x14ac:dyDescent="0.35">
      <c r="A24" s="4" t="s">
        <v>76</v>
      </c>
      <c r="B24">
        <v>1042</v>
      </c>
      <c r="C24">
        <v>429</v>
      </c>
      <c r="D24">
        <v>687</v>
      </c>
      <c r="E24">
        <v>720</v>
      </c>
      <c r="F24">
        <v>1506</v>
      </c>
      <c r="G24">
        <v>939</v>
      </c>
      <c r="H24">
        <v>899</v>
      </c>
      <c r="I24">
        <v>1026</v>
      </c>
      <c r="J24">
        <v>1457</v>
      </c>
      <c r="K24">
        <v>1510</v>
      </c>
    </row>
    <row r="25" spans="1:11" s="6" customFormat="1" x14ac:dyDescent="0.35">
      <c r="A25" s="6" t="s">
        <v>8</v>
      </c>
      <c r="B25">
        <v>3430</v>
      </c>
      <c r="C25">
        <v>3120</v>
      </c>
      <c r="D25">
        <v>3050</v>
      </c>
      <c r="E25">
        <v>3311</v>
      </c>
      <c r="F25">
        <v>2882</v>
      </c>
      <c r="G25">
        <v>2803</v>
      </c>
      <c r="H25">
        <v>2201</v>
      </c>
      <c r="I25">
        <v>2295</v>
      </c>
      <c r="J25">
        <v>2701</v>
      </c>
      <c r="K25">
        <v>4711</v>
      </c>
    </row>
    <row r="26" spans="1:11" s="6" customFormat="1" x14ac:dyDescent="0.35">
      <c r="A26" s="6" t="s">
        <v>9</v>
      </c>
      <c r="B26">
        <v>1017</v>
      </c>
      <c r="C26">
        <v>1459</v>
      </c>
      <c r="D26">
        <v>1703</v>
      </c>
      <c r="E26">
        <v>1863</v>
      </c>
      <c r="F26">
        <v>2011</v>
      </c>
      <c r="G26">
        <v>2893</v>
      </c>
      <c r="H26">
        <v>3267</v>
      </c>
      <c r="I26">
        <v>3476</v>
      </c>
      <c r="J26">
        <v>4225</v>
      </c>
      <c r="K26">
        <v>4678</v>
      </c>
    </row>
    <row r="27" spans="1:11" s="6" customFormat="1" x14ac:dyDescent="0.35">
      <c r="A27" s="6" t="s">
        <v>10</v>
      </c>
      <c r="B27">
        <v>12</v>
      </c>
      <c r="G27">
        <v>170</v>
      </c>
      <c r="H27">
        <v>195</v>
      </c>
      <c r="I27">
        <v>200</v>
      </c>
      <c r="J27">
        <v>284</v>
      </c>
      <c r="K27">
        <v>470</v>
      </c>
    </row>
    <row r="28" spans="1:11" s="6" customFormat="1" x14ac:dyDescent="0.35">
      <c r="A28" s="6" t="s">
        <v>11</v>
      </c>
      <c r="B28">
        <v>17284</v>
      </c>
      <c r="C28">
        <v>18740</v>
      </c>
      <c r="D28">
        <v>19951</v>
      </c>
      <c r="E28">
        <v>20270</v>
      </c>
      <c r="F28">
        <v>21041</v>
      </c>
      <c r="G28">
        <v>22007</v>
      </c>
      <c r="H28">
        <v>26628</v>
      </c>
      <c r="I28">
        <v>30110</v>
      </c>
      <c r="J28">
        <v>33322</v>
      </c>
      <c r="K28">
        <v>35988</v>
      </c>
    </row>
    <row r="29" spans="1:11" s="6" customFormat="1" x14ac:dyDescent="0.35">
      <c r="A29" s="6" t="s">
        <v>12</v>
      </c>
      <c r="B29">
        <v>4911</v>
      </c>
      <c r="C29">
        <v>5251</v>
      </c>
      <c r="D29">
        <v>5598</v>
      </c>
      <c r="E29">
        <v>4241</v>
      </c>
      <c r="F29">
        <v>5631</v>
      </c>
      <c r="G29">
        <v>5368</v>
      </c>
      <c r="H29">
        <v>7205</v>
      </c>
      <c r="I29">
        <v>7964</v>
      </c>
      <c r="J29">
        <v>9214</v>
      </c>
      <c r="K29">
        <v>9740</v>
      </c>
    </row>
    <row r="30" spans="1:11" s="6" customFormat="1" x14ac:dyDescent="0.35">
      <c r="A30" s="6" t="s">
        <v>13</v>
      </c>
      <c r="B30">
        <v>12372</v>
      </c>
      <c r="C30">
        <v>13489</v>
      </c>
      <c r="D30">
        <v>14353</v>
      </c>
      <c r="E30">
        <v>16029</v>
      </c>
      <c r="F30">
        <v>15404</v>
      </c>
      <c r="G30">
        <v>16594</v>
      </c>
      <c r="H30">
        <v>19351</v>
      </c>
      <c r="I30">
        <v>22110</v>
      </c>
      <c r="J30">
        <v>24095</v>
      </c>
      <c r="K30">
        <v>26233</v>
      </c>
    </row>
    <row r="31" spans="1:11" s="6" customFormat="1" x14ac:dyDescent="0.35">
      <c r="A31" s="6" t="s">
        <v>60</v>
      </c>
      <c r="B31">
        <v>6806.8</v>
      </c>
      <c r="C31">
        <v>5548.4</v>
      </c>
      <c r="D31">
        <v>5891.6</v>
      </c>
      <c r="E31">
        <v>9465.6</v>
      </c>
      <c r="F31">
        <v>9222.5</v>
      </c>
      <c r="G31">
        <v>7427</v>
      </c>
      <c r="H31">
        <v>11469.6</v>
      </c>
      <c r="I31">
        <v>13007.6</v>
      </c>
      <c r="J31">
        <v>14069.2</v>
      </c>
      <c r="K31">
        <v>19053.2</v>
      </c>
    </row>
    <row r="32" spans="1:11" s="6" customFormat="1" x14ac:dyDescent="0.35"/>
    <row r="33" spans="1:11" x14ac:dyDescent="0.35">
      <c r="A33" s="6"/>
    </row>
    <row r="34" spans="1:11" x14ac:dyDescent="0.35">
      <c r="A34" s="6"/>
    </row>
    <row r="35" spans="1:11" x14ac:dyDescent="0.35">
      <c r="A35" s="6"/>
    </row>
    <row r="36" spans="1:11" x14ac:dyDescent="0.35">
      <c r="A36" s="6"/>
    </row>
    <row r="37" spans="1:11" x14ac:dyDescent="0.35">
      <c r="A37" s="6"/>
    </row>
    <row r="38" spans="1:11" x14ac:dyDescent="0.35">
      <c r="A38" s="6"/>
    </row>
    <row r="39" spans="1:11" x14ac:dyDescent="0.35">
      <c r="A39" s="6"/>
    </row>
    <row r="40" spans="1:11" x14ac:dyDescent="0.35">
      <c r="A40" s="1" t="s">
        <v>38</v>
      </c>
    </row>
    <row r="41" spans="1:11" s="18" customFormat="1" x14ac:dyDescent="0.35">
      <c r="A41" s="17" t="s">
        <v>37</v>
      </c>
      <c r="B41" s="12">
        <v>44742</v>
      </c>
      <c r="C41" s="12">
        <v>44834</v>
      </c>
      <c r="D41" s="12">
        <v>44926</v>
      </c>
      <c r="E41" s="12">
        <v>45016</v>
      </c>
      <c r="F41" s="12">
        <v>45107</v>
      </c>
      <c r="G41" s="12">
        <v>45199</v>
      </c>
      <c r="H41" s="12">
        <v>45291</v>
      </c>
      <c r="I41" s="12">
        <v>45382</v>
      </c>
      <c r="J41" s="12">
        <v>45473</v>
      </c>
      <c r="K41" s="12">
        <v>45565</v>
      </c>
    </row>
    <row r="42" spans="1:11" s="6" customFormat="1" x14ac:dyDescent="0.35">
      <c r="A42" s="6" t="s">
        <v>5</v>
      </c>
      <c r="B42">
        <v>34470</v>
      </c>
      <c r="C42">
        <v>36538</v>
      </c>
      <c r="D42">
        <v>38318</v>
      </c>
      <c r="E42">
        <v>37441</v>
      </c>
      <c r="F42">
        <v>37933</v>
      </c>
      <c r="G42">
        <v>38994</v>
      </c>
      <c r="H42">
        <v>38821</v>
      </c>
      <c r="I42">
        <v>37923</v>
      </c>
      <c r="J42">
        <v>39315</v>
      </c>
      <c r="K42">
        <v>40986</v>
      </c>
    </row>
    <row r="43" spans="1:11" s="6" customFormat="1" x14ac:dyDescent="0.35">
      <c r="A43" s="6" t="s">
        <v>6</v>
      </c>
      <c r="B43">
        <v>26606</v>
      </c>
      <c r="C43">
        <v>27636</v>
      </c>
      <c r="D43">
        <v>28951</v>
      </c>
      <c r="E43">
        <v>28443</v>
      </c>
      <c r="F43">
        <v>28869</v>
      </c>
      <c r="G43">
        <v>29554</v>
      </c>
      <c r="H43">
        <v>29684</v>
      </c>
      <c r="I43">
        <v>29139</v>
      </c>
      <c r="J43">
        <v>29878</v>
      </c>
      <c r="K43">
        <v>31177</v>
      </c>
    </row>
    <row r="44" spans="1:11" s="6" customFormat="1" x14ac:dyDescent="0.35">
      <c r="A44" s="6" t="s">
        <v>8</v>
      </c>
      <c r="B44">
        <v>676</v>
      </c>
      <c r="C44">
        <v>584</v>
      </c>
      <c r="D44">
        <v>769</v>
      </c>
      <c r="E44">
        <v>671</v>
      </c>
      <c r="F44">
        <v>561</v>
      </c>
      <c r="G44">
        <v>632</v>
      </c>
      <c r="H44">
        <v>789</v>
      </c>
      <c r="I44">
        <v>2729</v>
      </c>
      <c r="J44">
        <v>838</v>
      </c>
      <c r="K44">
        <v>712</v>
      </c>
    </row>
    <row r="45" spans="1:11" s="6" customFormat="1" x14ac:dyDescent="0.35">
      <c r="A45" s="4" t="s">
        <v>9</v>
      </c>
      <c r="B45">
        <v>950</v>
      </c>
      <c r="C45">
        <v>1029</v>
      </c>
      <c r="D45">
        <v>1125</v>
      </c>
      <c r="E45">
        <v>1121</v>
      </c>
      <c r="F45">
        <v>1173</v>
      </c>
      <c r="G45">
        <v>1166</v>
      </c>
      <c r="H45">
        <v>1176</v>
      </c>
      <c r="I45">
        <v>1163</v>
      </c>
      <c r="J45">
        <v>1149</v>
      </c>
      <c r="K45">
        <v>1160</v>
      </c>
    </row>
    <row r="46" spans="1:11" s="6" customFormat="1" x14ac:dyDescent="0.35">
      <c r="A46" s="6" t="s">
        <v>10</v>
      </c>
      <c r="B46">
        <v>56</v>
      </c>
      <c r="C46">
        <v>66</v>
      </c>
      <c r="D46">
        <v>80</v>
      </c>
      <c r="E46">
        <v>82</v>
      </c>
      <c r="F46">
        <v>90</v>
      </c>
      <c r="G46">
        <v>138</v>
      </c>
      <c r="H46">
        <v>131</v>
      </c>
      <c r="I46">
        <v>110</v>
      </c>
      <c r="J46">
        <v>105</v>
      </c>
      <c r="K46">
        <v>108</v>
      </c>
    </row>
    <row r="47" spans="1:11" s="6" customFormat="1" x14ac:dyDescent="0.35">
      <c r="A47" s="6" t="s">
        <v>11</v>
      </c>
      <c r="B47">
        <v>7534</v>
      </c>
      <c r="C47">
        <v>8391</v>
      </c>
      <c r="D47">
        <v>8931</v>
      </c>
      <c r="E47">
        <v>8466</v>
      </c>
      <c r="F47">
        <v>8362</v>
      </c>
      <c r="G47">
        <v>8768</v>
      </c>
      <c r="H47">
        <v>8619</v>
      </c>
      <c r="I47">
        <v>10240</v>
      </c>
      <c r="J47">
        <v>9021</v>
      </c>
      <c r="K47">
        <v>9253</v>
      </c>
    </row>
    <row r="48" spans="1:11" s="6" customFormat="1" x14ac:dyDescent="0.35">
      <c r="A48" s="6" t="s">
        <v>12</v>
      </c>
      <c r="B48">
        <v>2172</v>
      </c>
      <c r="C48">
        <v>2365</v>
      </c>
      <c r="D48">
        <v>2345</v>
      </c>
      <c r="E48">
        <v>2332</v>
      </c>
      <c r="F48">
        <v>2417</v>
      </c>
      <c r="G48">
        <v>2553</v>
      </c>
      <c r="H48">
        <v>2506</v>
      </c>
      <c r="I48">
        <v>2265</v>
      </c>
      <c r="J48">
        <v>2647</v>
      </c>
      <c r="K48">
        <v>2737</v>
      </c>
    </row>
    <row r="49" spans="1:11" s="6" customFormat="1" x14ac:dyDescent="0.35">
      <c r="A49" s="6" t="s">
        <v>13</v>
      </c>
      <c r="B49">
        <v>5360</v>
      </c>
      <c r="C49">
        <v>6021</v>
      </c>
      <c r="D49">
        <v>6586</v>
      </c>
      <c r="E49">
        <v>6128</v>
      </c>
      <c r="F49">
        <v>5945</v>
      </c>
      <c r="G49">
        <v>6212</v>
      </c>
      <c r="H49">
        <v>6106</v>
      </c>
      <c r="I49">
        <v>7969</v>
      </c>
      <c r="J49">
        <v>6368</v>
      </c>
      <c r="K49">
        <v>6506</v>
      </c>
    </row>
    <row r="50" spans="1:11" x14ac:dyDescent="0.35">
      <c r="A50" s="6" t="s">
        <v>7</v>
      </c>
      <c r="B50">
        <v>7864</v>
      </c>
      <c r="C50">
        <v>8902</v>
      </c>
      <c r="D50">
        <v>9367</v>
      </c>
      <c r="E50">
        <v>8998</v>
      </c>
      <c r="F50">
        <v>9064</v>
      </c>
      <c r="G50">
        <v>9440</v>
      </c>
      <c r="H50">
        <v>9137</v>
      </c>
      <c r="I50">
        <v>8784</v>
      </c>
      <c r="J50">
        <v>9437</v>
      </c>
      <c r="K50">
        <v>9809</v>
      </c>
    </row>
    <row r="51" spans="1:11" x14ac:dyDescent="0.35">
      <c r="A51" s="6"/>
    </row>
    <row r="52" spans="1:11" x14ac:dyDescent="0.35">
      <c r="A52" s="6"/>
    </row>
    <row r="53" spans="1:11" x14ac:dyDescent="0.35">
      <c r="A53" s="6"/>
    </row>
    <row r="54" spans="1:11" x14ac:dyDescent="0.35">
      <c r="A54" s="6"/>
    </row>
    <row r="55" spans="1:11" x14ac:dyDescent="0.35">
      <c r="A55" s="1" t="s">
        <v>39</v>
      </c>
    </row>
    <row r="56" spans="1:11" s="18" customFormat="1" x14ac:dyDescent="0.35">
      <c r="A56" s="17" t="s">
        <v>37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 x14ac:dyDescent="0.35">
      <c r="A57" s="6" t="s">
        <v>23</v>
      </c>
      <c r="B57">
        <v>572</v>
      </c>
      <c r="C57">
        <v>1144</v>
      </c>
      <c r="D57">
        <v>1144</v>
      </c>
      <c r="E57">
        <v>1088</v>
      </c>
      <c r="F57">
        <v>2170</v>
      </c>
      <c r="G57">
        <v>2122</v>
      </c>
      <c r="H57">
        <v>2124</v>
      </c>
      <c r="I57">
        <v>2098</v>
      </c>
      <c r="J57">
        <v>2069</v>
      </c>
      <c r="K57">
        <v>2071</v>
      </c>
    </row>
    <row r="58" spans="1:11" x14ac:dyDescent="0.35">
      <c r="A58" s="6" t="s">
        <v>24</v>
      </c>
      <c r="B58">
        <v>50164</v>
      </c>
      <c r="C58">
        <v>60600</v>
      </c>
      <c r="D58">
        <v>67838</v>
      </c>
      <c r="E58">
        <v>63835</v>
      </c>
      <c r="F58">
        <v>62778</v>
      </c>
      <c r="G58">
        <v>63328</v>
      </c>
      <c r="H58">
        <v>74227</v>
      </c>
      <c r="I58">
        <v>73252</v>
      </c>
      <c r="J58">
        <v>73338</v>
      </c>
      <c r="K58">
        <v>86045</v>
      </c>
    </row>
    <row r="59" spans="1:11" x14ac:dyDescent="0.35">
      <c r="A59" s="6" t="s">
        <v>61</v>
      </c>
      <c r="G59">
        <v>4633</v>
      </c>
      <c r="H59">
        <v>5325</v>
      </c>
      <c r="I59">
        <v>5474</v>
      </c>
      <c r="J59">
        <v>8299</v>
      </c>
      <c r="K59">
        <v>8359</v>
      </c>
    </row>
    <row r="60" spans="1:11" x14ac:dyDescent="0.35">
      <c r="A60" s="6" t="s">
        <v>62</v>
      </c>
      <c r="B60">
        <v>15553</v>
      </c>
      <c r="C60">
        <v>13354</v>
      </c>
      <c r="D60">
        <v>14166</v>
      </c>
      <c r="E60">
        <v>14426</v>
      </c>
      <c r="F60">
        <v>19118</v>
      </c>
      <c r="G60">
        <v>21717</v>
      </c>
      <c r="H60">
        <v>25835</v>
      </c>
      <c r="I60">
        <v>35905</v>
      </c>
      <c r="J60">
        <v>40890</v>
      </c>
      <c r="K60">
        <v>39545</v>
      </c>
    </row>
    <row r="61" spans="1:11" s="1" customFormat="1" x14ac:dyDescent="0.35">
      <c r="A61" s="1" t="s">
        <v>25</v>
      </c>
      <c r="B61">
        <v>66289</v>
      </c>
      <c r="C61">
        <v>75098</v>
      </c>
      <c r="D61">
        <v>83148</v>
      </c>
      <c r="E61">
        <v>79349</v>
      </c>
      <c r="F61">
        <v>84066</v>
      </c>
      <c r="G61">
        <v>91800</v>
      </c>
      <c r="H61">
        <v>107511</v>
      </c>
      <c r="I61">
        <v>116729</v>
      </c>
      <c r="J61">
        <v>124596</v>
      </c>
      <c r="K61">
        <v>136020</v>
      </c>
    </row>
    <row r="62" spans="1:11" x14ac:dyDescent="0.35">
      <c r="A62" s="6" t="s">
        <v>26</v>
      </c>
      <c r="B62">
        <v>11346</v>
      </c>
      <c r="C62">
        <v>13386</v>
      </c>
      <c r="D62">
        <v>14179</v>
      </c>
      <c r="E62">
        <v>12574</v>
      </c>
      <c r="F62">
        <v>15710</v>
      </c>
      <c r="G62">
        <v>23789</v>
      </c>
      <c r="H62">
        <v>25505</v>
      </c>
      <c r="I62">
        <v>25800</v>
      </c>
      <c r="J62">
        <v>29225</v>
      </c>
      <c r="K62">
        <v>27622</v>
      </c>
    </row>
    <row r="63" spans="1:11" x14ac:dyDescent="0.35">
      <c r="A63" s="6" t="s">
        <v>27</v>
      </c>
      <c r="B63">
        <v>776</v>
      </c>
      <c r="C63">
        <v>960</v>
      </c>
      <c r="D63">
        <v>1365</v>
      </c>
      <c r="E63">
        <v>1606</v>
      </c>
      <c r="F63">
        <v>1388</v>
      </c>
      <c r="G63">
        <v>954</v>
      </c>
      <c r="H63">
        <v>922</v>
      </c>
      <c r="I63">
        <v>416</v>
      </c>
      <c r="J63">
        <v>288</v>
      </c>
      <c r="K63">
        <v>293</v>
      </c>
    </row>
    <row r="64" spans="1:11" x14ac:dyDescent="0.35">
      <c r="A64" s="6" t="s">
        <v>28</v>
      </c>
      <c r="B64">
        <v>2270</v>
      </c>
      <c r="C64">
        <v>1892</v>
      </c>
      <c r="D64">
        <v>16423</v>
      </c>
      <c r="E64">
        <v>12163</v>
      </c>
      <c r="F64">
        <v>11261</v>
      </c>
      <c r="G64">
        <v>8792</v>
      </c>
      <c r="H64">
        <v>14205</v>
      </c>
      <c r="I64">
        <v>20324</v>
      </c>
      <c r="J64">
        <v>19478</v>
      </c>
      <c r="K64">
        <v>24623</v>
      </c>
    </row>
    <row r="65" spans="1:11" x14ac:dyDescent="0.35">
      <c r="A65" s="6" t="s">
        <v>63</v>
      </c>
      <c r="B65">
        <v>51897</v>
      </c>
      <c r="C65">
        <v>58860</v>
      </c>
      <c r="D65">
        <v>51181</v>
      </c>
      <c r="E65">
        <v>53006</v>
      </c>
      <c r="F65">
        <v>55707</v>
      </c>
      <c r="G65">
        <v>58265</v>
      </c>
      <c r="H65">
        <v>66879</v>
      </c>
      <c r="I65">
        <v>70189</v>
      </c>
      <c r="J65">
        <v>75605</v>
      </c>
      <c r="K65">
        <v>83482</v>
      </c>
    </row>
    <row r="66" spans="1:11" s="1" customFormat="1" x14ac:dyDescent="0.35">
      <c r="A66" s="1" t="s">
        <v>25</v>
      </c>
      <c r="B66">
        <v>66289</v>
      </c>
      <c r="C66">
        <v>75098</v>
      </c>
      <c r="D66">
        <v>83148</v>
      </c>
      <c r="E66">
        <v>79349</v>
      </c>
      <c r="F66">
        <v>84066</v>
      </c>
      <c r="G66">
        <v>91800</v>
      </c>
      <c r="H66">
        <v>107511</v>
      </c>
      <c r="I66">
        <v>116729</v>
      </c>
      <c r="J66">
        <v>124596</v>
      </c>
      <c r="K66">
        <v>136020</v>
      </c>
    </row>
    <row r="67" spans="1:11" s="6" customFormat="1" x14ac:dyDescent="0.35">
      <c r="A67" s="6" t="s">
        <v>68</v>
      </c>
      <c r="B67">
        <v>9713</v>
      </c>
      <c r="C67">
        <v>11330</v>
      </c>
      <c r="D67">
        <v>12322</v>
      </c>
      <c r="E67">
        <v>13142</v>
      </c>
      <c r="F67">
        <v>14827</v>
      </c>
      <c r="G67">
        <v>18487</v>
      </c>
      <c r="H67">
        <v>19294</v>
      </c>
      <c r="I67">
        <v>22698</v>
      </c>
      <c r="J67">
        <v>25424</v>
      </c>
      <c r="K67">
        <v>30193</v>
      </c>
    </row>
    <row r="68" spans="1:11" x14ac:dyDescent="0.35">
      <c r="A68" s="6" t="s">
        <v>44</v>
      </c>
    </row>
    <row r="69" spans="1:11" x14ac:dyDescent="0.35">
      <c r="A69" s="4" t="s">
        <v>77</v>
      </c>
      <c r="B69">
        <v>30367</v>
      </c>
      <c r="C69">
        <v>32697</v>
      </c>
      <c r="D69">
        <v>22625</v>
      </c>
      <c r="E69">
        <v>19818</v>
      </c>
      <c r="F69">
        <v>19568</v>
      </c>
      <c r="G69">
        <v>18649</v>
      </c>
      <c r="H69">
        <v>24714</v>
      </c>
      <c r="I69">
        <v>17472</v>
      </c>
      <c r="J69">
        <v>12173</v>
      </c>
      <c r="K69">
        <v>14786</v>
      </c>
    </row>
    <row r="70" spans="1:11" x14ac:dyDescent="0.35">
      <c r="A70" s="4" t="s">
        <v>64</v>
      </c>
      <c r="B70">
        <v>1142805132</v>
      </c>
      <c r="C70">
        <v>2285621088</v>
      </c>
      <c r="D70">
        <v>2285655150</v>
      </c>
      <c r="E70">
        <v>2173312301</v>
      </c>
      <c r="F70">
        <v>4335954462</v>
      </c>
      <c r="G70">
        <v>4240753210</v>
      </c>
      <c r="H70">
        <v>4245146114</v>
      </c>
      <c r="I70">
        <v>4193012929</v>
      </c>
      <c r="J70">
        <v>4136387925</v>
      </c>
      <c r="K70">
        <v>4139950635</v>
      </c>
    </row>
    <row r="71" spans="1:11" x14ac:dyDescent="0.35">
      <c r="A71" s="4" t="s">
        <v>65</v>
      </c>
      <c r="B71">
        <v>574236166</v>
      </c>
      <c r="C71">
        <v>1148472332</v>
      </c>
      <c r="F71">
        <v>2184191490</v>
      </c>
    </row>
    <row r="72" spans="1:11" x14ac:dyDescent="0.35">
      <c r="A72" s="4" t="s">
        <v>78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</row>
    <row r="74" spans="1:11" x14ac:dyDescent="0.35">
      <c r="A74" s="6"/>
    </row>
    <row r="75" spans="1:11" x14ac:dyDescent="0.35">
      <c r="A75" s="6"/>
    </row>
    <row r="76" spans="1:11" x14ac:dyDescent="0.35">
      <c r="A76" s="6"/>
    </row>
    <row r="77" spans="1:11" x14ac:dyDescent="0.35">
      <c r="A77" s="6"/>
    </row>
    <row r="78" spans="1:11" x14ac:dyDescent="0.35">
      <c r="A78" s="6"/>
    </row>
    <row r="79" spans="1:11" x14ac:dyDescent="0.35">
      <c r="A79" s="6"/>
    </row>
    <row r="80" spans="1:11" x14ac:dyDescent="0.35">
      <c r="A80" s="1" t="s">
        <v>40</v>
      </c>
    </row>
    <row r="81" spans="1:11" s="18" customFormat="1" x14ac:dyDescent="0.35">
      <c r="A81" s="17" t="s">
        <v>37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 x14ac:dyDescent="0.35">
      <c r="A82" s="6" t="s">
        <v>31</v>
      </c>
      <c r="B82">
        <v>8353</v>
      </c>
      <c r="C82">
        <v>10028</v>
      </c>
      <c r="D82">
        <v>11531</v>
      </c>
      <c r="E82">
        <v>13218</v>
      </c>
      <c r="F82">
        <v>14841</v>
      </c>
      <c r="G82">
        <v>17003</v>
      </c>
      <c r="H82">
        <v>23224</v>
      </c>
      <c r="I82">
        <v>23885</v>
      </c>
      <c r="J82">
        <v>22467</v>
      </c>
      <c r="K82">
        <v>25210</v>
      </c>
    </row>
    <row r="83" spans="1:11" s="6" customFormat="1" x14ac:dyDescent="0.35">
      <c r="A83" s="6" t="s">
        <v>32</v>
      </c>
      <c r="B83">
        <v>999</v>
      </c>
      <c r="C83">
        <v>-885</v>
      </c>
      <c r="D83">
        <v>-14664</v>
      </c>
      <c r="E83">
        <v>4533</v>
      </c>
      <c r="F83">
        <v>-632</v>
      </c>
      <c r="G83">
        <v>-331</v>
      </c>
      <c r="H83">
        <v>-7373</v>
      </c>
      <c r="I83">
        <v>-6485</v>
      </c>
      <c r="J83">
        <v>-1071</v>
      </c>
      <c r="K83">
        <v>-5093</v>
      </c>
    </row>
    <row r="84" spans="1:11" s="6" customFormat="1" x14ac:dyDescent="0.35">
      <c r="A84" s="6" t="s">
        <v>33</v>
      </c>
      <c r="B84">
        <v>-4935</v>
      </c>
      <c r="C84">
        <v>-6813</v>
      </c>
      <c r="D84">
        <v>-6939</v>
      </c>
      <c r="E84">
        <v>-20505</v>
      </c>
      <c r="F84">
        <v>-14512</v>
      </c>
      <c r="G84">
        <v>-17591</v>
      </c>
      <c r="H84">
        <v>-9786</v>
      </c>
      <c r="I84">
        <v>-24642</v>
      </c>
      <c r="J84">
        <v>-26695</v>
      </c>
      <c r="K84">
        <v>-17504</v>
      </c>
    </row>
    <row r="85" spans="1:11" s="1" customFormat="1" x14ac:dyDescent="0.35">
      <c r="A85" s="6" t="s">
        <v>34</v>
      </c>
      <c r="B85">
        <v>4417</v>
      </c>
      <c r="C85">
        <v>2330</v>
      </c>
      <c r="D85">
        <v>-10072</v>
      </c>
      <c r="E85">
        <v>-2754</v>
      </c>
      <c r="F85">
        <v>-303</v>
      </c>
      <c r="G85">
        <v>-919</v>
      </c>
      <c r="H85">
        <v>6065</v>
      </c>
      <c r="I85">
        <v>-7242</v>
      </c>
      <c r="J85">
        <v>-5299</v>
      </c>
      <c r="K85">
        <v>2613</v>
      </c>
    </row>
    <row r="86" spans="1:11" x14ac:dyDescent="0.35">
      <c r="A86" s="6"/>
    </row>
    <row r="87" spans="1:11" x14ac:dyDescent="0.35">
      <c r="A87" s="6"/>
    </row>
    <row r="88" spans="1:11" x14ac:dyDescent="0.35">
      <c r="A88" s="6"/>
    </row>
    <row r="89" spans="1:11" x14ac:dyDescent="0.35">
      <c r="A89" s="6"/>
    </row>
    <row r="90" spans="1:11" s="1" customFormat="1" x14ac:dyDescent="0.35">
      <c r="A90" s="1" t="s">
        <v>67</v>
      </c>
      <c r="B90">
        <v>554.59</v>
      </c>
      <c r="C90">
        <v>609.15</v>
      </c>
      <c r="D90">
        <v>511.13</v>
      </c>
      <c r="E90">
        <v>565.9</v>
      </c>
      <c r="F90">
        <v>743.85</v>
      </c>
      <c r="G90">
        <v>641.5</v>
      </c>
      <c r="H90">
        <v>1368.05</v>
      </c>
      <c r="I90">
        <v>1906.85</v>
      </c>
      <c r="J90">
        <v>1427.95</v>
      </c>
      <c r="K90">
        <v>1498.05</v>
      </c>
    </row>
    <row r="92" spans="1:11" s="1" customFormat="1" x14ac:dyDescent="0.35">
      <c r="A92" s="1" t="s">
        <v>66</v>
      </c>
    </row>
    <row r="93" spans="1:11" x14ac:dyDescent="0.35">
      <c r="A93" s="4" t="s">
        <v>79</v>
      </c>
      <c r="B93" s="20">
        <v>459.38</v>
      </c>
      <c r="C93" s="20">
        <v>459.39</v>
      </c>
      <c r="D93" s="20">
        <v>459.39</v>
      </c>
      <c r="E93" s="20">
        <v>436.82</v>
      </c>
      <c r="F93" s="20">
        <v>436.89</v>
      </c>
      <c r="G93" s="20">
        <v>425.9</v>
      </c>
      <c r="H93" s="20">
        <v>426.07</v>
      </c>
      <c r="I93" s="20">
        <v>420.67</v>
      </c>
      <c r="J93" s="20">
        <v>414.86</v>
      </c>
      <c r="K93" s="20">
        <v>415.09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85" zoomScaleNormal="85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A27" sqref="A27"/>
    </sheetView>
  </sheetViews>
  <sheetFormatPr defaultColWidth="8.81640625" defaultRowHeight="14.5" x14ac:dyDescent="0.35"/>
  <cols>
    <col min="1" max="1" width="20.6328125" customWidth="1"/>
    <col min="2" max="6" width="13.453125" customWidth="1"/>
    <col min="7" max="7" width="14.81640625" bestFit="1" customWidth="1"/>
    <col min="8" max="11" width="13.453125" customWidth="1"/>
    <col min="12" max="12" width="13.36328125" customWidth="1"/>
    <col min="13" max="14" width="12.1796875" customWidth="1"/>
  </cols>
  <sheetData>
    <row r="1" spans="1:14" s="2" customFormat="1" x14ac:dyDescent="0.35">
      <c r="A1" s="2" t="str">
        <f>'Data Sheet'!B1</f>
        <v>INFOSYS LTD</v>
      </c>
      <c r="H1" t="str">
        <f>UPDATE</f>
        <v/>
      </c>
      <c r="J1" s="3"/>
      <c r="K1" s="3"/>
      <c r="M1" s="2" t="s">
        <v>0</v>
      </c>
    </row>
    <row r="3" spans="1:14" s="2" customFormat="1" x14ac:dyDescent="0.35">
      <c r="A3" s="11" t="s">
        <v>1</v>
      </c>
      <c r="B3" s="12">
        <f>'Data Sheet'!B16</f>
        <v>42094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2</v>
      </c>
      <c r="M3" s="13" t="s">
        <v>3</v>
      </c>
      <c r="N3" s="13" t="s">
        <v>4</v>
      </c>
    </row>
    <row r="4" spans="1:14" s="2" customFormat="1" x14ac:dyDescent="0.35">
      <c r="A4" s="2" t="s">
        <v>5</v>
      </c>
      <c r="B4" s="1">
        <f>'Data Sheet'!B17</f>
        <v>53319</v>
      </c>
      <c r="C4" s="1">
        <f>'Data Sheet'!C17</f>
        <v>62441</v>
      </c>
      <c r="D4" s="1">
        <f>'Data Sheet'!D17</f>
        <v>68484</v>
      </c>
      <c r="E4" s="1">
        <f>'Data Sheet'!E17</f>
        <v>70522</v>
      </c>
      <c r="F4" s="1">
        <f>'Data Sheet'!F17</f>
        <v>82675</v>
      </c>
      <c r="G4" s="1">
        <f>'Data Sheet'!G17</f>
        <v>90791</v>
      </c>
      <c r="H4" s="1">
        <f>'Data Sheet'!H17</f>
        <v>100472</v>
      </c>
      <c r="I4" s="1">
        <f>'Data Sheet'!I17</f>
        <v>121641</v>
      </c>
      <c r="J4" s="1">
        <f>'Data Sheet'!J17</f>
        <v>146767</v>
      </c>
      <c r="K4" s="1">
        <f>'Data Sheet'!K17</f>
        <v>153670</v>
      </c>
      <c r="L4" s="1">
        <f>SUM(Quarters!H4:K4)</f>
        <v>157045</v>
      </c>
      <c r="M4" s="1">
        <f>$K4+M23*K4</f>
        <v>177053.19677752574</v>
      </c>
      <c r="N4" s="1">
        <f>$K4+N23*L4</f>
        <v>161056.41271539242</v>
      </c>
    </row>
    <row r="5" spans="1:14" x14ac:dyDescent="0.35">
      <c r="A5" t="s">
        <v>6</v>
      </c>
      <c r="B5" s="6">
        <f>SUM('Data Sheet'!B18,'Data Sheet'!B20:B24, -1*'Data Sheet'!B19)</f>
        <v>38436</v>
      </c>
      <c r="C5" s="6">
        <f>SUM('Data Sheet'!C18,'Data Sheet'!C20:C24, -1*'Data Sheet'!C19)</f>
        <v>45362</v>
      </c>
      <c r="D5" s="6">
        <f>SUM('Data Sheet'!D18,'Data Sheet'!D20:D24, -1*'Data Sheet'!D19)</f>
        <v>49880</v>
      </c>
      <c r="E5" s="6">
        <f>SUM('Data Sheet'!E18,'Data Sheet'!E20:E24, -1*'Data Sheet'!E19)</f>
        <v>51700</v>
      </c>
      <c r="F5" s="6">
        <f>SUM('Data Sheet'!F18,'Data Sheet'!F20:F24, -1*'Data Sheet'!F19)</f>
        <v>62505</v>
      </c>
      <c r="G5" s="6">
        <f>SUM('Data Sheet'!G18,'Data Sheet'!G20:G24, -1*'Data Sheet'!G19)</f>
        <v>68524</v>
      </c>
      <c r="H5" s="6">
        <f>SUM('Data Sheet'!H18,'Data Sheet'!H20:H24, -1*'Data Sheet'!H19)</f>
        <v>72583</v>
      </c>
      <c r="I5" s="6">
        <f>SUM('Data Sheet'!I18,'Data Sheet'!I20:I24, -1*'Data Sheet'!I19)</f>
        <v>90150</v>
      </c>
      <c r="J5" s="6">
        <f>SUM('Data Sheet'!J18,'Data Sheet'!J20:J24, -1*'Data Sheet'!J19)</f>
        <v>111637</v>
      </c>
      <c r="K5" s="6">
        <f>SUM('Data Sheet'!K18,'Data Sheet'!K20:K24, -1*'Data Sheet'!K19)</f>
        <v>117245</v>
      </c>
      <c r="L5" s="6">
        <f>SUM(Quarters!H5:K5)</f>
        <v>119878</v>
      </c>
      <c r="M5" s="6">
        <f t="shared" ref="M5:N5" si="0">M4-M6</f>
        <v>133827.48087871814</v>
      </c>
      <c r="N5" s="6">
        <f t="shared" si="0"/>
        <v>122940.05312805764</v>
      </c>
    </row>
    <row r="6" spans="1:14" s="2" customFormat="1" x14ac:dyDescent="0.35">
      <c r="A6" s="2" t="s">
        <v>7</v>
      </c>
      <c r="B6" s="1">
        <f>B4-B5</f>
        <v>14883</v>
      </c>
      <c r="C6" s="1">
        <f t="shared" ref="C6:K6" si="1">C4-C5</f>
        <v>17079</v>
      </c>
      <c r="D6" s="1">
        <f t="shared" si="1"/>
        <v>18604</v>
      </c>
      <c r="E6" s="1">
        <f t="shared" si="1"/>
        <v>18822</v>
      </c>
      <c r="F6" s="1">
        <f t="shared" si="1"/>
        <v>20170</v>
      </c>
      <c r="G6" s="1">
        <f t="shared" si="1"/>
        <v>22267</v>
      </c>
      <c r="H6" s="1">
        <f t="shared" si="1"/>
        <v>27889</v>
      </c>
      <c r="I6" s="1">
        <f t="shared" si="1"/>
        <v>31491</v>
      </c>
      <c r="J6" s="1">
        <f t="shared" si="1"/>
        <v>35130</v>
      </c>
      <c r="K6" s="1">
        <f t="shared" si="1"/>
        <v>36425</v>
      </c>
      <c r="L6" s="1">
        <f>SUM(Quarters!H6:K6)</f>
        <v>37167</v>
      </c>
      <c r="M6" s="1">
        <f>M4*M24</f>
        <v>43225.715898807604</v>
      </c>
      <c r="N6" s="1">
        <f>N4*N24</f>
        <v>38116.35958733478</v>
      </c>
    </row>
    <row r="7" spans="1:14" x14ac:dyDescent="0.35">
      <c r="A7" t="s">
        <v>8</v>
      </c>
      <c r="B7" s="6">
        <f>'Data Sheet'!B25</f>
        <v>3430</v>
      </c>
      <c r="C7" s="6">
        <f>'Data Sheet'!C25</f>
        <v>3120</v>
      </c>
      <c r="D7" s="6">
        <f>'Data Sheet'!D25</f>
        <v>3050</v>
      </c>
      <c r="E7" s="6">
        <f>'Data Sheet'!E25</f>
        <v>3311</v>
      </c>
      <c r="F7" s="6">
        <f>'Data Sheet'!F25</f>
        <v>2882</v>
      </c>
      <c r="G7" s="6">
        <f>'Data Sheet'!G25</f>
        <v>2803</v>
      </c>
      <c r="H7" s="6">
        <f>'Data Sheet'!H25</f>
        <v>2201</v>
      </c>
      <c r="I7" s="6">
        <f>'Data Sheet'!I25</f>
        <v>2295</v>
      </c>
      <c r="J7" s="6">
        <f>'Data Sheet'!J25</f>
        <v>2701</v>
      </c>
      <c r="K7" s="6">
        <f>'Data Sheet'!K25</f>
        <v>4711</v>
      </c>
      <c r="L7" s="6">
        <f>SUM(Quarters!H7:K7)</f>
        <v>5068</v>
      </c>
      <c r="M7" s="6">
        <v>0</v>
      </c>
      <c r="N7" s="6">
        <v>0</v>
      </c>
    </row>
    <row r="8" spans="1:14" x14ac:dyDescent="0.35">
      <c r="A8" t="s">
        <v>9</v>
      </c>
      <c r="B8" s="6">
        <f>'Data Sheet'!B26</f>
        <v>1017</v>
      </c>
      <c r="C8" s="6">
        <f>'Data Sheet'!C26</f>
        <v>1459</v>
      </c>
      <c r="D8" s="6">
        <f>'Data Sheet'!D26</f>
        <v>1703</v>
      </c>
      <c r="E8" s="6">
        <f>'Data Sheet'!E26</f>
        <v>1863</v>
      </c>
      <c r="F8" s="6">
        <f>'Data Sheet'!F26</f>
        <v>2011</v>
      </c>
      <c r="G8" s="6">
        <f>'Data Sheet'!G26</f>
        <v>2893</v>
      </c>
      <c r="H8" s="6">
        <f>'Data Sheet'!H26</f>
        <v>3267</v>
      </c>
      <c r="I8" s="6">
        <f>'Data Sheet'!I26</f>
        <v>3476</v>
      </c>
      <c r="J8" s="6">
        <f>'Data Sheet'!J26</f>
        <v>4225</v>
      </c>
      <c r="K8" s="6">
        <f>'Data Sheet'!K26</f>
        <v>4678</v>
      </c>
      <c r="L8" s="6">
        <f>SUM(Quarters!H8:K8)</f>
        <v>4648</v>
      </c>
      <c r="M8" s="6">
        <f>+$L8</f>
        <v>4648</v>
      </c>
      <c r="N8" s="6">
        <f>+$L8</f>
        <v>4648</v>
      </c>
    </row>
    <row r="9" spans="1:14" x14ac:dyDescent="0.35">
      <c r="A9" t="s">
        <v>10</v>
      </c>
      <c r="B9" s="6">
        <f>'Data Sheet'!B27</f>
        <v>12</v>
      </c>
      <c r="C9" s="6">
        <f>'Data Sheet'!C27</f>
        <v>0</v>
      </c>
      <c r="D9" s="6">
        <f>'Data Sheet'!D27</f>
        <v>0</v>
      </c>
      <c r="E9" s="6">
        <f>'Data Sheet'!E27</f>
        <v>0</v>
      </c>
      <c r="F9" s="6">
        <f>'Data Sheet'!F27</f>
        <v>0</v>
      </c>
      <c r="G9" s="6">
        <f>'Data Sheet'!G27</f>
        <v>170</v>
      </c>
      <c r="H9" s="6">
        <f>'Data Sheet'!H27</f>
        <v>195</v>
      </c>
      <c r="I9" s="6">
        <f>'Data Sheet'!I27</f>
        <v>200</v>
      </c>
      <c r="J9" s="6">
        <f>'Data Sheet'!J27</f>
        <v>284</v>
      </c>
      <c r="K9" s="6">
        <f>'Data Sheet'!K27</f>
        <v>470</v>
      </c>
      <c r="L9" s="6">
        <f>SUM(Quarters!H9:K9)</f>
        <v>454</v>
      </c>
      <c r="M9" s="6">
        <f>+$L9</f>
        <v>454</v>
      </c>
      <c r="N9" s="6">
        <f>+$L9</f>
        <v>454</v>
      </c>
    </row>
    <row r="10" spans="1:14" x14ac:dyDescent="0.35">
      <c r="A10" t="s">
        <v>11</v>
      </c>
      <c r="B10" s="6">
        <f>'Data Sheet'!B28</f>
        <v>17284</v>
      </c>
      <c r="C10" s="6">
        <f>'Data Sheet'!C28</f>
        <v>18740</v>
      </c>
      <c r="D10" s="6">
        <f>'Data Sheet'!D28</f>
        <v>19951</v>
      </c>
      <c r="E10" s="6">
        <f>'Data Sheet'!E28</f>
        <v>20270</v>
      </c>
      <c r="F10" s="6">
        <f>'Data Sheet'!F28</f>
        <v>21041</v>
      </c>
      <c r="G10" s="6">
        <f>'Data Sheet'!G28</f>
        <v>22007</v>
      </c>
      <c r="H10" s="6">
        <f>'Data Sheet'!H28</f>
        <v>26628</v>
      </c>
      <c r="I10" s="6">
        <f>'Data Sheet'!I28</f>
        <v>30110</v>
      </c>
      <c r="J10" s="6">
        <f>'Data Sheet'!J28</f>
        <v>33322</v>
      </c>
      <c r="K10" s="6">
        <f>'Data Sheet'!K28</f>
        <v>35988</v>
      </c>
      <c r="L10" s="6">
        <f>SUM(Quarters!H10:K10)</f>
        <v>37133</v>
      </c>
      <c r="M10" s="6">
        <f>M6+M7-SUM(M8:M9)</f>
        <v>38123.715898807604</v>
      </c>
      <c r="N10" s="6">
        <f>N6+N7-SUM(N8:N9)</f>
        <v>33014.35958733478</v>
      </c>
    </row>
    <row r="11" spans="1:14" x14ac:dyDescent="0.35">
      <c r="A11" t="s">
        <v>12</v>
      </c>
      <c r="B11" s="6">
        <f>'Data Sheet'!B29</f>
        <v>4911</v>
      </c>
      <c r="C11" s="6">
        <f>'Data Sheet'!C29</f>
        <v>5251</v>
      </c>
      <c r="D11" s="6">
        <f>'Data Sheet'!D29</f>
        <v>5598</v>
      </c>
      <c r="E11" s="6">
        <f>'Data Sheet'!E29</f>
        <v>4241</v>
      </c>
      <c r="F11" s="6">
        <f>'Data Sheet'!F29</f>
        <v>5631</v>
      </c>
      <c r="G11" s="6">
        <f>'Data Sheet'!G29</f>
        <v>5368</v>
      </c>
      <c r="H11" s="6">
        <f>'Data Sheet'!H29</f>
        <v>7205</v>
      </c>
      <c r="I11" s="6">
        <f>'Data Sheet'!I29</f>
        <v>7964</v>
      </c>
      <c r="J11" s="6">
        <f>'Data Sheet'!J29</f>
        <v>9214</v>
      </c>
      <c r="K11" s="6">
        <f>'Data Sheet'!K29</f>
        <v>9740</v>
      </c>
      <c r="L11" s="6">
        <f>SUM(Quarters!H11:K11)</f>
        <v>10155</v>
      </c>
      <c r="M11" s="7">
        <f>IF($L10&gt;0,$L11/$L10,0)</f>
        <v>0.27347642258907173</v>
      </c>
      <c r="N11" s="7">
        <f>IF($L10&gt;0,$L11/$L10,0)</f>
        <v>0.27347642258907173</v>
      </c>
    </row>
    <row r="12" spans="1:14" s="2" customFormat="1" x14ac:dyDescent="0.35">
      <c r="A12" s="2" t="s">
        <v>13</v>
      </c>
      <c r="B12" s="1">
        <f>'Data Sheet'!B30</f>
        <v>12372</v>
      </c>
      <c r="C12" s="1">
        <f>'Data Sheet'!C30</f>
        <v>13489</v>
      </c>
      <c r="D12" s="1">
        <f>'Data Sheet'!D30</f>
        <v>14353</v>
      </c>
      <c r="E12" s="1">
        <f>'Data Sheet'!E30</f>
        <v>16029</v>
      </c>
      <c r="F12" s="1">
        <f>'Data Sheet'!F30</f>
        <v>15404</v>
      </c>
      <c r="G12" s="1">
        <f>'Data Sheet'!G30</f>
        <v>16594</v>
      </c>
      <c r="H12" s="1">
        <f>'Data Sheet'!H30</f>
        <v>19351</v>
      </c>
      <c r="I12" s="1">
        <f>'Data Sheet'!I30</f>
        <v>22110</v>
      </c>
      <c r="J12" s="1">
        <f>'Data Sheet'!J30</f>
        <v>24095</v>
      </c>
      <c r="K12" s="1">
        <f>'Data Sheet'!K30</f>
        <v>26233</v>
      </c>
      <c r="L12" s="1">
        <f>SUM(Quarters!H12:K12)</f>
        <v>26949</v>
      </c>
      <c r="M12" s="1">
        <f>M10-M11*M10</f>
        <v>27697.778458999583</v>
      </c>
      <c r="N12" s="1">
        <f>N10-N11*N10</f>
        <v>23985.710633321243</v>
      </c>
    </row>
    <row r="13" spans="1:14" x14ac:dyDescent="0.35">
      <c r="A13" t="s">
        <v>47</v>
      </c>
      <c r="B13" s="6">
        <f>IF('Data Sheet'!B93&gt;0,B12/'Data Sheet'!B93,0)</f>
        <v>26.931951761069268</v>
      </c>
      <c r="C13" s="6">
        <f>IF('Data Sheet'!C93&gt;0,C12/'Data Sheet'!C93,0)</f>
        <v>29.362850736846688</v>
      </c>
      <c r="D13" s="6">
        <f>IF('Data Sheet'!D93&gt;0,D12/'Data Sheet'!D93,0)</f>
        <v>31.243605650971944</v>
      </c>
      <c r="E13" s="6">
        <f>IF('Data Sheet'!E93&gt;0,E12/'Data Sheet'!E93,0)</f>
        <v>36.694748408955633</v>
      </c>
      <c r="F13" s="6">
        <f>IF('Data Sheet'!F93&gt;0,F12/'Data Sheet'!F93,0)</f>
        <v>35.258303005333154</v>
      </c>
      <c r="G13" s="6">
        <f>IF('Data Sheet'!G93&gt;0,G12/'Data Sheet'!G93,0)</f>
        <v>38.962197698990373</v>
      </c>
      <c r="H13" s="6">
        <f>IF('Data Sheet'!H93&gt;0,H12/'Data Sheet'!H93,0)</f>
        <v>45.417419672823712</v>
      </c>
      <c r="I13" s="6">
        <f>IF('Data Sheet'!I93&gt;0,I12/'Data Sheet'!I93,0)</f>
        <v>52.559013003066532</v>
      </c>
      <c r="J13" s="6">
        <f>IF('Data Sheet'!J93&gt;0,J12/'Data Sheet'!J93,0)</f>
        <v>58.079834160921756</v>
      </c>
      <c r="K13" s="6">
        <f>IF('Data Sheet'!K93&gt;0,K12/'Data Sheet'!K93,0)</f>
        <v>63.198342528126432</v>
      </c>
      <c r="L13" s="6">
        <f>IF('Data Sheet'!$B6&gt;0,'Profit &amp; Loss'!L12/'Data Sheet'!$B6,0)</f>
        <v>64.901861505701575</v>
      </c>
      <c r="M13" s="6">
        <f>IF('Data Sheet'!$B6&gt;0,'Profit &amp; Loss'!M12/'Data Sheet'!$B6,0)</f>
        <v>66.705160917347413</v>
      </c>
      <c r="N13" s="6">
        <f>IF('Data Sheet'!$B6&gt;0,'Profit &amp; Loss'!N12/'Data Sheet'!$B6,0)</f>
        <v>57.765307419186207</v>
      </c>
    </row>
    <row r="14" spans="1:14" x14ac:dyDescent="0.35">
      <c r="A14" t="s">
        <v>15</v>
      </c>
      <c r="B14" s="6">
        <f>IF(B15&gt;0,B15/B13,"")</f>
        <v>20.592269172324606</v>
      </c>
      <c r="C14" s="6">
        <f t="shared" ref="C14:K14" si="2">IF(C15&gt;0,C15/C13,"")</f>
        <v>20.745601490103045</v>
      </c>
      <c r="D14" s="6">
        <f t="shared" si="2"/>
        <v>16.359507468821846</v>
      </c>
      <c r="E14" s="6">
        <f t="shared" si="2"/>
        <v>15.421825316613639</v>
      </c>
      <c r="F14" s="6">
        <f t="shared" si="2"/>
        <v>21.097158303038171</v>
      </c>
      <c r="G14" s="6">
        <f t="shared" si="2"/>
        <v>16.464676991683742</v>
      </c>
      <c r="H14" s="6">
        <f t="shared" si="2"/>
        <v>30.121702418479664</v>
      </c>
      <c r="I14" s="6">
        <f t="shared" si="2"/>
        <v>36.280171393034827</v>
      </c>
      <c r="J14" s="6">
        <f t="shared" si="2"/>
        <v>24.585986179705333</v>
      </c>
      <c r="K14" s="6">
        <f t="shared" si="2"/>
        <v>23.703944440208897</v>
      </c>
      <c r="L14" s="6">
        <f t="shared" ref="L14" si="3">IF(L13&gt;0,L15/L13,0)</f>
        <v>29.414410553267281</v>
      </c>
      <c r="M14" s="6">
        <f>M25</f>
        <v>29.414410553267281</v>
      </c>
      <c r="N14" s="6">
        <f>N25</f>
        <v>23.162477611571006</v>
      </c>
    </row>
    <row r="15" spans="1:14" s="2" customFormat="1" x14ac:dyDescent="0.35">
      <c r="A15" s="2" t="s">
        <v>48</v>
      </c>
      <c r="B15" s="1">
        <f>'Data Sheet'!B90</f>
        <v>554.59</v>
      </c>
      <c r="C15" s="1">
        <f>'Data Sheet'!C90</f>
        <v>609.15</v>
      </c>
      <c r="D15" s="1">
        <f>'Data Sheet'!D90</f>
        <v>511.13</v>
      </c>
      <c r="E15" s="1">
        <f>'Data Sheet'!E90</f>
        <v>565.9</v>
      </c>
      <c r="F15" s="1">
        <f>'Data Sheet'!F90</f>
        <v>743.85</v>
      </c>
      <c r="G15" s="1">
        <f>'Data Sheet'!G90</f>
        <v>641.5</v>
      </c>
      <c r="H15" s="1">
        <f>'Data Sheet'!H90</f>
        <v>1368.05</v>
      </c>
      <c r="I15" s="1">
        <f>'Data Sheet'!I90</f>
        <v>1906.85</v>
      </c>
      <c r="J15" s="1">
        <f>'Data Sheet'!J90</f>
        <v>1427.95</v>
      </c>
      <c r="K15" s="1">
        <f>'Data Sheet'!K90</f>
        <v>1498.05</v>
      </c>
      <c r="L15" s="1">
        <f>'Data Sheet'!B8</f>
        <v>1909.05</v>
      </c>
      <c r="M15" s="8">
        <f>M13*M14</f>
        <v>1962.0929892446159</v>
      </c>
      <c r="N15" s="9">
        <f>N13*N14</f>
        <v>1337.9876398224171</v>
      </c>
    </row>
    <row r="17" spans="1:14" s="2" customFormat="1" x14ac:dyDescent="0.35">
      <c r="A17" s="2" t="s">
        <v>14</v>
      </c>
    </row>
    <row r="18" spans="1:14" x14ac:dyDescent="0.35">
      <c r="A18" t="s">
        <v>16</v>
      </c>
      <c r="B18" s="5">
        <f>IF('Data Sheet'!B30&gt;0, 'Data Sheet'!B31/'Data Sheet'!B30, 0)</f>
        <v>0.5501778208858713</v>
      </c>
      <c r="C18" s="5">
        <f>IF('Data Sheet'!C30&gt;0, 'Data Sheet'!C31/'Data Sheet'!C30, 0)</f>
        <v>0.41132774853584397</v>
      </c>
      <c r="D18" s="5">
        <f>IF('Data Sheet'!D30&gt;0, 'Data Sheet'!D31/'Data Sheet'!D30, 0)</f>
        <v>0.4104786455793214</v>
      </c>
      <c r="E18" s="5">
        <f>IF('Data Sheet'!E30&gt;0, 'Data Sheet'!E31/'Data Sheet'!E30, 0)</f>
        <v>0.5905296649822197</v>
      </c>
      <c r="F18" s="5">
        <f>IF('Data Sheet'!F30&gt;0, 'Data Sheet'!F31/'Data Sheet'!F30, 0)</f>
        <v>0.5987081277590236</v>
      </c>
      <c r="G18" s="5">
        <f>IF('Data Sheet'!G30&gt;0, 'Data Sheet'!G31/'Data Sheet'!G30, 0)</f>
        <v>0.44757141135350126</v>
      </c>
      <c r="H18" s="5">
        <f>IF('Data Sheet'!H30&gt;0, 'Data Sheet'!H31/'Data Sheet'!H30, 0)</f>
        <v>0.59271355485504629</v>
      </c>
      <c r="I18" s="5">
        <f>IF('Data Sheet'!I30&gt;0, 'Data Sheet'!I31/'Data Sheet'!I30, 0)</f>
        <v>0.58831298055178649</v>
      </c>
      <c r="J18" s="5">
        <f>IF('Data Sheet'!J30&gt;0, 'Data Sheet'!J31/'Data Sheet'!J30, 0)</f>
        <v>0.58390537455903713</v>
      </c>
      <c r="K18" s="5">
        <f>IF('Data Sheet'!K30&gt;0, 'Data Sheet'!K31/'Data Sheet'!K30, 0)</f>
        <v>0.72630656043914155</v>
      </c>
    </row>
    <row r="19" spans="1:14" x14ac:dyDescent="0.35">
      <c r="A19" t="s">
        <v>17</v>
      </c>
      <c r="B19" s="5">
        <f t="shared" ref="B19:L19" si="4">IF(B6&gt;0,B6/B4,0)</f>
        <v>0.27913126652787934</v>
      </c>
      <c r="C19" s="5">
        <f t="shared" ref="C19:K19" si="5">IF(C6&gt;0,C6/C4,0)</f>
        <v>0.27352220496148366</v>
      </c>
      <c r="D19" s="5">
        <f t="shared" si="5"/>
        <v>0.27165469306699375</v>
      </c>
      <c r="E19" s="5">
        <f t="shared" si="5"/>
        <v>0.26689543688494372</v>
      </c>
      <c r="F19" s="5">
        <f t="shared" si="5"/>
        <v>0.24396734200181433</v>
      </c>
      <c r="G19" s="5">
        <f t="shared" si="5"/>
        <v>0.24525558700752279</v>
      </c>
      <c r="H19" s="5">
        <f t="shared" si="5"/>
        <v>0.27757982323433394</v>
      </c>
      <c r="I19" s="5">
        <f t="shared" si="5"/>
        <v>0.25888475102966929</v>
      </c>
      <c r="J19" s="5">
        <f t="shared" si="5"/>
        <v>0.23935898396778568</v>
      </c>
      <c r="K19" s="5">
        <f t="shared" si="5"/>
        <v>0.23703390381987374</v>
      </c>
      <c r="L19" s="5">
        <f t="shared" si="4"/>
        <v>0.23666465025947978</v>
      </c>
    </row>
    <row r="20" spans="1:14" x14ac:dyDescent="0.3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5">
      <c r="A22" s="11"/>
      <c r="B22" s="12"/>
      <c r="C22" s="12"/>
      <c r="D22" s="12"/>
      <c r="E22" s="12"/>
      <c r="F22" s="12"/>
      <c r="G22" s="12" t="s">
        <v>18</v>
      </c>
      <c r="H22" s="12" t="s">
        <v>55</v>
      </c>
      <c r="I22" s="12" t="s">
        <v>56</v>
      </c>
      <c r="J22" s="12" t="s">
        <v>57</v>
      </c>
      <c r="K22" s="12" t="s">
        <v>58</v>
      </c>
      <c r="L22" s="13" t="s">
        <v>59</v>
      </c>
      <c r="M22" s="13" t="s">
        <v>19</v>
      </c>
      <c r="N22" s="13" t="s">
        <v>20</v>
      </c>
    </row>
    <row r="23" spans="1:14" s="2" customFormat="1" x14ac:dyDescent="0.35">
      <c r="A23"/>
      <c r="B23"/>
      <c r="C23"/>
      <c r="D23"/>
      <c r="E23"/>
      <c r="F23"/>
      <c r="G23" t="s">
        <v>21</v>
      </c>
      <c r="H23" s="5">
        <f>IF(B4=0,"",POWER($K4/B4,1/9)-1)</f>
        <v>0.12480843940017472</v>
      </c>
      <c r="I23" s="5">
        <f>IF(D4=0,"",POWER($K4/D4,1/7)-1)</f>
        <v>0.12238758248958903</v>
      </c>
      <c r="J23" s="5">
        <f>IF(F4=0,"",POWER($K4/F4,1/5)-1)</f>
        <v>0.13199100930556229</v>
      </c>
      <c r="K23" s="5">
        <f>IF(H4=0,"",POWER($K4/H4, 1/3)-1)</f>
        <v>0.15216500798806365</v>
      </c>
      <c r="L23" s="5">
        <f>IF(ISERROR(MAX(IF(J4=0,"",(K4-J4)/J4),IF(K4=0,"",(L4-K4)/K4))),"",MAX(IF(J4=0,"",(K4-J4)/J4),IF(K4=0,"",(L4-K4)/K4)))</f>
        <v>4.7033733741236108E-2</v>
      </c>
      <c r="M23" s="16">
        <f>MAX(K23:L23)</f>
        <v>0.15216500798806365</v>
      </c>
      <c r="N23" s="16">
        <f>MIN(H23:L23)</f>
        <v>4.7033733741236108E-2</v>
      </c>
    </row>
    <row r="24" spans="1:14" x14ac:dyDescent="0.35">
      <c r="G24" t="s">
        <v>17</v>
      </c>
      <c r="H24" s="5">
        <f>IF(SUM(B4:$K$4)=0,"",SUMPRODUCT(B19:$K$19,B4:$K$4)/SUM(B4:$K$4))</f>
        <v>0.25532666794280917</v>
      </c>
      <c r="I24" s="5">
        <f>IF(SUM(E4:$K$4)=0,"",SUMPRODUCT(E19:$K$19,E4:$K$4)/SUM(E4:$K$4))</f>
        <v>0.25072990510581339</v>
      </c>
      <c r="J24" s="5">
        <f>IF(SUM(G4:$K$4)=0,"",SUMPRODUCT(G19:$K$19,G4:$K$4)/SUM(G4:$K$4))</f>
        <v>0.24978274728087638</v>
      </c>
      <c r="K24" s="5">
        <f>IF(SUM(I4:$K$4)=0, "", SUMPRODUCT(I19:$K$19,I4:$K$4)/SUM(I4:$K$4))</f>
        <v>0.2441397087742076</v>
      </c>
      <c r="L24" s="5">
        <f>L19</f>
        <v>0.23666465025947978</v>
      </c>
      <c r="M24" s="16">
        <f>MAX(K24:L24)</f>
        <v>0.2441397087742076</v>
      </c>
      <c r="N24" s="16">
        <f>MIN(H24:L24)</f>
        <v>0.23666465025947978</v>
      </c>
    </row>
    <row r="25" spans="1:14" x14ac:dyDescent="0.35">
      <c r="G25" t="s">
        <v>22</v>
      </c>
      <c r="H25" s="6">
        <f>IF(ISERROR(AVERAGEIF(B14:$L14,"&gt;0")),"",AVERAGEIF(B14:$L14,"&gt;0"))</f>
        <v>23.162477611571006</v>
      </c>
      <c r="I25" s="6">
        <f>IF(ISERROR(AVERAGEIF(E14:$L14,"&gt;0")),"",AVERAGEIF(E14:$L14,"&gt;0"))</f>
        <v>24.636234449503945</v>
      </c>
      <c r="J25" s="6">
        <f>IF(ISERROR(AVERAGEIF(G14:$L14,"&gt;0")),"",AVERAGEIF(G14:$L14,"&gt;0"))</f>
        <v>26.761815329396626</v>
      </c>
      <c r="K25" s="6">
        <f>IF(ISERROR(AVERAGEIF(I14:$L14,"&gt;0")),"",AVERAGEIF(I14:$L14,"&gt;0"))</f>
        <v>28.496128141554088</v>
      </c>
      <c r="L25" s="6">
        <f>L14</f>
        <v>29.414410553267281</v>
      </c>
      <c r="M25" s="1">
        <f>MAX(K25:L25)</f>
        <v>29.414410553267281</v>
      </c>
      <c r="N25" s="1">
        <f>MIN(H25:L25)</f>
        <v>23.162477611571006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selection activeCell="D2" sqref="A1:XFD1048576"/>
    </sheetView>
  </sheetViews>
  <sheetFormatPr defaultColWidth="8.81640625" defaultRowHeight="14.5" x14ac:dyDescent="0.35"/>
  <cols>
    <col min="1" max="1" width="20.6328125" customWidth="1"/>
    <col min="2" max="11" width="13.453125" bestFit="1" customWidth="1"/>
  </cols>
  <sheetData>
    <row r="1" spans="1:11" s="2" customFormat="1" x14ac:dyDescent="0.35">
      <c r="A1" s="2" t="str">
        <f>'Profit &amp; Loss'!A1</f>
        <v>INFOSYS LTD</v>
      </c>
      <c r="E1" t="str">
        <f>UPDATE</f>
        <v/>
      </c>
      <c r="J1" s="2" t="s">
        <v>0</v>
      </c>
    </row>
    <row r="3" spans="1:11" s="2" customFormat="1" x14ac:dyDescent="0.35">
      <c r="A3" s="11" t="s">
        <v>1</v>
      </c>
      <c r="B3" s="12">
        <f>'Data Sheet'!B41</f>
        <v>44742</v>
      </c>
      <c r="C3" s="12">
        <f>'Data Sheet'!C41</f>
        <v>44834</v>
      </c>
      <c r="D3" s="12">
        <f>'Data Sheet'!D41</f>
        <v>44926</v>
      </c>
      <c r="E3" s="12">
        <f>'Data Sheet'!E41</f>
        <v>45016</v>
      </c>
      <c r="F3" s="12">
        <f>'Data Sheet'!F41</f>
        <v>45107</v>
      </c>
      <c r="G3" s="12">
        <f>'Data Sheet'!G41</f>
        <v>45199</v>
      </c>
      <c r="H3" s="12">
        <f>'Data Sheet'!H41</f>
        <v>45291</v>
      </c>
      <c r="I3" s="12">
        <f>'Data Sheet'!I41</f>
        <v>45382</v>
      </c>
      <c r="J3" s="12">
        <f>'Data Sheet'!J41</f>
        <v>45473</v>
      </c>
      <c r="K3" s="12">
        <f>'Data Sheet'!K41</f>
        <v>45565</v>
      </c>
    </row>
    <row r="4" spans="1:11" s="2" customFormat="1" x14ac:dyDescent="0.35">
      <c r="A4" s="2" t="s">
        <v>5</v>
      </c>
      <c r="B4" s="1">
        <f>'Data Sheet'!B42</f>
        <v>34470</v>
      </c>
      <c r="C4" s="1">
        <f>'Data Sheet'!C42</f>
        <v>36538</v>
      </c>
      <c r="D4" s="1">
        <f>'Data Sheet'!D42</f>
        <v>38318</v>
      </c>
      <c r="E4" s="1">
        <f>'Data Sheet'!E42</f>
        <v>37441</v>
      </c>
      <c r="F4" s="1">
        <f>'Data Sheet'!F42</f>
        <v>37933</v>
      </c>
      <c r="G4" s="1">
        <f>'Data Sheet'!G42</f>
        <v>38994</v>
      </c>
      <c r="H4" s="1">
        <f>'Data Sheet'!H42</f>
        <v>38821</v>
      </c>
      <c r="I4" s="1">
        <f>'Data Sheet'!I42</f>
        <v>37923</v>
      </c>
      <c r="J4" s="1">
        <f>'Data Sheet'!J42</f>
        <v>39315</v>
      </c>
      <c r="K4" s="1">
        <f>'Data Sheet'!K42</f>
        <v>40986</v>
      </c>
    </row>
    <row r="5" spans="1:11" x14ac:dyDescent="0.35">
      <c r="A5" t="s">
        <v>6</v>
      </c>
      <c r="B5" s="6">
        <f>'Data Sheet'!B43</f>
        <v>26606</v>
      </c>
      <c r="C5" s="6">
        <f>'Data Sheet'!C43</f>
        <v>27636</v>
      </c>
      <c r="D5" s="6">
        <f>'Data Sheet'!D43</f>
        <v>28951</v>
      </c>
      <c r="E5" s="6">
        <f>'Data Sheet'!E43</f>
        <v>28443</v>
      </c>
      <c r="F5" s="6">
        <f>'Data Sheet'!F43</f>
        <v>28869</v>
      </c>
      <c r="G5" s="6">
        <f>'Data Sheet'!G43</f>
        <v>29554</v>
      </c>
      <c r="H5" s="6">
        <f>'Data Sheet'!H43</f>
        <v>29684</v>
      </c>
      <c r="I5" s="6">
        <f>'Data Sheet'!I43</f>
        <v>29139</v>
      </c>
      <c r="J5" s="6">
        <f>'Data Sheet'!J43</f>
        <v>29878</v>
      </c>
      <c r="K5" s="6">
        <f>'Data Sheet'!K43</f>
        <v>31177</v>
      </c>
    </row>
    <row r="6" spans="1:11" s="2" customFormat="1" x14ac:dyDescent="0.35">
      <c r="A6" s="2" t="s">
        <v>7</v>
      </c>
      <c r="B6" s="1">
        <f>'Data Sheet'!B50</f>
        <v>7864</v>
      </c>
      <c r="C6" s="1">
        <f>'Data Sheet'!C50</f>
        <v>8902</v>
      </c>
      <c r="D6" s="1">
        <f>'Data Sheet'!D50</f>
        <v>9367</v>
      </c>
      <c r="E6" s="1">
        <f>'Data Sheet'!E50</f>
        <v>8998</v>
      </c>
      <c r="F6" s="1">
        <f>'Data Sheet'!F50</f>
        <v>9064</v>
      </c>
      <c r="G6" s="1">
        <f>'Data Sheet'!G50</f>
        <v>9440</v>
      </c>
      <c r="H6" s="1">
        <f>'Data Sheet'!H50</f>
        <v>9137</v>
      </c>
      <c r="I6" s="1">
        <f>'Data Sheet'!I50</f>
        <v>8784</v>
      </c>
      <c r="J6" s="1">
        <f>'Data Sheet'!J50</f>
        <v>9437</v>
      </c>
      <c r="K6" s="1">
        <f>'Data Sheet'!K50</f>
        <v>9809</v>
      </c>
    </row>
    <row r="7" spans="1:11" x14ac:dyDescent="0.35">
      <c r="A7" t="s">
        <v>8</v>
      </c>
      <c r="B7" s="6">
        <f>'Data Sheet'!B44</f>
        <v>676</v>
      </c>
      <c r="C7" s="6">
        <f>'Data Sheet'!C44</f>
        <v>584</v>
      </c>
      <c r="D7" s="6">
        <f>'Data Sheet'!D44</f>
        <v>769</v>
      </c>
      <c r="E7" s="6">
        <f>'Data Sheet'!E44</f>
        <v>671</v>
      </c>
      <c r="F7" s="6">
        <f>'Data Sheet'!F44</f>
        <v>561</v>
      </c>
      <c r="G7" s="6">
        <f>'Data Sheet'!G44</f>
        <v>632</v>
      </c>
      <c r="H7" s="6">
        <f>'Data Sheet'!H44</f>
        <v>789</v>
      </c>
      <c r="I7" s="6">
        <f>'Data Sheet'!I44</f>
        <v>2729</v>
      </c>
      <c r="J7" s="6">
        <f>'Data Sheet'!J44</f>
        <v>838</v>
      </c>
      <c r="K7" s="6">
        <f>'Data Sheet'!K44</f>
        <v>712</v>
      </c>
    </row>
    <row r="8" spans="1:11" x14ac:dyDescent="0.35">
      <c r="A8" t="s">
        <v>9</v>
      </c>
      <c r="B8" s="6">
        <f>'Data Sheet'!B45</f>
        <v>950</v>
      </c>
      <c r="C8" s="6">
        <f>'Data Sheet'!C45</f>
        <v>1029</v>
      </c>
      <c r="D8" s="6">
        <f>'Data Sheet'!D45</f>
        <v>1125</v>
      </c>
      <c r="E8" s="6">
        <f>'Data Sheet'!E45</f>
        <v>1121</v>
      </c>
      <c r="F8" s="6">
        <f>'Data Sheet'!F45</f>
        <v>1173</v>
      </c>
      <c r="G8" s="6">
        <f>'Data Sheet'!G45</f>
        <v>1166</v>
      </c>
      <c r="H8" s="6">
        <f>'Data Sheet'!H45</f>
        <v>1176</v>
      </c>
      <c r="I8" s="6">
        <f>'Data Sheet'!I45</f>
        <v>1163</v>
      </c>
      <c r="J8" s="6">
        <f>'Data Sheet'!J45</f>
        <v>1149</v>
      </c>
      <c r="K8" s="6">
        <f>'Data Sheet'!K45</f>
        <v>1160</v>
      </c>
    </row>
    <row r="9" spans="1:11" x14ac:dyDescent="0.35">
      <c r="A9" t="s">
        <v>10</v>
      </c>
      <c r="B9" s="6">
        <f>'Data Sheet'!B46</f>
        <v>56</v>
      </c>
      <c r="C9" s="6">
        <f>'Data Sheet'!C46</f>
        <v>66</v>
      </c>
      <c r="D9" s="6">
        <f>'Data Sheet'!D46</f>
        <v>80</v>
      </c>
      <c r="E9" s="6">
        <f>'Data Sheet'!E46</f>
        <v>82</v>
      </c>
      <c r="F9" s="6">
        <f>'Data Sheet'!F46</f>
        <v>90</v>
      </c>
      <c r="G9" s="6">
        <f>'Data Sheet'!G46</f>
        <v>138</v>
      </c>
      <c r="H9" s="6">
        <f>'Data Sheet'!H46</f>
        <v>131</v>
      </c>
      <c r="I9" s="6">
        <f>'Data Sheet'!I46</f>
        <v>110</v>
      </c>
      <c r="J9" s="6">
        <f>'Data Sheet'!J46</f>
        <v>105</v>
      </c>
      <c r="K9" s="6">
        <f>'Data Sheet'!K46</f>
        <v>108</v>
      </c>
    </row>
    <row r="10" spans="1:11" x14ac:dyDescent="0.35">
      <c r="A10" t="s">
        <v>11</v>
      </c>
      <c r="B10" s="6">
        <f>'Data Sheet'!B47</f>
        <v>7534</v>
      </c>
      <c r="C10" s="6">
        <f>'Data Sheet'!C47</f>
        <v>8391</v>
      </c>
      <c r="D10" s="6">
        <f>'Data Sheet'!D47</f>
        <v>8931</v>
      </c>
      <c r="E10" s="6">
        <f>'Data Sheet'!E47</f>
        <v>8466</v>
      </c>
      <c r="F10" s="6">
        <f>'Data Sheet'!F47</f>
        <v>8362</v>
      </c>
      <c r="G10" s="6">
        <f>'Data Sheet'!G47</f>
        <v>8768</v>
      </c>
      <c r="H10" s="6">
        <f>'Data Sheet'!H47</f>
        <v>8619</v>
      </c>
      <c r="I10" s="6">
        <f>'Data Sheet'!I47</f>
        <v>10240</v>
      </c>
      <c r="J10" s="6">
        <f>'Data Sheet'!J47</f>
        <v>9021</v>
      </c>
      <c r="K10" s="6">
        <f>'Data Sheet'!K47</f>
        <v>9253</v>
      </c>
    </row>
    <row r="11" spans="1:11" x14ac:dyDescent="0.35">
      <c r="A11" t="s">
        <v>12</v>
      </c>
      <c r="B11" s="6">
        <f>'Data Sheet'!B48</f>
        <v>2172</v>
      </c>
      <c r="C11" s="6">
        <f>'Data Sheet'!C48</f>
        <v>2365</v>
      </c>
      <c r="D11" s="6">
        <f>'Data Sheet'!D48</f>
        <v>2345</v>
      </c>
      <c r="E11" s="6">
        <f>'Data Sheet'!E48</f>
        <v>2332</v>
      </c>
      <c r="F11" s="6">
        <f>'Data Sheet'!F48</f>
        <v>2417</v>
      </c>
      <c r="G11" s="6">
        <f>'Data Sheet'!G48</f>
        <v>2553</v>
      </c>
      <c r="H11" s="6">
        <f>'Data Sheet'!H48</f>
        <v>2506</v>
      </c>
      <c r="I11" s="6">
        <f>'Data Sheet'!I48</f>
        <v>2265</v>
      </c>
      <c r="J11" s="6">
        <f>'Data Sheet'!J48</f>
        <v>2647</v>
      </c>
      <c r="K11" s="6">
        <f>'Data Sheet'!K48</f>
        <v>2737</v>
      </c>
    </row>
    <row r="12" spans="1:11" s="2" customFormat="1" x14ac:dyDescent="0.35">
      <c r="A12" s="2" t="s">
        <v>13</v>
      </c>
      <c r="B12" s="1">
        <f>'Data Sheet'!B49</f>
        <v>5360</v>
      </c>
      <c r="C12" s="1">
        <f>'Data Sheet'!C49</f>
        <v>6021</v>
      </c>
      <c r="D12" s="1">
        <f>'Data Sheet'!D49</f>
        <v>6586</v>
      </c>
      <c r="E12" s="1">
        <f>'Data Sheet'!E49</f>
        <v>6128</v>
      </c>
      <c r="F12" s="1">
        <f>'Data Sheet'!F49</f>
        <v>5945</v>
      </c>
      <c r="G12" s="1">
        <f>'Data Sheet'!G49</f>
        <v>6212</v>
      </c>
      <c r="H12" s="1">
        <f>'Data Sheet'!H49</f>
        <v>6106</v>
      </c>
      <c r="I12" s="1">
        <f>'Data Sheet'!I49</f>
        <v>7969</v>
      </c>
      <c r="J12" s="1">
        <f>'Data Sheet'!J49</f>
        <v>6368</v>
      </c>
      <c r="K12" s="1">
        <f>'Data Sheet'!K49</f>
        <v>6506</v>
      </c>
    </row>
    <row r="14" spans="1:11" s="2" customFormat="1" x14ac:dyDescent="0.35">
      <c r="A14" s="2" t="s">
        <v>17</v>
      </c>
      <c r="B14" s="10">
        <f>IF(B4&gt;0,B6/B4,"")</f>
        <v>0.22814041195242241</v>
      </c>
      <c r="C14" s="10">
        <f t="shared" ref="C14:K14" si="0">IF(C4&gt;0,C6/C4,"")</f>
        <v>0.24363676172751655</v>
      </c>
      <c r="D14" s="10">
        <f t="shared" si="0"/>
        <v>0.24445430346051464</v>
      </c>
      <c r="E14" s="10">
        <f t="shared" si="0"/>
        <v>0.2403247776501696</v>
      </c>
      <c r="F14" s="10">
        <f t="shared" si="0"/>
        <v>0.23894761816887669</v>
      </c>
      <c r="G14" s="10">
        <f t="shared" si="0"/>
        <v>0.24208852643996512</v>
      </c>
      <c r="H14" s="10">
        <f t="shared" si="0"/>
        <v>0.23536230390767884</v>
      </c>
      <c r="I14" s="10">
        <f t="shared" si="0"/>
        <v>0.2316272446800095</v>
      </c>
      <c r="J14" s="10">
        <f t="shared" si="0"/>
        <v>0.24003560981813557</v>
      </c>
      <c r="K14" s="10">
        <f t="shared" si="0"/>
        <v>0.23932562338359439</v>
      </c>
    </row>
    <row r="22" s="19" customFormat="1" x14ac:dyDescent="0.3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1640625" defaultRowHeight="14.5" x14ac:dyDescent="0.35"/>
  <cols>
    <col min="1" max="1" width="22.81640625" bestFit="1" customWidth="1"/>
    <col min="2" max="2" width="13.453125" customWidth="1"/>
    <col min="3" max="11" width="15.453125" customWidth="1"/>
  </cols>
  <sheetData>
    <row r="1" spans="1:11" s="2" customFormat="1" x14ac:dyDescent="0.35">
      <c r="A1" s="2" t="str">
        <f>'Profit &amp; Loss'!A1</f>
        <v>INFOSYS LTD</v>
      </c>
      <c r="E1" t="str">
        <f>UPDATE</f>
        <v/>
      </c>
      <c r="G1"/>
      <c r="J1" s="2" t="s">
        <v>0</v>
      </c>
    </row>
    <row r="2" spans="1:11" x14ac:dyDescent="0.35">
      <c r="G2" s="2"/>
      <c r="H2" s="2"/>
    </row>
    <row r="3" spans="1:11" x14ac:dyDescent="0.35">
      <c r="A3" s="11" t="s">
        <v>1</v>
      </c>
      <c r="B3" s="12">
        <f>'Data Sheet'!B56</f>
        <v>42094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 x14ac:dyDescent="0.35">
      <c r="A4" t="s">
        <v>23</v>
      </c>
      <c r="B4" s="14">
        <f>'Data Sheet'!B57</f>
        <v>572</v>
      </c>
      <c r="C4" s="14">
        <f>'Data Sheet'!C57</f>
        <v>1144</v>
      </c>
      <c r="D4" s="14">
        <f>'Data Sheet'!D57</f>
        <v>1144</v>
      </c>
      <c r="E4" s="14">
        <f>'Data Sheet'!E57</f>
        <v>1088</v>
      </c>
      <c r="F4" s="14">
        <f>'Data Sheet'!F57</f>
        <v>2170</v>
      </c>
      <c r="G4" s="14">
        <f>'Data Sheet'!G57</f>
        <v>2122</v>
      </c>
      <c r="H4" s="14">
        <f>'Data Sheet'!H57</f>
        <v>2124</v>
      </c>
      <c r="I4" s="14">
        <f>'Data Sheet'!I57</f>
        <v>2098</v>
      </c>
      <c r="J4" s="14">
        <f>'Data Sheet'!J57</f>
        <v>2069</v>
      </c>
      <c r="K4" s="14">
        <f>'Data Sheet'!K57</f>
        <v>2071</v>
      </c>
    </row>
    <row r="5" spans="1:11" x14ac:dyDescent="0.35">
      <c r="A5" t="s">
        <v>24</v>
      </c>
      <c r="B5" s="14">
        <f>'Data Sheet'!B58</f>
        <v>50164</v>
      </c>
      <c r="C5" s="14">
        <f>'Data Sheet'!C58</f>
        <v>60600</v>
      </c>
      <c r="D5" s="14">
        <f>'Data Sheet'!D58</f>
        <v>67838</v>
      </c>
      <c r="E5" s="14">
        <f>'Data Sheet'!E58</f>
        <v>63835</v>
      </c>
      <c r="F5" s="14">
        <f>'Data Sheet'!F58</f>
        <v>62778</v>
      </c>
      <c r="G5" s="14">
        <f>'Data Sheet'!G58</f>
        <v>63328</v>
      </c>
      <c r="H5" s="14">
        <f>'Data Sheet'!H58</f>
        <v>74227</v>
      </c>
      <c r="I5" s="14">
        <f>'Data Sheet'!I58</f>
        <v>73252</v>
      </c>
      <c r="J5" s="14">
        <f>'Data Sheet'!J58</f>
        <v>73338</v>
      </c>
      <c r="K5" s="14">
        <f>'Data Sheet'!K58</f>
        <v>86045</v>
      </c>
    </row>
    <row r="6" spans="1:11" x14ac:dyDescent="0.35">
      <c r="A6" t="s">
        <v>61</v>
      </c>
      <c r="B6" s="14">
        <f>'Data Sheet'!B59</f>
        <v>0</v>
      </c>
      <c r="C6" s="14">
        <f>'Data Sheet'!C59</f>
        <v>0</v>
      </c>
      <c r="D6" s="14">
        <f>'Data Sheet'!D59</f>
        <v>0</v>
      </c>
      <c r="E6" s="14">
        <f>'Data Sheet'!E59</f>
        <v>0</v>
      </c>
      <c r="F6" s="14">
        <f>'Data Sheet'!F59</f>
        <v>0</v>
      </c>
      <c r="G6" s="14">
        <f>'Data Sheet'!G59</f>
        <v>4633</v>
      </c>
      <c r="H6" s="14">
        <f>'Data Sheet'!H59</f>
        <v>5325</v>
      </c>
      <c r="I6" s="14">
        <f>'Data Sheet'!I59</f>
        <v>5474</v>
      </c>
      <c r="J6" s="14">
        <f>'Data Sheet'!J59</f>
        <v>8299</v>
      </c>
      <c r="K6" s="14">
        <f>'Data Sheet'!K59</f>
        <v>8359</v>
      </c>
    </row>
    <row r="7" spans="1:11" x14ac:dyDescent="0.35">
      <c r="A7" t="s">
        <v>62</v>
      </c>
      <c r="B7" s="14">
        <f>'Data Sheet'!B60</f>
        <v>15553</v>
      </c>
      <c r="C7" s="14">
        <f>'Data Sheet'!C60</f>
        <v>13354</v>
      </c>
      <c r="D7" s="14">
        <f>'Data Sheet'!D60</f>
        <v>14166</v>
      </c>
      <c r="E7" s="14">
        <f>'Data Sheet'!E60</f>
        <v>14426</v>
      </c>
      <c r="F7" s="14">
        <f>'Data Sheet'!F60</f>
        <v>19118</v>
      </c>
      <c r="G7" s="14">
        <f>'Data Sheet'!G60</f>
        <v>21717</v>
      </c>
      <c r="H7" s="14">
        <f>'Data Sheet'!H60</f>
        <v>25835</v>
      </c>
      <c r="I7" s="14">
        <f>'Data Sheet'!I60</f>
        <v>35905</v>
      </c>
      <c r="J7" s="14">
        <f>'Data Sheet'!J60</f>
        <v>40890</v>
      </c>
      <c r="K7" s="14">
        <f>'Data Sheet'!K60</f>
        <v>39545</v>
      </c>
    </row>
    <row r="8" spans="1:11" s="2" customFormat="1" x14ac:dyDescent="0.35">
      <c r="A8" s="2" t="s">
        <v>25</v>
      </c>
      <c r="B8" s="15">
        <f>'Data Sheet'!B61</f>
        <v>66289</v>
      </c>
      <c r="C8" s="15">
        <f>'Data Sheet'!C61</f>
        <v>75098</v>
      </c>
      <c r="D8" s="15">
        <f>'Data Sheet'!D61</f>
        <v>83148</v>
      </c>
      <c r="E8" s="15">
        <f>'Data Sheet'!E61</f>
        <v>79349</v>
      </c>
      <c r="F8" s="15">
        <f>'Data Sheet'!F61</f>
        <v>84066</v>
      </c>
      <c r="G8" s="15">
        <f>'Data Sheet'!G61</f>
        <v>91800</v>
      </c>
      <c r="H8" s="15">
        <f>'Data Sheet'!H61</f>
        <v>107511</v>
      </c>
      <c r="I8" s="15">
        <f>'Data Sheet'!I61</f>
        <v>116729</v>
      </c>
      <c r="J8" s="15">
        <f>'Data Sheet'!J61</f>
        <v>124596</v>
      </c>
      <c r="K8" s="15">
        <f>'Data Sheet'!K61</f>
        <v>136020</v>
      </c>
    </row>
    <row r="9" spans="1:11" s="2" customFormat="1" x14ac:dyDescent="0.3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t="s">
        <v>26</v>
      </c>
      <c r="B10" s="14">
        <f>'Data Sheet'!B62</f>
        <v>11346</v>
      </c>
      <c r="C10" s="14">
        <f>'Data Sheet'!C62</f>
        <v>13386</v>
      </c>
      <c r="D10" s="14">
        <f>'Data Sheet'!D62</f>
        <v>14179</v>
      </c>
      <c r="E10" s="14">
        <f>'Data Sheet'!E62</f>
        <v>12574</v>
      </c>
      <c r="F10" s="14">
        <f>'Data Sheet'!F62</f>
        <v>15710</v>
      </c>
      <c r="G10" s="14">
        <f>'Data Sheet'!G62</f>
        <v>23789</v>
      </c>
      <c r="H10" s="14">
        <f>'Data Sheet'!H62</f>
        <v>25505</v>
      </c>
      <c r="I10" s="14">
        <f>'Data Sheet'!I62</f>
        <v>25800</v>
      </c>
      <c r="J10" s="14">
        <f>'Data Sheet'!J62</f>
        <v>29225</v>
      </c>
      <c r="K10" s="14">
        <f>'Data Sheet'!K62</f>
        <v>27622</v>
      </c>
    </row>
    <row r="11" spans="1:11" x14ac:dyDescent="0.35">
      <c r="A11" t="s">
        <v>27</v>
      </c>
      <c r="B11" s="14">
        <f>'Data Sheet'!B63</f>
        <v>776</v>
      </c>
      <c r="C11" s="14">
        <f>'Data Sheet'!C63</f>
        <v>960</v>
      </c>
      <c r="D11" s="14">
        <f>'Data Sheet'!D63</f>
        <v>1365</v>
      </c>
      <c r="E11" s="14">
        <f>'Data Sheet'!E63</f>
        <v>1606</v>
      </c>
      <c r="F11" s="14">
        <f>'Data Sheet'!F63</f>
        <v>1388</v>
      </c>
      <c r="G11" s="14">
        <f>'Data Sheet'!G63</f>
        <v>954</v>
      </c>
      <c r="H11" s="14">
        <f>'Data Sheet'!H63</f>
        <v>922</v>
      </c>
      <c r="I11" s="14">
        <f>'Data Sheet'!I63</f>
        <v>416</v>
      </c>
      <c r="J11" s="14">
        <f>'Data Sheet'!J63</f>
        <v>288</v>
      </c>
      <c r="K11" s="14">
        <f>'Data Sheet'!K63</f>
        <v>293</v>
      </c>
    </row>
    <row r="12" spans="1:11" x14ac:dyDescent="0.35">
      <c r="A12" t="s">
        <v>28</v>
      </c>
      <c r="B12" s="14">
        <f>'Data Sheet'!B64</f>
        <v>2270</v>
      </c>
      <c r="C12" s="14">
        <f>'Data Sheet'!C64</f>
        <v>1892</v>
      </c>
      <c r="D12" s="14">
        <f>'Data Sheet'!D64</f>
        <v>16423</v>
      </c>
      <c r="E12" s="14">
        <f>'Data Sheet'!E64</f>
        <v>12163</v>
      </c>
      <c r="F12" s="14">
        <f>'Data Sheet'!F64</f>
        <v>11261</v>
      </c>
      <c r="G12" s="14">
        <f>'Data Sheet'!G64</f>
        <v>8792</v>
      </c>
      <c r="H12" s="14">
        <f>'Data Sheet'!H64</f>
        <v>14205</v>
      </c>
      <c r="I12" s="14">
        <f>'Data Sheet'!I64</f>
        <v>20324</v>
      </c>
      <c r="J12" s="14">
        <f>'Data Sheet'!J64</f>
        <v>19478</v>
      </c>
      <c r="K12" s="14">
        <f>'Data Sheet'!K64</f>
        <v>24623</v>
      </c>
    </row>
    <row r="13" spans="1:11" x14ac:dyDescent="0.35">
      <c r="A13" t="s">
        <v>63</v>
      </c>
      <c r="B13" s="14">
        <f>'Data Sheet'!B65</f>
        <v>51897</v>
      </c>
      <c r="C13" s="14">
        <f>'Data Sheet'!C65</f>
        <v>58860</v>
      </c>
      <c r="D13" s="14">
        <f>'Data Sheet'!D65</f>
        <v>51181</v>
      </c>
      <c r="E13" s="14">
        <f>'Data Sheet'!E65</f>
        <v>53006</v>
      </c>
      <c r="F13" s="14">
        <f>'Data Sheet'!F65</f>
        <v>55707</v>
      </c>
      <c r="G13" s="14">
        <f>'Data Sheet'!G65</f>
        <v>58265</v>
      </c>
      <c r="H13" s="14">
        <f>'Data Sheet'!H65</f>
        <v>66879</v>
      </c>
      <c r="I13" s="14">
        <f>'Data Sheet'!I65</f>
        <v>70189</v>
      </c>
      <c r="J13" s="14">
        <f>'Data Sheet'!J65</f>
        <v>75605</v>
      </c>
      <c r="K13" s="14">
        <f>'Data Sheet'!K65</f>
        <v>83482</v>
      </c>
    </row>
    <row r="14" spans="1:11" s="2" customFormat="1" x14ac:dyDescent="0.35">
      <c r="A14" s="2" t="s">
        <v>25</v>
      </c>
      <c r="B14" s="14">
        <f>'Data Sheet'!B66</f>
        <v>66289</v>
      </c>
      <c r="C14" s="14">
        <f>'Data Sheet'!C66</f>
        <v>75098</v>
      </c>
      <c r="D14" s="14">
        <f>'Data Sheet'!D66</f>
        <v>83148</v>
      </c>
      <c r="E14" s="14">
        <f>'Data Sheet'!E66</f>
        <v>79349</v>
      </c>
      <c r="F14" s="14">
        <f>'Data Sheet'!F66</f>
        <v>84066</v>
      </c>
      <c r="G14" s="14">
        <f>'Data Sheet'!G66</f>
        <v>91800</v>
      </c>
      <c r="H14" s="14">
        <f>'Data Sheet'!H66</f>
        <v>107511</v>
      </c>
      <c r="I14" s="14">
        <f>'Data Sheet'!I66</f>
        <v>116729</v>
      </c>
      <c r="J14" s="14">
        <f>'Data Sheet'!J66</f>
        <v>124596</v>
      </c>
      <c r="K14" s="14">
        <f>'Data Sheet'!K66</f>
        <v>136020</v>
      </c>
    </row>
    <row r="15" spans="1:1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t="s">
        <v>29</v>
      </c>
      <c r="B16" s="4">
        <f>B13-B7</f>
        <v>36344</v>
      </c>
      <c r="C16" s="4">
        <f t="shared" ref="C16:K16" si="0">C13-C7</f>
        <v>45506</v>
      </c>
      <c r="D16" s="4">
        <f t="shared" si="0"/>
        <v>37015</v>
      </c>
      <c r="E16" s="4">
        <f t="shared" si="0"/>
        <v>38580</v>
      </c>
      <c r="F16" s="4">
        <f t="shared" si="0"/>
        <v>36589</v>
      </c>
      <c r="G16" s="4">
        <f t="shared" si="0"/>
        <v>36548</v>
      </c>
      <c r="H16" s="4">
        <f t="shared" si="0"/>
        <v>41044</v>
      </c>
      <c r="I16" s="4">
        <f t="shared" si="0"/>
        <v>34284</v>
      </c>
      <c r="J16" s="4">
        <f t="shared" si="0"/>
        <v>34715</v>
      </c>
      <c r="K16" s="4">
        <f t="shared" si="0"/>
        <v>43937</v>
      </c>
    </row>
    <row r="17" spans="1:11" x14ac:dyDescent="0.35">
      <c r="A17" t="s">
        <v>43</v>
      </c>
      <c r="B17" s="4">
        <f>'Data Sheet'!B67</f>
        <v>9713</v>
      </c>
      <c r="C17" s="4">
        <f>'Data Sheet'!C67</f>
        <v>11330</v>
      </c>
      <c r="D17" s="4">
        <f>'Data Sheet'!D67</f>
        <v>12322</v>
      </c>
      <c r="E17" s="4">
        <f>'Data Sheet'!E67</f>
        <v>13142</v>
      </c>
      <c r="F17" s="4">
        <f>'Data Sheet'!F67</f>
        <v>14827</v>
      </c>
      <c r="G17" s="4">
        <f>'Data Sheet'!G67</f>
        <v>18487</v>
      </c>
      <c r="H17" s="4">
        <f>'Data Sheet'!H67</f>
        <v>19294</v>
      </c>
      <c r="I17" s="4">
        <f>'Data Sheet'!I67</f>
        <v>22698</v>
      </c>
      <c r="J17" s="4">
        <f>'Data Sheet'!J67</f>
        <v>25424</v>
      </c>
      <c r="K17" s="4">
        <f>'Data Sheet'!K67</f>
        <v>30193</v>
      </c>
    </row>
    <row r="18" spans="1:11" x14ac:dyDescent="0.35">
      <c r="A18" t="s">
        <v>44</v>
      </c>
      <c r="B18" s="4">
        <f>'Data Sheet'!B68</f>
        <v>0</v>
      </c>
      <c r="C18" s="4">
        <f>'Data Sheet'!C68</f>
        <v>0</v>
      </c>
      <c r="D18" s="4">
        <f>'Data Sheet'!D68</f>
        <v>0</v>
      </c>
      <c r="E18" s="4">
        <f>'Data Sheet'!E68</f>
        <v>0</v>
      </c>
      <c r="F18" s="4">
        <f>'Data Sheet'!F68</f>
        <v>0</v>
      </c>
      <c r="G18" s="4">
        <f>'Data Sheet'!G68</f>
        <v>0</v>
      </c>
      <c r="H18" s="4">
        <f>'Data Sheet'!H68</f>
        <v>0</v>
      </c>
      <c r="I18" s="4">
        <f>'Data Sheet'!I68</f>
        <v>0</v>
      </c>
      <c r="J18" s="4">
        <f>'Data Sheet'!J68</f>
        <v>0</v>
      </c>
      <c r="K18" s="4">
        <f>'Data Sheet'!K68</f>
        <v>0</v>
      </c>
    </row>
    <row r="20" spans="1:11" x14ac:dyDescent="0.35">
      <c r="A20" t="s">
        <v>45</v>
      </c>
      <c r="B20" s="4">
        <f>IF('Profit &amp; Loss'!B4&gt;0,'Balance Sheet'!B17/('Profit &amp; Loss'!B4/365),0)</f>
        <v>66.491213263564575</v>
      </c>
      <c r="C20" s="4">
        <f>IF('Profit &amp; Loss'!C4&gt;0,'Balance Sheet'!C17/('Profit &amp; Loss'!C4/365),0)</f>
        <v>66.229720856488527</v>
      </c>
      <c r="D20" s="4">
        <f>IF('Profit &amp; Loss'!D4&gt;0,'Balance Sheet'!D17/('Profit &amp; Loss'!D4/365),0)</f>
        <v>65.672711874306415</v>
      </c>
      <c r="E20" s="4">
        <f>IF('Profit &amp; Loss'!E4&gt;0,'Balance Sheet'!E17/('Profit &amp; Loss'!E4/365),0)</f>
        <v>68.018916082924477</v>
      </c>
      <c r="F20" s="4">
        <f>IF('Profit &amp; Loss'!F4&gt;0,'Balance Sheet'!F17/('Profit &amp; Loss'!F4/365),0)</f>
        <v>65.459389174478375</v>
      </c>
      <c r="G20" s="4">
        <f>IF('Profit &amp; Loss'!G4&gt;0,'Balance Sheet'!G17/('Profit &amp; Loss'!G4/365),0)</f>
        <v>74.321849081957467</v>
      </c>
      <c r="H20" s="4">
        <f>IF('Profit &amp; Loss'!H4&gt;0,'Balance Sheet'!H17/('Profit &amp; Loss'!H4/365),0)</f>
        <v>70.092264511505689</v>
      </c>
      <c r="I20" s="4">
        <f>IF('Profit &amp; Loss'!I4&gt;0,'Balance Sheet'!I17/('Profit &amp; Loss'!I4/365),0)</f>
        <v>68.108368066688044</v>
      </c>
      <c r="J20" s="4">
        <f>IF('Profit &amp; Loss'!J4&gt;0,'Balance Sheet'!J17/('Profit &amp; Loss'!J4/365),0)</f>
        <v>63.227837320378562</v>
      </c>
      <c r="K20" s="4">
        <f>IF('Profit &amp; Loss'!K4&gt;0,'Balance Sheet'!K17/('Profit &amp; Loss'!K4/365),0)</f>
        <v>71.715006182078469</v>
      </c>
    </row>
    <row r="21" spans="1:11" x14ac:dyDescent="0.35">
      <c r="A21" t="s">
        <v>46</v>
      </c>
      <c r="B21" s="4">
        <f>IF('Balance Sheet'!B18&gt;0,'Profit &amp; Loss'!B4/'Balance Sheet'!B18,0)</f>
        <v>0</v>
      </c>
      <c r="C21" s="4">
        <f>IF('Balance Sheet'!C18&gt;0,'Profit &amp; Loss'!C4/'Balance Sheet'!C18,0)</f>
        <v>0</v>
      </c>
      <c r="D21" s="4">
        <f>IF('Balance Sheet'!D18&gt;0,'Profit &amp; Loss'!D4/'Balance Sheet'!D18,0)</f>
        <v>0</v>
      </c>
      <c r="E21" s="4">
        <f>IF('Balance Sheet'!E18&gt;0,'Profit &amp; Loss'!E4/'Balance Sheet'!E18,0)</f>
        <v>0</v>
      </c>
      <c r="F21" s="4">
        <f>IF('Balance Sheet'!F18&gt;0,'Profit &amp; Loss'!F4/'Balance Sheet'!F18,0)</f>
        <v>0</v>
      </c>
      <c r="G21" s="4">
        <f>IF('Balance Sheet'!G18&gt;0,'Profit &amp; Loss'!G4/'Balance Sheet'!G18,0)</f>
        <v>0</v>
      </c>
      <c r="H21" s="4">
        <f>IF('Balance Sheet'!H18&gt;0,'Profit &amp; Loss'!H4/'Balance Sheet'!H18,0)</f>
        <v>0</v>
      </c>
      <c r="I21" s="4">
        <f>IF('Balance Sheet'!I18&gt;0,'Profit &amp; Loss'!I4/'Balance Sheet'!I18,0)</f>
        <v>0</v>
      </c>
      <c r="J21" s="4">
        <f>IF('Balance Sheet'!J18&gt;0,'Profit &amp; Loss'!J4/'Balance Sheet'!J18,0)</f>
        <v>0</v>
      </c>
      <c r="K21" s="4">
        <f>IF('Balance Sheet'!K18&gt;0,'Profit &amp; Loss'!K4/'Balance Sheet'!K18,0)</f>
        <v>0</v>
      </c>
    </row>
    <row r="23" spans="1:11" s="2" customFormat="1" x14ac:dyDescent="0.35">
      <c r="A23" s="2" t="s">
        <v>49</v>
      </c>
      <c r="B23" s="10">
        <f>IF(SUM('Balance Sheet'!B4:B5)&gt;0,'Profit &amp; Loss'!B12/SUM('Balance Sheet'!B4:B5),"")</f>
        <v>0.24385052034058657</v>
      </c>
      <c r="C23" s="10">
        <f>IF(SUM('Balance Sheet'!C4:C5)&gt;0,'Profit &amp; Loss'!C12/SUM('Balance Sheet'!C4:C5),"")</f>
        <v>0.2184665716506867</v>
      </c>
      <c r="D23" s="10">
        <f>IF(SUM('Balance Sheet'!D4:D5)&gt;0,'Profit &amp; Loss'!D12/SUM('Balance Sheet'!D4:D5),"")</f>
        <v>0.20806877156359629</v>
      </c>
      <c r="E23" s="10">
        <f>IF(SUM('Balance Sheet'!E4:E5)&gt;0,'Profit &amp; Loss'!E12/SUM('Balance Sheet'!E4:E5),"")</f>
        <v>0.24689247262141306</v>
      </c>
      <c r="F23" s="10">
        <f>IF(SUM('Balance Sheet'!F4:F5)&gt;0,'Profit &amp; Loss'!F12/SUM('Balance Sheet'!F4:F5),"")</f>
        <v>0.23717435486851018</v>
      </c>
      <c r="G23" s="10">
        <f>IF(SUM('Balance Sheet'!G4:G5)&gt;0,'Profit &amp; Loss'!G12/SUM('Balance Sheet'!G4:G5),"")</f>
        <v>0.25353705118411002</v>
      </c>
      <c r="H23" s="10">
        <f>IF(SUM('Balance Sheet'!H4:H5)&gt;0,'Profit &amp; Loss'!H12/SUM('Balance Sheet'!H4:H5),"")</f>
        <v>0.2534478919726002</v>
      </c>
      <c r="I23" s="10">
        <f>IF(SUM('Balance Sheet'!I4:I5)&gt;0,'Profit &amp; Loss'!I12/SUM('Balance Sheet'!I4:I5),"")</f>
        <v>0.29343065693430659</v>
      </c>
      <c r="J23" s="10">
        <f>IF(SUM('Balance Sheet'!J4:J5)&gt;0,'Profit &amp; Loss'!J12/SUM('Balance Sheet'!J4:J5),"")</f>
        <v>0.31953266938082669</v>
      </c>
      <c r="K23" s="10">
        <f>IF(SUM('Balance Sheet'!K4:K5)&gt;0,'Profit &amp; Loss'!K12/SUM('Balance Sheet'!K4:K5),"")</f>
        <v>0.29770983703300197</v>
      </c>
    </row>
    <row r="24" spans="1:11" s="2" customFormat="1" x14ac:dyDescent="0.35">
      <c r="A24" s="2" t="s">
        <v>50</v>
      </c>
      <c r="B24" s="10"/>
      <c r="C24" s="10">
        <f>IF((B4+B5+B6+C4+C5+C6)&gt;0,('Profit &amp; Loss'!C10+'Profit &amp; Loss'!C9)*2/(B4+B5+B6+C4+C5+C6),"")</f>
        <v>0.33321479374110952</v>
      </c>
      <c r="D24" s="10">
        <f>IF((C4+C5+C6+D4+D5+D6)&gt;0,('Profit &amp; Loss'!D10+'Profit &amp; Loss'!D9)*2/(C4+C5+C6+D4+D5+D6),"")</f>
        <v>0.30523384789559843</v>
      </c>
      <c r="E24" s="10">
        <f>IF((D4+D5+D6+E4+E5+E6)&gt;0,('Profit &amp; Loss'!E10+'Profit &amp; Loss'!E9)*2/(D4+D5+D6+E4+E5+E6),"")</f>
        <v>0.30275195101004443</v>
      </c>
      <c r="F24" s="10">
        <f>IF((E4+E5+E6+F4+F5+F6)&gt;0,('Profit &amp; Loss'!F10+'Profit &amp; Loss'!F9)*2/(E4+E5+E6+F4+F5+F6),"")</f>
        <v>0.3240292290041657</v>
      </c>
      <c r="G24" s="10">
        <f>IF((F4+F5+F6+G4+G5+G6)&gt;0,('Profit &amp; Loss'!G10+'Profit &amp; Loss'!G9)*2/(F4+F5+F6+G4+G5+G6),"")</f>
        <v>0.32847272107886338</v>
      </c>
      <c r="H24" s="10">
        <f>IF((G4+G5+G6+H4+H5+H6)&gt;0,('Profit &amp; Loss'!H10+'Profit &amp; Loss'!H9)*2/(G4+G5+G6+H4+H5+H6),"")</f>
        <v>0.3534946856529102</v>
      </c>
      <c r="I24" s="10">
        <f>IF((H4+H5+H6+I4+I5+I6)&gt;0,('Profit &amp; Loss'!I10+'Profit &amp; Loss'!I9)*2/(H4+H5+H6+I4+I5+I6),"")</f>
        <v>0.37304615384615386</v>
      </c>
      <c r="J24" s="10">
        <f>IF((I4+I5+I6+J4+J5+J6)&gt;0,('Profit &amp; Loss'!J10+'Profit &amp; Loss'!J9)*2/(I4+I5+I6+J4+J5+J6),"")</f>
        <v>0.40850908648878625</v>
      </c>
      <c r="K24" s="10">
        <f>IF((J4+J5+J6+K4+K5+K6)&gt;0,('Profit &amp; Loss'!K10+'Profit &amp; Loss'!K9)*2/(J4+J5+J6+K4+K5+K6),"")</f>
        <v>0.40468195869708795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6.81640625" bestFit="1" customWidth="1"/>
    <col min="2" max="6" width="13.453125" customWidth="1"/>
    <col min="7" max="11" width="13.453125" bestFit="1" customWidth="1"/>
  </cols>
  <sheetData>
    <row r="1" spans="1:11" s="2" customFormat="1" x14ac:dyDescent="0.35">
      <c r="A1" s="2" t="str">
        <f>'Balance Sheet'!A1</f>
        <v>INFOSYS LTD</v>
      </c>
      <c r="E1" t="str">
        <f>UPDATE</f>
        <v/>
      </c>
      <c r="F1"/>
      <c r="J1" s="2" t="s">
        <v>0</v>
      </c>
    </row>
    <row r="3" spans="1:11" s="2" customFormat="1" x14ac:dyDescent="0.35">
      <c r="A3" s="11" t="s">
        <v>1</v>
      </c>
      <c r="B3" s="12">
        <f>'Data Sheet'!B81</f>
        <v>42094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 x14ac:dyDescent="0.35">
      <c r="A4" s="2" t="s">
        <v>31</v>
      </c>
      <c r="B4" s="1">
        <f>'Data Sheet'!B82</f>
        <v>8353</v>
      </c>
      <c r="C4" s="1">
        <f>'Data Sheet'!C82</f>
        <v>10028</v>
      </c>
      <c r="D4" s="1">
        <f>'Data Sheet'!D82</f>
        <v>11531</v>
      </c>
      <c r="E4" s="1">
        <f>'Data Sheet'!E82</f>
        <v>13218</v>
      </c>
      <c r="F4" s="1">
        <f>'Data Sheet'!F82</f>
        <v>14841</v>
      </c>
      <c r="G4" s="1">
        <f>'Data Sheet'!G82</f>
        <v>17003</v>
      </c>
      <c r="H4" s="1">
        <f>'Data Sheet'!H82</f>
        <v>23224</v>
      </c>
      <c r="I4" s="1">
        <f>'Data Sheet'!I82</f>
        <v>23885</v>
      </c>
      <c r="J4" s="1">
        <f>'Data Sheet'!J82</f>
        <v>22467</v>
      </c>
      <c r="K4" s="1">
        <f>'Data Sheet'!K82</f>
        <v>25210</v>
      </c>
    </row>
    <row r="5" spans="1:11" x14ac:dyDescent="0.35">
      <c r="A5" t="s">
        <v>32</v>
      </c>
      <c r="B5" s="6">
        <f>'Data Sheet'!B83</f>
        <v>999</v>
      </c>
      <c r="C5" s="6">
        <f>'Data Sheet'!C83</f>
        <v>-885</v>
      </c>
      <c r="D5" s="6">
        <f>'Data Sheet'!D83</f>
        <v>-14664</v>
      </c>
      <c r="E5" s="6">
        <f>'Data Sheet'!E83</f>
        <v>4533</v>
      </c>
      <c r="F5" s="6">
        <f>'Data Sheet'!F83</f>
        <v>-632</v>
      </c>
      <c r="G5" s="6">
        <f>'Data Sheet'!G83</f>
        <v>-331</v>
      </c>
      <c r="H5" s="6">
        <f>'Data Sheet'!H83</f>
        <v>-7373</v>
      </c>
      <c r="I5" s="6">
        <f>'Data Sheet'!I83</f>
        <v>-6485</v>
      </c>
      <c r="J5" s="6">
        <f>'Data Sheet'!J83</f>
        <v>-1071</v>
      </c>
      <c r="K5" s="6">
        <f>'Data Sheet'!K83</f>
        <v>-5093</v>
      </c>
    </row>
    <row r="6" spans="1:11" x14ac:dyDescent="0.35">
      <c r="A6" t="s">
        <v>33</v>
      </c>
      <c r="B6" s="6">
        <f>'Data Sheet'!B84</f>
        <v>-4935</v>
      </c>
      <c r="C6" s="6">
        <f>'Data Sheet'!C84</f>
        <v>-6813</v>
      </c>
      <c r="D6" s="6">
        <f>'Data Sheet'!D84</f>
        <v>-6939</v>
      </c>
      <c r="E6" s="6">
        <f>'Data Sheet'!E84</f>
        <v>-20505</v>
      </c>
      <c r="F6" s="6">
        <f>'Data Sheet'!F84</f>
        <v>-14512</v>
      </c>
      <c r="G6" s="6">
        <f>'Data Sheet'!G84</f>
        <v>-17591</v>
      </c>
      <c r="H6" s="6">
        <f>'Data Sheet'!H84</f>
        <v>-9786</v>
      </c>
      <c r="I6" s="6">
        <f>'Data Sheet'!I84</f>
        <v>-24642</v>
      </c>
      <c r="J6" s="6">
        <f>'Data Sheet'!J84</f>
        <v>-26695</v>
      </c>
      <c r="K6" s="6">
        <f>'Data Sheet'!K84</f>
        <v>-17504</v>
      </c>
    </row>
    <row r="7" spans="1:11" s="2" customFormat="1" x14ac:dyDescent="0.35">
      <c r="A7" s="2" t="s">
        <v>34</v>
      </c>
      <c r="B7" s="1">
        <f>'Data Sheet'!B85</f>
        <v>4417</v>
      </c>
      <c r="C7" s="1">
        <f>'Data Sheet'!C85</f>
        <v>2330</v>
      </c>
      <c r="D7" s="1">
        <f>'Data Sheet'!D85</f>
        <v>-10072</v>
      </c>
      <c r="E7" s="1">
        <f>'Data Sheet'!E85</f>
        <v>-2754</v>
      </c>
      <c r="F7" s="1">
        <f>'Data Sheet'!F85</f>
        <v>-303</v>
      </c>
      <c r="G7" s="1">
        <f>'Data Sheet'!G85</f>
        <v>-919</v>
      </c>
      <c r="H7" s="1">
        <f>'Data Sheet'!H85</f>
        <v>6065</v>
      </c>
      <c r="I7" s="1">
        <f>'Data Sheet'!I85</f>
        <v>-7242</v>
      </c>
      <c r="J7" s="1">
        <f>'Data Sheet'!J85</f>
        <v>-5299</v>
      </c>
      <c r="K7" s="1">
        <f>'Data Sheet'!K85</f>
        <v>2613</v>
      </c>
    </row>
    <row r="8" spans="1:11" x14ac:dyDescent="0.35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Historical_FS</vt:lpstr>
      <vt:lpstr>Cash_flow</vt:lpstr>
      <vt:lpstr>Data Sheet</vt:lpstr>
      <vt:lpstr>Profit &amp; Loss</vt:lpstr>
      <vt:lpstr>Quarters</vt:lpstr>
      <vt:lpstr>Balance Sheet</vt:lpstr>
      <vt:lpstr>Cash Flow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Prajwal Dongre</cp:lastModifiedBy>
  <cp:lastPrinted>2024-12-25T16:04:00Z</cp:lastPrinted>
  <dcterms:created xsi:type="dcterms:W3CDTF">2012-08-17T09:55:37Z</dcterms:created>
  <dcterms:modified xsi:type="dcterms:W3CDTF">2024-12-26T04:10:46Z</dcterms:modified>
</cp:coreProperties>
</file>