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61ecbf716e6705/Documents/"/>
    </mc:Choice>
  </mc:AlternateContent>
  <xr:revisionPtr revIDLastSave="18" documentId="13_ncr:1_{A1BBCF88-8B0D-4E5B-8D8C-9E5B941F1611}" xr6:coauthVersionLast="46" xr6:coauthVersionMax="46" xr10:uidLastSave="{B48C1031-8094-46DF-B800-2EC4C17D654E}"/>
  <bookViews>
    <workbookView xWindow="-110" yWindow="-110" windowWidth="19420" windowHeight="10420" firstSheet="5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." sheetId="5" r:id="rId4"/>
    <sheet name="Edinburgh Research" sheetId="6" r:id="rId5"/>
    <sheet name="Descriptive Statistics." sheetId="10" r:id="rId6"/>
    <sheet name="Theatre Outcomes by Launch Date" sheetId="12" r:id="rId7"/>
    <sheet name="Outcomes Based on Goals." sheetId="14" r:id="rId8"/>
  </sheets>
  <definedNames>
    <definedName name="_xlnm._FilterDatabase" localSheetId="0" hidden="1">Kickstarter!$A$1:$U$4115</definedName>
  </definedNames>
  <calcPr calcId="181029"/>
  <pivotCaches>
    <pivotCache cacheId="38" r:id="rId9"/>
    <pivotCache cacheId="39" r:id="rId10"/>
    <pivotCache cacheId="4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4" l="1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H2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2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C14" i="10"/>
  <c r="C13" i="10"/>
  <c r="C12" i="10"/>
  <c r="B14" i="10"/>
  <c r="B13" i="10"/>
  <c r="B12" i="10"/>
  <c r="C6" i="10"/>
  <c r="C5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7" i="10" l="1"/>
  <c r="C15" i="10"/>
  <c r="B15" i="10"/>
  <c r="C7" i="10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<sst xmlns="http://schemas.openxmlformats.org/spreadsheetml/2006/main" count="33054" uniqueCount="8421">
  <si>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</si>
  <si>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</si>
  <si>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</si>
  <si>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</si>
  <si>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</si>
  <si>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</si>
  <si>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</si>
  <si>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</si>
  <si>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</si>
  <si>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</si>
  <si>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</si>
  <si>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</si>
  <si>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</si>
  <si>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</si>
  <si>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</si>
  <si>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</si>
  <si>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</si>
  <si>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</si>
  <si>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</si>
  <si>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</si>
  <si>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</si>
  <si>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</si>
  <si>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</si>
  <si>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</si>
  <si>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</si>
  <si>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</si>
  <si>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</si>
  <si>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</si>
  <si>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</si>
  <si>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</si>
  <si>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</si>
  <si>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</si>
  <si>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</si>
  <si>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</si>
  <si>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</si>
  <si>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</si>
  <si>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</si>
  <si>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</si>
  <si>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</si>
  <si>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</si>
  <si>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</si>
  <si>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</si>
  <si>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</si>
  <si>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</si>
  <si>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</si>
  <si>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</si>
  <si>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</si>
  <si>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</si>
  <si>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</si>
  <si>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</si>
  <si>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</si>
  <si>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</si>
  <si>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</si>
  <si>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</si>
  <si>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</si>
  <si>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</si>
  <si>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</si>
  <si>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</si>
  <si>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</si>
  <si>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</si>
  <si>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</si>
  <si>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</si>
  <si>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</si>
  <si>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</si>
  <si>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</si>
  <si>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</si>
  <si>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</si>
  <si>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</si>
  <si>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</si>
  <si>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</si>
  <si>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</si>
  <si>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</si>
  <si>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</si>
  <si>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</si>
  <si>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</si>
  <si>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</si>
  <si>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</si>
  <si>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</si>
  <si>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</si>
  <si>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</si>
  <si>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</si>
  <si>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</si>
  <si>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</si>
  <si>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</si>
  <si>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</si>
  <si>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</si>
  <si>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</si>
  <si>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</si>
  <si>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</si>
  <si>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</si>
  <si>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</si>
  <si>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</si>
  <si>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</si>
  <si>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</si>
  <si>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</si>
  <si>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</si>
  <si>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</si>
  <si>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</si>
  <si>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</si>
  <si>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</si>
  <si>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</si>
  <si>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</si>
  <si>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</si>
  <si>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</si>
  <si>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</si>
  <si>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</si>
  <si>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</si>
  <si>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</si>
  <si>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</si>
  <si>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</si>
  <si>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</si>
  <si>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</si>
  <si>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</si>
  <si>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</si>
  <si>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</si>
  <si>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</si>
  <si>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</si>
  <si>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</si>
  <si>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</si>
  <si>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</si>
  <si>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</si>
  <si>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</si>
  <si>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</si>
  <si>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</si>
  <si>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</si>
  <si>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</si>
  <si>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</si>
  <si>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</si>
  <si>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</si>
  <si>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</si>
  <si>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</si>
  <si>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</si>
  <si>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</si>
  <si>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</si>
  <si>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</si>
  <si>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</si>
  <si>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</si>
  <si>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</si>
  <si>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</si>
  <si>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</si>
  <si>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</si>
  <si>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</si>
  <si>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</si>
  <si>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</si>
  <si>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</si>
  <si>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</si>
  <si>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</si>
  <si>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</si>
  <si>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</si>
  <si>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</si>
  <si>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</si>
  <si>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</si>
  <si>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</si>
  <si>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</si>
  <si>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</si>
  <si>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</si>
  <si>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</si>
  <si>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</si>
  <si>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</si>
  <si>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</si>
  <si>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</si>
  <si>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</si>
  <si>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</si>
  <si>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</si>
  <si>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</si>
  <si>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</si>
  <si>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</si>
  <si>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</si>
  <si>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</si>
  <si>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</si>
  <si>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</si>
  <si>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</si>
  <si>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</si>
  <si>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</si>
  <si>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</si>
  <si>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</si>
  <si>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</si>
  <si>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</si>
  <si>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</si>
  <si>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</si>
  <si>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</si>
  <si>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</si>
  <si>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</si>
  <si>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</si>
  <si>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</si>
  <si>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</si>
  <si>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</si>
  <si>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</si>
  <si>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</si>
  <si>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</si>
  <si>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</si>
  <si>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</si>
  <si>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</si>
  <si>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</si>
  <si>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</si>
  <si>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</si>
  <si>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</si>
  <si>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</si>
  <si>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</si>
  <si>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</si>
  <si>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</si>
  <si>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</si>
  <si>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</si>
  <si>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</si>
  <si>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</si>
  <si>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</si>
  <si>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</si>
  <si>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</si>
  <si>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</si>
  <si>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</si>
  <si>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</si>
  <si>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</si>
  <si>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</si>
  <si>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</si>
  <si>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</si>
  <si>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</si>
  <si>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</si>
  <si>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</si>
  <si>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</si>
  <si>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</si>
  <si>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</si>
  <si>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</si>
  <si>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</si>
  <si>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</si>
  <si>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</si>
  <si>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</si>
  <si>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</si>
  <si>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</si>
  <si>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</si>
  <si>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</si>
  <si>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</si>
  <si>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</si>
  <si>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</si>
  <si>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</si>
  <si>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</si>
  <si>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</si>
  <si>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</si>
  <si>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</si>
  <si>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</si>
  <si>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</si>
  <si>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</si>
  <si>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</si>
  <si>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</si>
  <si>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</si>
  <si>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</si>
  <si>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</si>
  <si>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</si>
  <si>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</si>
  <si>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</si>
  <si>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</si>
  <si>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</si>
  <si>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</si>
  <si>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</si>
  <si>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</si>
  <si>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</si>
  <si>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</si>
  <si>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</si>
  <si>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</si>
  <si>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</si>
  <si>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</si>
  <si>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</si>
  <si>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</si>
  <si>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</si>
  <si>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</si>
  <si>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</si>
  <si>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</si>
  <si>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</si>
  <si>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</si>
  <si>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</si>
  <si>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</si>
  <si>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</si>
  <si>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</si>
  <si>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</si>
  <si>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</si>
  <si>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</si>
  <si>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</si>
  <si>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</si>
  <si>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</si>
  <si>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</si>
  <si>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</si>
  <si>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</si>
  <si>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</si>
  <si>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</si>
  <si>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</si>
  <si>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</si>
  <si>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</si>
  <si>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</si>
  <si>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</si>
  <si>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</si>
  <si>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</si>
  <si>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</si>
  <si>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</si>
  <si>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</si>
  <si>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</si>
  <si>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</si>
  <si>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</si>
  <si>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</si>
  <si>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</si>
  <si>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</si>
  <si>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</si>
  <si>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</si>
  <si>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</si>
  <si>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</si>
  <si>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</si>
  <si>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</si>
  <si>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</si>
  <si>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</si>
  <si>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</si>
  <si>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</si>
  <si>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</si>
  <si>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</si>
  <si>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</si>
  <si>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</si>
  <si>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</si>
  <si>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</si>
  <si>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</si>
  <si>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</si>
  <si>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</si>
  <si>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</si>
  <si>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</si>
  <si>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</si>
  <si>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</si>
  <si>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</si>
  <si>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</si>
  <si>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</si>
  <si>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</si>
  <si>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</si>
  <si>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</si>
  <si>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</si>
  <si>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</si>
  <si>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</si>
  <si>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</si>
  <si>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</si>
  <si>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</si>
  <si>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</si>
  <si>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</si>
  <si>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</si>
  <si>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</si>
  <si>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</si>
  <si>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</si>
  <si>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</si>
  <si>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</si>
  <si>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</si>
  <si>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</si>
  <si>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</si>
  <si>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</si>
  <si>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</si>
  <si>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</si>
  <si>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</si>
  <si>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</si>
  <si>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</si>
  <si>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</si>
  <si>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</si>
  <si>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</si>
  <si>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</si>
  <si>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</si>
  <si>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</si>
  <si>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</si>
  <si>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</si>
  <si>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</si>
  <si>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</si>
  <si>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</si>
  <si>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</si>
  <si>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</si>
  <si>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</si>
  <si>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</si>
  <si>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</si>
  <si>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</si>
  <si>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</si>
  <si>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</si>
  <si>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</si>
  <si>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</si>
  <si>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</si>
  <si>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</si>
  <si>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</si>
  <si>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</si>
  <si>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</si>
  <si>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</si>
  <si>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</si>
  <si>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</si>
  <si>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</si>
  <si>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</si>
  <si>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</si>
  <si>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</si>
  <si>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</si>
  <si>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</si>
  <si>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</si>
  <si>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</si>
  <si>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</si>
  <si>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</si>
  <si>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</si>
  <si>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</si>
  <si>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</si>
  <si>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</si>
  <si>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</si>
  <si>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</si>
  <si>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</si>
  <si>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</si>
  <si>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</si>
  <si>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</si>
  <si>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</si>
  <si>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</si>
  <si>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</si>
  <si>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</si>
  <si>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</si>
  <si>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</si>
  <si>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</si>
  <si>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</si>
  <si>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</si>
  <si>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</si>
  <si>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</si>
  <si>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</si>
  <si>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</si>
  <si>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</si>
  <si>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</si>
  <si>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</si>
  <si>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</si>
  <si>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</si>
  <si>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</si>
  <si>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</si>
  <si>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</si>
  <si>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</si>
  <si>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</si>
  <si>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</si>
  <si>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</si>
  <si>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</si>
  <si>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</si>
  <si>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</si>
  <si>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</si>
  <si>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</si>
  <si>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</si>
  <si>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</si>
  <si>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</si>
  <si>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</si>
  <si>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</si>
  <si>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</si>
  <si>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</si>
  <si>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</si>
  <si>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</si>
  <si>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</si>
  <si>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</si>
  <si>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</si>
  <si>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</si>
  <si>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</si>
  <si>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</si>
  <si>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</si>
  <si>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</si>
  <si>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</si>
  <si>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</si>
  <si>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</si>
  <si>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</si>
  <si>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</si>
  <si>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</si>
  <si>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</si>
  <si>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</si>
  <si>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</si>
  <si>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</si>
  <si>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</si>
  <si>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</si>
  <si>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</si>
  <si>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</si>
  <si>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</si>
  <si>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</si>
  <si>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</si>
  <si>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</si>
  <si>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</si>
  <si>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</si>
  <si>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</si>
  <si>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</si>
  <si>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</si>
  <si>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</si>
  <si>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</si>
  <si>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</si>
  <si>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</si>
  <si>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</si>
  <si>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</si>
  <si>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</si>
  <si>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</si>
  <si>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</si>
  <si>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</si>
  <si>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</si>
  <si>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</si>
  <si>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</si>
  <si>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</si>
  <si>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</si>
  <si>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</si>
  <si>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</si>
  <si>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</si>
  <si>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</si>
  <si>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</si>
  <si>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</si>
  <si>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</si>
  <si>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</si>
  <si>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</si>
  <si>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</si>
  <si>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</si>
  <si>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</si>
  <si>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</si>
  <si>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</si>
  <si>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</si>
  <si>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</si>
  <si>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</si>
  <si>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</si>
  <si>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</si>
  <si>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</si>
  <si>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</si>
  <si>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</si>
  <si>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</si>
  <si>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</si>
  <si>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</si>
  <si>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</si>
  <si>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</si>
  <si>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</si>
  <si>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</si>
  <si>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</si>
  <si>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</si>
  <si>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</si>
  <si>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</si>
  <si>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</si>
  <si>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</si>
  <si>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</si>
  <si>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</si>
  <si>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</si>
  <si>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</si>
  <si>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</si>
  <si>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</si>
  <si>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</si>
  <si>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</si>
  <si>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</si>
  <si>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</si>
  <si>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</si>
  <si>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</si>
  <si>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</si>
  <si>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</si>
  <si>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</si>
  <si>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</si>
  <si>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</si>
  <si>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</si>
  <si>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</si>
  <si>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</si>
  <si>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</si>
  <si>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</si>
  <si>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</si>
  <si>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</si>
  <si>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</si>
  <si>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</si>
  <si>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</si>
  <si>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</si>
  <si>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</si>
  <si>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</si>
  <si>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</si>
  <si>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</si>
  <si>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</si>
  <si>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</si>
  <si>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</si>
  <si>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</si>
  <si>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</si>
  <si>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</si>
  <si>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</si>
  <si>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</si>
  <si>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</si>
  <si>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</si>
  <si>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</si>
  <si>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</si>
  <si>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</si>
  <si>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</si>
  <si>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</si>
  <si>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</si>
  <si>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</si>
  <si>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</si>
  <si>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</si>
  <si>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</si>
  <si>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</si>
  <si>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</si>
  <si>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</si>
  <si>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</si>
  <si>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</si>
  <si>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</si>
  <si>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</si>
  <si>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</si>
  <si>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</si>
  <si>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</si>
  <si>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</si>
  <si>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</si>
  <si>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</si>
  <si>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</si>
  <si>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</si>
  <si>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</si>
  <si>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</si>
  <si>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</si>
  <si>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</si>
  <si>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</si>
  <si>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</si>
  <si>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</si>
  <si>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</si>
  <si>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</si>
  <si>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</si>
  <si>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</si>
  <si>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</si>
  <si>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</si>
  <si>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</si>
  <si>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</si>
  <si>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</si>
  <si>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</si>
  <si>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</si>
  <si>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</si>
  <si>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</si>
  <si>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</si>
  <si>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</si>
  <si>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</si>
  <si>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</si>
  <si>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</si>
  <si>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</si>
  <si>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</si>
  <si>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</si>
  <si>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</si>
  <si>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</si>
  <si>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</si>
  <si>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</si>
  <si>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</si>
  <si>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</si>
  <si>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</si>
  <si>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</si>
  <si>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</si>
  <si>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</si>
  <si>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</si>
  <si>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</si>
  <si>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</si>
  <si>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</si>
  <si>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</si>
  <si>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</si>
  <si>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</si>
  <si>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</si>
  <si>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</si>
  <si>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</si>
  <si>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</si>
  <si>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</si>
  <si>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</si>
  <si>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</si>
  <si>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</si>
  <si>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</si>
  <si>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</si>
  <si>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</si>
  <si>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</si>
  <si>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</si>
  <si>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</si>
  <si>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</si>
  <si>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</si>
  <si>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</si>
  <si>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</si>
  <si>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</si>
  <si>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</si>
  <si>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</si>
  <si>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</si>
  <si>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</si>
  <si>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</si>
  <si>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</si>
  <si>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</si>
  <si>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</si>
  <si>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</si>
  <si>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</si>
  <si>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</si>
  <si>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</si>
  <si>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</si>
  <si>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</si>
  <si>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</si>
  <si>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</si>
  <si>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</si>
  <si>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</si>
  <si>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</si>
  <si>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</si>
  <si>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</si>
  <si>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</si>
  <si>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</si>
  <si>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</si>
  <si>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</si>
  <si>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</si>
  <si>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</si>
  <si>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</si>
  <si>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</si>
  <si>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</si>
  <si>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</si>
  <si>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</si>
  <si>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</si>
  <si>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</si>
  <si>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</si>
  <si>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</si>
  <si>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</si>
  <si>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</si>
  <si>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</si>
  <si>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</si>
  <si>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</si>
  <si>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</si>
  <si>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</si>
  <si>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</si>
  <si>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</si>
  <si>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</si>
  <si>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</si>
  <si>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</si>
  <si>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</si>
  <si>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</si>
  <si>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</si>
  <si>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</si>
  <si>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</si>
  <si>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</si>
  <si>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</si>
  <si>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</si>
  <si>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</si>
  <si>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</si>
  <si>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</si>
  <si>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</si>
  <si>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</si>
  <si>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</si>
  <si>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</si>
  <si>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</si>
  <si>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</si>
  <si>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</si>
  <si>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</si>
  <si>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</si>
  <si>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</si>
  <si>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</si>
  <si>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</si>
  <si>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</si>
  <si>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</si>
  <si>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</si>
  <si>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</si>
  <si>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</si>
  <si>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</si>
  <si>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</si>
  <si>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</si>
  <si>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</si>
  <si>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</si>
  <si>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</si>
  <si>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</si>
  <si>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</si>
  <si>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</si>
  <si>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</si>
  <si>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</si>
  <si>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</si>
  <si>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</si>
  <si>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</si>
  <si>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</si>
  <si>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</si>
  <si>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</si>
  <si>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</si>
  <si>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</si>
  <si>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</si>
  <si>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</si>
  <si>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</si>
  <si>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</si>
  <si>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</si>
  <si>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</si>
  <si>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</si>
  <si>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</si>
  <si>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</si>
  <si>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</si>
  <si>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</si>
  <si>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</si>
  <si>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</si>
  <si>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</si>
  <si>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</si>
  <si>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</si>
  <si>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</si>
  <si>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</si>
  <si>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</si>
  <si>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</si>
  <si>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</si>
  <si>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</si>
  <si>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</si>
  <si>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</si>
  <si>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</si>
  <si>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</si>
  <si>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</si>
  <si>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</si>
  <si>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</si>
  <si>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</si>
  <si>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</si>
  <si>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</si>
  <si>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</si>
  <si>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</si>
  <si>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</si>
  <si>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</si>
  <si>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</si>
  <si>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</si>
  <si>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</si>
  <si>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</si>
  <si>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</si>
  <si>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</si>
  <si>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</si>
  <si>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</si>
  <si>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</si>
  <si>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</si>
  <si>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</si>
  <si>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</si>
  <si>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</si>
  <si>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</si>
  <si>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</si>
  <si>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</si>
  <si>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</si>
  <si>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</si>
  <si>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</si>
  <si>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</si>
  <si>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</si>
  <si>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</si>
  <si>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</si>
  <si>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</si>
  <si>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</si>
  <si>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</si>
  <si>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</si>
  <si>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</si>
  <si>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</si>
  <si>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</si>
  <si>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</si>
  <si>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</si>
  <si>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</si>
  <si>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</si>
  <si>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</si>
  <si>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</si>
  <si>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</si>
  <si>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</si>
  <si>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</si>
  <si>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</si>
  <si>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</si>
  <si>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</si>
  <si>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</si>
  <si>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</si>
  <si>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</si>
  <si>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</si>
  <si>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</si>
  <si>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</si>
  <si>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</si>
  <si>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</si>
  <si>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</si>
  <si>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</si>
  <si>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</si>
  <si>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</si>
  <si>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</si>
  <si>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</si>
  <si>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</si>
  <si>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</si>
  <si>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</si>
  <si>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</si>
  <si>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</si>
  <si>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</si>
  <si>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</si>
  <si>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</si>
  <si>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</si>
  <si>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</si>
  <si>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</si>
  <si>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</si>
  <si>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</si>
  <si>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</si>
  <si>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</si>
  <si>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</si>
  <si>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</si>
  <si>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</si>
  <si>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</si>
  <si>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</si>
  <si>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</si>
  <si>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</si>
  <si>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</si>
  <si>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</si>
  <si>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</si>
  <si>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</si>
  <si>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</si>
  <si>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</si>
  <si>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</si>
  <si>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</si>
  <si>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</si>
  <si>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</si>
  <si>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</si>
  <si>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</si>
  <si>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</si>
  <si>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</si>
  <si>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</si>
  <si>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</si>
  <si>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</si>
  <si>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</si>
  <si>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</si>
  <si>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</si>
  <si>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</si>
  <si>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</si>
  <si>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</si>
  <si>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</si>
  <si>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</si>
  <si>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</si>
  <si>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</si>
  <si>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</si>
  <si>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</si>
  <si>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</si>
  <si>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</si>
  <si>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</si>
  <si>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</si>
  <si>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</si>
  <si>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</si>
  <si>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</si>
  <si>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</si>
  <si>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</si>
  <si>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</si>
  <si>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</si>
  <si>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</si>
  <si>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</si>
  <si>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</si>
  <si>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</si>
  <si>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</si>
  <si>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</si>
  <si>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</si>
  <si>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</si>
  <si>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</si>
  <si>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</si>
  <si>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</si>
  <si>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</si>
  <si>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</si>
  <si>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</si>
  <si>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</si>
  <si>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</si>
  <si>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</si>
  <si>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</si>
  <si>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</si>
  <si>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</si>
  <si>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</si>
  <si>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</si>
  <si>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</si>
  <si>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</si>
  <si>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</si>
  <si>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</si>
  <si>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</si>
  <si>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</si>
  <si>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</si>
  <si>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</si>
  <si>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</si>
  <si>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</si>
  <si>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</si>
  <si>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</si>
  <si>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</si>
  <si>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</si>
  <si>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</si>
  <si>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</si>
  <si>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</si>
  <si>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</si>
  <si>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</si>
  <si>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</si>
  <si>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</si>
  <si>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</si>
  <si>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</si>
  <si>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</si>
  <si>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</si>
  <si>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</si>
  <si>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</si>
  <si>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</si>
  <si>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</si>
  <si>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</si>
  <si>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</si>
  <si>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</si>
  <si>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</si>
  <si>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</si>
  <si>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</si>
  <si>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</si>
  <si>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</si>
  <si>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</si>
  <si>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</si>
  <si>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</si>
  <si>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</si>
  <si>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</si>
  <si>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</si>
  <si>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</si>
  <si>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</si>
  <si>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</si>
  <si>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</si>
  <si>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</si>
  <si>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</si>
  <si>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</si>
  <si>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</si>
  <si>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</si>
  <si>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</si>
  <si>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</si>
  <si>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</si>
  <si>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</si>
  <si>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</si>
  <si>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</si>
  <si>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</si>
  <si>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</si>
  <si>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</si>
  <si>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</si>
  <si>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</si>
  <si>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</si>
  <si>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</si>
  <si>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</si>
  <si>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</si>
  <si>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</si>
  <si>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</si>
  <si>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</si>
  <si>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</si>
  <si>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</si>
  <si>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</si>
  <si>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</si>
  <si>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</si>
  <si>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</si>
  <si>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</si>
  <si>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</si>
  <si>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</si>
  <si>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</si>
  <si>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</si>
  <si>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</si>
  <si>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</si>
  <si>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</si>
  <si>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</si>
  <si>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</si>
  <si>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</si>
  <si>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</si>
  <si>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</si>
  <si>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</si>
  <si>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</si>
  <si>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</si>
  <si>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</si>
  <si>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</si>
  <si>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</si>
  <si>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</si>
  <si>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</si>
  <si>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</si>
  <si>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</si>
  <si>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</si>
  <si>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</si>
  <si>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</si>
  <si>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</si>
  <si>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</si>
  <si>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</si>
  <si>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</si>
  <si>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</si>
  <si>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</si>
  <si>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</si>
  <si>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</si>
  <si>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</si>
  <si>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</si>
  <si>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</si>
  <si>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</si>
  <si>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</si>
  <si>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</si>
  <si>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</si>
  <si>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</si>
  <si>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</si>
  <si>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</si>
  <si>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</si>
  <si>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</si>
  <si>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</si>
  <si>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</si>
  <si>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</si>
  <si>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</si>
  <si>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</si>
  <si>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</si>
  <si>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</si>
  <si>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</si>
  <si>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</si>
  <si>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</si>
  <si>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</si>
  <si>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</si>
  <si>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</si>
  <si>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</si>
  <si>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</si>
  <si>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</si>
  <si>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</si>
  <si>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</si>
  <si>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</si>
  <si>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</si>
  <si>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</si>
  <si>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</si>
  <si>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</si>
  <si>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</si>
  <si>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</si>
  <si>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</si>
  <si>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</si>
  <si>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</si>
  <si>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</si>
  <si>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</si>
  <si>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</si>
  <si>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</si>
  <si>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</si>
  <si>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</si>
  <si>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</si>
  <si>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</si>
  <si>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</si>
  <si>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</si>
  <si>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</si>
  <si>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</si>
  <si>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</si>
  <si>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</si>
  <si>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</si>
  <si>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</si>
  <si>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</si>
  <si>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</si>
  <si>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</si>
  <si>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</si>
  <si>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</si>
  <si>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</si>
  <si>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</si>
  <si>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</si>
  <si>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</si>
  <si>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</si>
  <si>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</si>
  <si>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</si>
  <si>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</si>
  <si>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</si>
  <si>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</si>
  <si>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</si>
  <si>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</si>
  <si>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</si>
  <si>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</si>
  <si>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</si>
  <si>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</si>
  <si>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</si>
  <si>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</si>
  <si>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</si>
  <si>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</si>
  <si>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</si>
  <si>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</si>
  <si>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</si>
  <si>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</si>
  <si>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</si>
  <si>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</si>
  <si>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</si>
  <si>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</si>
  <si>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</si>
  <si>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</si>
  <si>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</si>
  <si>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</si>
  <si>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</si>
  <si>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</si>
  <si>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</si>
  <si>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</si>
  <si>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</si>
  <si>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</si>
  <si>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</si>
  <si>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</si>
  <si>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</si>
  <si>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</si>
  <si>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</si>
  <si>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</si>
  <si>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</si>
  <si>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</si>
  <si>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</si>
  <si>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</si>
  <si>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</si>
  <si>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</si>
  <si>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</si>
  <si>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</si>
  <si>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</si>
  <si>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</si>
  <si>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</si>
  <si>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</si>
  <si>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</si>
  <si>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</si>
  <si>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</si>
  <si>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</si>
  <si>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</si>
  <si>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</si>
  <si>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</si>
  <si>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</si>
  <si>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</si>
  <si>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</si>
  <si>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</si>
  <si>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</si>
  <si>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</si>
  <si>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</si>
  <si>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</si>
  <si>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</si>
  <si>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</si>
  <si>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</si>
  <si>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</si>
  <si>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</si>
  <si>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</si>
  <si>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</si>
  <si>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</si>
  <si>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</si>
  <si>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</si>
  <si>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</si>
  <si>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</si>
  <si>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</si>
  <si>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</si>
  <si>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</si>
  <si>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</si>
  <si>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</si>
  <si>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</si>
  <si>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</si>
  <si>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</si>
  <si>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</si>
  <si>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</si>
  <si>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</si>
  <si>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</si>
  <si>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</si>
  <si>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</si>
  <si>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</si>
  <si>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</si>
  <si>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</si>
  <si>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</si>
  <si>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</si>
  <si>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</si>
  <si>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</si>
  <si>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</si>
  <si>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</si>
  <si>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</si>
  <si>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</si>
  <si>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</si>
  <si>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</si>
  <si>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</si>
  <si>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</si>
  <si>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</si>
  <si>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</si>
  <si>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</si>
  <si>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</si>
  <si>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</si>
  <si>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</si>
  <si>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</si>
  <si>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</si>
  <si>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</si>
  <si>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</si>
  <si>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</si>
  <si>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</si>
  <si>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</si>
  <si>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</si>
  <si>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</si>
  <si>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</si>
  <si>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</si>
  <si>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</si>
  <si>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</si>
  <si>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</si>
  <si>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</si>
  <si>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</si>
  <si>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</si>
  <si>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</si>
  <si>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</si>
  <si>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</si>
  <si>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</si>
  <si>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</si>
  <si>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</si>
  <si>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</si>
  <si>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</si>
  <si>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</si>
  <si>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</si>
  <si>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</si>
  <si>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</si>
  <si>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</si>
  <si>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</si>
  <si>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</si>
  <si>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</si>
  <si>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</si>
  <si>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</si>
  <si>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</si>
  <si>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</si>
  <si>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</si>
  <si>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</si>
  <si>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</si>
  <si>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</si>
  <si>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</si>
  <si>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</si>
  <si>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</si>
  <si>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</si>
  <si>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</si>
  <si>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</si>
  <si>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</si>
  <si>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</si>
  <si>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</si>
  <si>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</si>
  <si>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</si>
  <si>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</si>
  <si>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</si>
  <si>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</si>
  <si>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</si>
  <si>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</si>
  <si>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</si>
  <si>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</si>
  <si>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</si>
  <si>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</si>
  <si>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</si>
  <si>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</si>
  <si>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</si>
  <si>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</si>
  <si>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</si>
  <si>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</si>
  <si>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</si>
  <si>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</si>
  <si>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</si>
  <si>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</si>
  <si>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</si>
  <si>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</si>
  <si>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</si>
  <si>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</si>
  <si>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</si>
  <si>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</si>
  <si>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</si>
  <si>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</si>
  <si>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</si>
  <si>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</si>
  <si>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</si>
  <si>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</si>
  <si>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</si>
  <si>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</si>
  <si>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</si>
  <si>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</si>
  <si>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</si>
  <si>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</si>
  <si>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</si>
  <si>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</si>
  <si>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</si>
  <si>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</si>
  <si>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</si>
  <si>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</si>
  <si>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</si>
  <si>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</si>
  <si>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</si>
  <si>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</si>
  <si>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</si>
  <si>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</si>
  <si>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</si>
  <si>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</si>
  <si>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</si>
  <si>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</si>
  <si>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</si>
  <si>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</si>
  <si>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</si>
  <si>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</si>
  <si>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</si>
  <si>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</si>
  <si>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</si>
  <si>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</si>
  <si>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</si>
  <si>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</si>
  <si>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</si>
  <si>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</si>
  <si>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</si>
  <si>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</si>
  <si>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</si>
  <si>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</si>
  <si>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</si>
  <si>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</si>
  <si>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</si>
  <si>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</si>
  <si>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</si>
  <si>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</si>
  <si>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</si>
  <si>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</si>
  <si>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</si>
  <si>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</si>
  <si>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</si>
  <si>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</si>
  <si>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</si>
  <si>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</si>
  <si>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</si>
  <si>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</si>
  <si>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</si>
  <si>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</si>
  <si>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</si>
  <si>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</si>
  <si>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</si>
  <si>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</si>
  <si>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</si>
  <si>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</si>
  <si>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</si>
  <si>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</si>
  <si>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</si>
  <si>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</si>
  <si>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</si>
  <si>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</si>
  <si>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</si>
  <si>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</si>
  <si>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</si>
  <si>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</si>
  <si>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</si>
  <si>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</si>
  <si>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</si>
  <si>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</si>
  <si>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</si>
  <si>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</si>
  <si>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</si>
  <si>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</si>
  <si>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</si>
  <si>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</si>
  <si>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</si>
  <si>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</si>
  <si>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</si>
  <si>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</si>
  <si>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</si>
  <si>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</si>
  <si>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</si>
  <si>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</si>
  <si>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</si>
  <si>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</si>
  <si>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</si>
  <si>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</si>
  <si>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</si>
  <si>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</si>
  <si>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</si>
  <si>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</si>
  <si>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</si>
  <si>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</si>
  <si>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</si>
  <si>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</si>
  <si>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</si>
  <si>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</si>
  <si>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</si>
  <si>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</si>
  <si>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</si>
  <si>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</si>
  <si>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</si>
  <si>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</si>
  <si>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</si>
  <si>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</si>
  <si>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</si>
  <si>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</si>
  <si>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</si>
  <si>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</si>
  <si>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</si>
  <si>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</si>
  <si>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</si>
  <si>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</si>
  <si>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</si>
  <si>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</si>
  <si>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</si>
  <si>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</si>
  <si>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</si>
  <si>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</si>
  <si>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</si>
  <si>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</si>
  <si>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</si>
  <si>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</si>
  <si>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</si>
  <si>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</si>
  <si>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</si>
  <si>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</si>
  <si>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</si>
  <si>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</si>
  <si>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</si>
  <si>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</si>
  <si>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</si>
  <si>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</si>
  <si>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</si>
  <si>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</si>
  <si>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</si>
  <si>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</si>
  <si>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</si>
  <si>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</si>
  <si>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</si>
  <si>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</si>
  <si>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</si>
  <si>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</si>
  <si>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</si>
  <si>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</si>
  <si>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</si>
  <si>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</si>
  <si>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</si>
  <si>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</si>
  <si>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</si>
  <si>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</si>
  <si>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</si>
  <si>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</si>
  <si>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</si>
  <si>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</si>
  <si>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</si>
  <si>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</si>
  <si>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</si>
  <si>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</si>
  <si>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</si>
  <si>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</si>
  <si>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</si>
  <si>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</si>
  <si>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</si>
  <si>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</si>
  <si>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</si>
  <si>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</si>
  <si>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</si>
  <si>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</si>
  <si>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</si>
  <si>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</si>
  <si>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</si>
  <si>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</si>
  <si>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</si>
  <si>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</si>
  <si>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</si>
  <si>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</si>
  <si>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</si>
  <si>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</si>
  <si>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</si>
  <si>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</si>
  <si>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</si>
  <si>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</si>
  <si>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</si>
  <si>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</si>
  <si>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</si>
  <si>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</si>
  <si>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</si>
  <si>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</si>
  <si>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</si>
  <si>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</si>
  <si>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</si>
  <si>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</si>
  <si>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</si>
  <si>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</si>
  <si>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</si>
  <si>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</si>
  <si>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</si>
  <si>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</si>
  <si>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</si>
  <si>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</si>
  <si>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</si>
  <si>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</si>
  <si>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</si>
  <si>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</si>
  <si>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</si>
  <si>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</si>
  <si>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</si>
  <si>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</si>
  <si>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</si>
  <si>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</si>
  <si>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</si>
  <si>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</si>
  <si>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</si>
  <si>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</si>
  <si>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</si>
  <si>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</si>
  <si>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</si>
  <si>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</si>
  <si>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</si>
  <si>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</si>
  <si>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</si>
  <si>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</si>
  <si>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</si>
  <si>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</si>
  <si>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</si>
  <si>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</si>
  <si>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</si>
  <si>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</si>
  <si>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</si>
  <si>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</si>
  <si>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</si>
  <si>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</si>
  <si>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</si>
  <si>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</si>
  <si>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</si>
  <si>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</si>
  <si>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</si>
  <si>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</si>
  <si>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</si>
  <si>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</si>
  <si>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</si>
  <si>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</si>
  <si>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</si>
  <si>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</si>
  <si>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</si>
  <si>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</si>
  <si>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</si>
  <si>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</si>
  <si>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</si>
  <si>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</si>
  <si>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</si>
  <si>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</si>
  <si>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</si>
  <si>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</si>
  <si>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</si>
  <si>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</si>
  <si>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</si>
  <si>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</si>
  <si>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</si>
  <si>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</si>
  <si>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</si>
  <si>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</si>
  <si>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</si>
  <si>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</si>
  <si>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</si>
  <si>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</si>
  <si>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</si>
  <si>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</si>
  <si>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</si>
  <si>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</si>
  <si>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</si>
  <si>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</si>
  <si>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</si>
  <si>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</si>
  <si>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</si>
  <si>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</si>
  <si>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</si>
  <si>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</si>
  <si>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</si>
  <si>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</si>
  <si>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</si>
  <si>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</si>
  <si>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</si>
  <si>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</si>
  <si>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</si>
  <si>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</si>
  <si>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</si>
  <si>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</si>
  <si>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</si>
  <si>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</si>
  <si>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</si>
  <si>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</si>
  <si>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</si>
  <si>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</si>
  <si>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</si>
  <si>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</si>
  <si>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</si>
  <si>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</si>
  <si>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</si>
  <si>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</si>
  <si>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</si>
  <si>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</si>
  <si>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</si>
  <si>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</si>
  <si>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</si>
  <si>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</si>
  <si>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</si>
  <si>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</si>
  <si>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</si>
  <si>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</si>
  <si>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</si>
  <si>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</si>
  <si>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</si>
  <si>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</si>
  <si>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</si>
  <si>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</si>
  <si>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</si>
  <si>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</si>
  <si>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</si>
  <si>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</si>
  <si>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</si>
  <si>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</si>
  <si>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</si>
  <si>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</si>
  <si>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</si>
  <si>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</si>
  <si>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</si>
  <si>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</si>
  <si>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</si>
  <si>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</si>
  <si>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</si>
  <si>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</si>
  <si>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</si>
  <si>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</si>
  <si>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</si>
  <si>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</si>
  <si>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</si>
  <si>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</si>
  <si>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</si>
  <si>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</si>
  <si>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</si>
  <si>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</si>
  <si>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</si>
  <si>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</si>
  <si>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</si>
  <si>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</si>
  <si>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</si>
  <si>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</si>
  <si>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</si>
  <si>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</si>
  <si>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</si>
  <si>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</si>
  <si>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</si>
  <si>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</si>
  <si>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</si>
  <si>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</si>
  <si>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</si>
  <si>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</si>
  <si>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</si>
  <si>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</si>
  <si>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</si>
  <si>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</si>
  <si>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</si>
  <si>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</si>
  <si>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</si>
  <si>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</si>
  <si>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</si>
  <si>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</si>
  <si>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</si>
  <si>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</si>
  <si>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</si>
  <si>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</si>
  <si>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</si>
  <si>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</si>
  <si>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</si>
  <si>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</si>
  <si>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</si>
  <si>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</si>
  <si>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</si>
  <si>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</si>
  <si>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</si>
  <si>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</si>
  <si>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</si>
  <si>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</si>
  <si>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</si>
  <si>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</si>
  <si>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</si>
  <si>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</si>
  <si>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</si>
  <si>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</si>
  <si>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</si>
  <si>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</si>
  <si>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</si>
  <si>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</si>
  <si>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</si>
  <si>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</si>
  <si>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</si>
  <si>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</si>
  <si>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</si>
  <si>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</si>
  <si>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</si>
  <si>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</si>
  <si>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</si>
  <si>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</si>
  <si>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</si>
  <si>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</si>
  <si>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</si>
  <si>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</si>
  <si>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</si>
  <si>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</si>
  <si>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</si>
  <si>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</si>
  <si>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</si>
  <si>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</si>
  <si>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</si>
  <si>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</si>
  <si>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</si>
  <si>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</si>
  <si>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</si>
  <si>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</si>
  <si>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</si>
  <si>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</si>
  <si>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</si>
  <si>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</si>
  <si>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</si>
  <si>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</si>
  <si>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</si>
  <si>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</si>
  <si>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</si>
  <si>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</si>
  <si>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</si>
  <si>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</si>
  <si>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</si>
  <si>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</si>
  <si>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</si>
  <si>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</si>
  <si>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</si>
  <si>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</si>
  <si>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</si>
  <si>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</si>
  <si>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</si>
  <si>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</si>
  <si>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</si>
  <si>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</si>
  <si>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</si>
  <si>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</si>
  <si>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</si>
  <si>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</si>
  <si>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</si>
  <si>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</si>
  <si>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</si>
  <si>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</si>
  <si>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</si>
  <si>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</si>
  <si>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</si>
  <si>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</si>
  <si>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</si>
  <si>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</si>
  <si>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</si>
  <si>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</si>
  <si>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</si>
  <si>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</si>
  <si>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</si>
  <si>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</si>
  <si>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</si>
  <si>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</si>
  <si>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</si>
  <si>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</si>
  <si>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</si>
  <si>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</si>
  <si>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</si>
  <si>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</si>
  <si>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</si>
  <si>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</si>
  <si>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</si>
  <si>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</si>
  <si>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</si>
  <si>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</si>
  <si>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</si>
  <si>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</si>
  <si>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</si>
  <si>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</si>
  <si>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</si>
  <si>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</si>
  <si>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</si>
  <si>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</si>
  <si>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</si>
  <si>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</si>
  <si>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</si>
  <si>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</si>
  <si>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</si>
  <si>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</si>
  <si>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</si>
  <si>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</si>
  <si>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</si>
  <si>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</si>
  <si>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</si>
  <si>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</si>
  <si>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</si>
  <si>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</si>
  <si>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</si>
  <si>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</si>
  <si>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</si>
  <si>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</si>
  <si>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</si>
  <si>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</si>
  <si>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</si>
  <si>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</si>
  <si>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</si>
  <si>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</si>
  <si>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</si>
  <si>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</si>
  <si>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</si>
  <si>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</si>
  <si>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</si>
  <si>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</si>
  <si>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</si>
  <si>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</si>
  <si>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</si>
  <si>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</si>
  <si>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</si>
  <si>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</si>
  <si>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</si>
  <si>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</si>
  <si>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</si>
  <si>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</si>
  <si>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</si>
  <si>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</si>
  <si>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</si>
  <si>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</si>
  <si>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</si>
  <si>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</si>
  <si>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</si>
  <si>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</si>
  <si>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</si>
  <si>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</si>
  <si>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</si>
  <si>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</si>
  <si>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</si>
  <si>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</si>
  <si>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</si>
  <si>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</si>
  <si>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</si>
  <si>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</si>
  <si>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</si>
  <si>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</si>
  <si>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</si>
  <si>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</si>
  <si>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</si>
  <si>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</si>
  <si>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</si>
  <si>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</si>
  <si>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</si>
  <si>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</si>
  <si>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</si>
  <si>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</si>
  <si>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</si>
  <si>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</si>
  <si>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</si>
  <si>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</si>
  <si>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</si>
  <si>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</si>
  <si>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</si>
  <si>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</si>
  <si>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</si>
  <si>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</si>
  <si>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</si>
  <si>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</si>
  <si>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</si>
  <si>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</si>
  <si>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</si>
  <si>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</si>
  <si>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</si>
  <si>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</si>
  <si>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</si>
  <si>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</si>
  <si>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</si>
  <si>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</si>
  <si>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</si>
  <si>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</si>
  <si>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</si>
  <si>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</si>
  <si>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</si>
  <si>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</si>
  <si>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</si>
  <si>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</si>
  <si>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</si>
  <si>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</si>
  <si>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</si>
  <si>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</si>
  <si>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</si>
  <si>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</si>
  <si>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</si>
  <si>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</si>
  <si>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</si>
  <si>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</si>
  <si>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</si>
  <si>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</si>
  <si>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</si>
  <si>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</si>
  <si>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</si>
  <si>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</si>
  <si>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</si>
  <si>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</si>
  <si>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</si>
  <si>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</si>
  <si>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</si>
  <si>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</si>
  <si>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</si>
  <si>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</si>
  <si>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</si>
  <si>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</si>
  <si>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</si>
  <si>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</si>
  <si>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</si>
  <si>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</si>
  <si>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</si>
  <si>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</si>
  <si>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</si>
  <si>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</si>
  <si>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</si>
  <si>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</si>
  <si>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</si>
  <si>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</si>
  <si>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</si>
  <si>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</si>
  <si>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</si>
  <si>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</si>
  <si>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</si>
  <si>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</si>
  <si>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</si>
  <si>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</si>
  <si>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</si>
  <si>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</si>
  <si>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</si>
  <si>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</si>
  <si>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</si>
  <si>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</si>
  <si>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</si>
  <si>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</si>
  <si>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</si>
  <si>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</si>
  <si>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</si>
  <si>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</si>
  <si>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</si>
  <si>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</si>
  <si>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</si>
  <si>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</si>
  <si>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</si>
  <si>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</si>
  <si>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</si>
  <si>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</si>
  <si>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</si>
  <si>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</si>
  <si>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</si>
  <si>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</si>
  <si>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</si>
  <si>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</si>
  <si>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</si>
  <si>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</si>
  <si>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</si>
  <si>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</si>
  <si>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</si>
  <si>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</si>
  <si>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</si>
  <si>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</si>
  <si>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</si>
  <si>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</si>
  <si>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</si>
  <si>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</si>
  <si>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</si>
  <si>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</si>
  <si>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</si>
  <si>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</si>
  <si>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</si>
  <si>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</si>
  <si>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</si>
  <si>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</si>
  <si>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</si>
  <si>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</si>
  <si>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</si>
  <si>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</si>
  <si>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</si>
  <si>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</si>
  <si>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</si>
  <si>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</si>
  <si>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</si>
  <si>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</si>
  <si>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</si>
  <si>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</si>
  <si>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</si>
  <si>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</si>
  <si>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</si>
  <si>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</si>
  <si>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</si>
  <si>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</si>
  <si>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</si>
  <si>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</si>
  <si>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</si>
  <si>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</si>
  <si>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</si>
  <si>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</si>
  <si>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</si>
  <si>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</si>
  <si>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</si>
  <si>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</si>
  <si>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</si>
  <si>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</si>
  <si>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</si>
  <si>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</si>
  <si>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</si>
  <si>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</si>
  <si>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</si>
  <si>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</si>
  <si>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</si>
  <si>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</si>
  <si>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</si>
  <si>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</si>
  <si>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</si>
  <si>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</si>
  <si>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</si>
  <si>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</si>
  <si>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</si>
  <si>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</si>
  <si>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</si>
  <si>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</si>
  <si>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</si>
  <si>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</si>
  <si>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</si>
  <si>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</si>
  <si>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</si>
  <si>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</si>
  <si>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</si>
  <si>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</si>
  <si>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</si>
  <si>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</si>
  <si>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</si>
  <si>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</si>
  <si>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</si>
  <si>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</si>
  <si>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</si>
  <si>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</si>
  <si>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</si>
  <si>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</si>
  <si>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</si>
  <si>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</si>
  <si>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</si>
  <si>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</si>
  <si>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</si>
  <si>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</si>
  <si>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</si>
  <si>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</si>
  <si>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</si>
  <si>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</si>
  <si>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</si>
  <si>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</si>
  <si>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</si>
  <si>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</si>
  <si>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</si>
  <si>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</si>
  <si>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</si>
  <si>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</si>
  <si>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</si>
  <si>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</si>
  <si>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</si>
  <si>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</si>
  <si>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</si>
  <si>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</si>
  <si>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</si>
  <si>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</si>
  <si>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</si>
  <si>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</si>
  <si>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</si>
  <si>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</si>
  <si>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</si>
  <si>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</si>
  <si>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</si>
  <si>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</si>
  <si>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</si>
  <si>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</si>
  <si>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</si>
  <si>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</si>
  <si>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</si>
  <si>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</si>
  <si>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</si>
  <si>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</si>
  <si>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</si>
  <si>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</si>
  <si>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</si>
  <si>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</si>
  <si>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</si>
  <si>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</si>
  <si>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</si>
  <si>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</si>
  <si>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</si>
  <si>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</si>
  <si>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</si>
  <si>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</si>
  <si>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</si>
  <si>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</si>
  <si>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</si>
  <si>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</si>
  <si>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</si>
  <si>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</si>
  <si>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</si>
  <si>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</si>
  <si>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</si>
  <si>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</si>
  <si>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</si>
  <si>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</si>
  <si>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</si>
  <si>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</si>
  <si>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</si>
  <si>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</si>
  <si>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</si>
  <si>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</si>
  <si>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</si>
  <si>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</si>
  <si>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</si>
  <si>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</si>
  <si>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</si>
  <si>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</si>
  <si>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</si>
  <si>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</si>
  <si>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</si>
  <si>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</si>
  <si>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</si>
  <si>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</si>
  <si>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</si>
  <si>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</si>
  <si>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</si>
  <si>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</si>
  <si>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</si>
  <si>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</si>
  <si>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</si>
  <si>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</si>
  <si>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</si>
  <si>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</si>
  <si>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</si>
  <si>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</si>
  <si>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</si>
  <si>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</si>
  <si>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</si>
  <si>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</si>
  <si>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</si>
  <si>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</si>
  <si>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</si>
  <si>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</si>
  <si>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</si>
  <si>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</si>
  <si>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</si>
  <si>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</si>
  <si>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</si>
  <si>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</si>
  <si>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</si>
  <si>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</si>
  <si>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</si>
  <si>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</si>
  <si>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</si>
  <si>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</si>
  <si>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</si>
  <si>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</si>
  <si>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</si>
  <si>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</si>
  <si>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</si>
  <si>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</si>
  <si>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</si>
  <si>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</si>
  <si>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</si>
  <si>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</si>
  <si>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</si>
  <si>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</si>
  <si>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</si>
  <si>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</si>
  <si>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</si>
  <si>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</si>
  <si>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</si>
  <si>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</si>
  <si>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</si>
  <si>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</si>
  <si>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</si>
  <si>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</si>
  <si>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</si>
  <si>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</si>
  <si>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</si>
  <si>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</si>
  <si>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</si>
  <si>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</si>
  <si>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</si>
  <si>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</si>
  <si>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</si>
  <si>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</si>
  <si>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</si>
  <si>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</si>
  <si>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</si>
  <si>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</si>
  <si>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</si>
  <si>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</si>
  <si>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</si>
  <si>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</si>
  <si>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</si>
  <si>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</si>
  <si>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</si>
  <si>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</si>
  <si>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</si>
  <si>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</si>
  <si>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</si>
  <si>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</si>
  <si>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</si>
  <si>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</si>
  <si>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</si>
  <si>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</si>
  <si>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</si>
  <si>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</si>
  <si>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</si>
  <si>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</si>
  <si>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</si>
  <si>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</si>
  <si>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</si>
  <si>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</si>
  <si>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</si>
  <si>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</si>
  <si>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</si>
  <si>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</si>
  <si>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</si>
  <si>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</si>
  <si>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</si>
  <si>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</si>
  <si>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</si>
  <si>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</si>
  <si>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</si>
  <si>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</si>
  <si>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</si>
  <si>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</si>
  <si>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</si>
  <si>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</si>
  <si>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</si>
  <si>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</si>
  <si>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</si>
  <si>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</si>
  <si>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</si>
  <si>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</si>
  <si>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</si>
  <si>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</si>
  <si>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</si>
  <si>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</si>
  <si>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</si>
  <si>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</si>
  <si>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</si>
  <si>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</si>
  <si>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</si>
  <si>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</si>
  <si>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</si>
  <si>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</si>
  <si>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</si>
  <si>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</si>
  <si>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</si>
  <si>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</si>
  <si>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</si>
  <si>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</si>
  <si>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</si>
  <si>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</si>
  <si>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</si>
  <si>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</si>
  <si>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</si>
  <si>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</si>
  <si>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</si>
  <si>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</si>
  <si>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</si>
  <si>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</si>
  <si>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</si>
  <si>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</si>
  <si>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</si>
  <si>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</si>
  <si>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</si>
  <si>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</si>
  <si>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</si>
  <si>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</si>
  <si>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</si>
  <si>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</si>
  <si>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</si>
  <si>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</si>
  <si>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</si>
  <si>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</si>
  <si>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</si>
  <si>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</si>
  <si>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</si>
  <si>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</si>
  <si>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</si>
  <si>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</si>
  <si>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</si>
  <si>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</si>
  <si>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</si>
  <si>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</si>
  <si>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</si>
  <si>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</si>
  <si>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</si>
  <si>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</si>
  <si>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</si>
  <si>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</si>
  <si>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</si>
  <si>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</si>
  <si>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</si>
  <si>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</si>
  <si>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</si>
  <si>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</si>
  <si>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</si>
  <si>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</si>
  <si>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</si>
  <si>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</si>
  <si>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</si>
  <si>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</si>
  <si>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</si>
  <si>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</si>
  <si>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</si>
  <si>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</si>
  <si>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</si>
  <si>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</si>
  <si>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</si>
  <si>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</si>
  <si>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</si>
  <si>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</si>
  <si>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</si>
  <si>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</si>
  <si>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</si>
  <si>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</si>
  <si>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</si>
  <si>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</si>
  <si>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</si>
  <si>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</si>
  <si>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</si>
  <si>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</si>
  <si>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</si>
  <si>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</si>
  <si>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</si>
  <si>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</si>
  <si>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</si>
  <si>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</si>
  <si>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</si>
  <si>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</si>
  <si>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</si>
  <si>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</si>
  <si>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</si>
  <si>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</si>
  <si>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</si>
  <si>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</si>
  <si>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</si>
  <si>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</si>
  <si>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</si>
  <si>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</si>
  <si>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</si>
  <si>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</si>
  <si>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</si>
  <si>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</si>
  <si>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</si>
  <si>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</si>
  <si>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</si>
  <si>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</si>
  <si>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</si>
  <si>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</si>
  <si>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</si>
  <si>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</si>
  <si>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</si>
  <si>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</si>
  <si>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</si>
  <si>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</si>
  <si>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</si>
  <si>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</si>
  <si>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</si>
  <si>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</si>
  <si>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</si>
  <si>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</si>
  <si>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</si>
  <si>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</si>
  <si>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</si>
  <si>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</si>
  <si>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</si>
  <si>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</si>
  <si>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</si>
  <si>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</si>
  <si>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</si>
  <si>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</si>
  <si>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</si>
  <si>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</si>
  <si>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</si>
  <si>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</si>
  <si>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</si>
  <si>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</si>
  <si>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</si>
  <si>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</si>
  <si>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</si>
  <si>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</si>
  <si>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</si>
  <si>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</si>
  <si>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</si>
  <si>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</si>
  <si>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</si>
  <si>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</si>
  <si>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</si>
  <si>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</si>
  <si>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</si>
  <si>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</si>
  <si>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</si>
  <si>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</si>
  <si>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</si>
  <si>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</si>
  <si>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</si>
  <si>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</si>
  <si>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</si>
  <si>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</si>
  <si>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</si>
  <si>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</si>
  <si>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</si>
  <si>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</si>
  <si>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</si>
  <si>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</si>
  <si>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</si>
  <si>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</si>
  <si>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</si>
  <si>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</si>
  <si>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</si>
  <si>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</si>
  <si>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</si>
  <si>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</si>
  <si>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</si>
  <si>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</si>
  <si>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</si>
  <si>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</si>
  <si>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</si>
  <si>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</si>
  <si>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</si>
  <si>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</si>
  <si>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</si>
  <si>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</si>
  <si>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</si>
  <si>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</si>
  <si>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</si>
  <si>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</si>
  <si>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</si>
  <si>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</si>
  <si>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</si>
  <si>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</si>
  <si>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</si>
  <si>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</si>
  <si>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</si>
  <si>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</si>
  <si>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</si>
  <si>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</si>
  <si>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</si>
  <si>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</si>
  <si>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</si>
  <si>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</si>
  <si>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</si>
  <si>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</si>
  <si>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</si>
  <si>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</si>
  <si>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</si>
  <si>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</si>
  <si>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</si>
  <si>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</si>
  <si>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</si>
  <si>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</si>
  <si>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</si>
  <si>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</si>
  <si>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</si>
  <si>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</si>
  <si>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</si>
  <si>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</si>
  <si>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</si>
  <si>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</si>
  <si>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</si>
  <si>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</si>
  <si>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</si>
  <si>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</si>
  <si>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</si>
  <si>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</si>
  <si>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</si>
  <si>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</si>
  <si>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</si>
  <si>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</si>
  <si>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</si>
  <si>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</si>
  <si>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</si>
  <si>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</si>
  <si>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</si>
  <si>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</si>
  <si>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</si>
  <si>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</si>
  <si>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</si>
  <si>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</si>
  <si>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</si>
  <si>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</si>
  <si>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</si>
  <si>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</si>
  <si>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</si>
  <si>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</si>
  <si>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</si>
  <si>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</si>
  <si>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</si>
  <si>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</si>
  <si>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</si>
  <si>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</si>
  <si>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</si>
  <si>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</si>
  <si>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</si>
  <si>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</si>
  <si>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</si>
  <si>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</si>
  <si>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</si>
  <si>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</si>
  <si>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</si>
  <si>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</si>
  <si>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</si>
  <si>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</si>
  <si>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</si>
  <si>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</si>
  <si>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</si>
  <si>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</si>
  <si>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</si>
  <si>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</si>
  <si>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</si>
  <si>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</si>
  <si>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</si>
  <si>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</si>
  <si>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</si>
  <si>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</si>
  <si>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</si>
  <si>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</si>
  <si>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</si>
  <si>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</si>
  <si>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</si>
  <si>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</si>
  <si>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</si>
  <si>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</si>
  <si>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</si>
  <si>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</si>
  <si>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</si>
  <si>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</si>
  <si>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</si>
  <si>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</si>
  <si>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</si>
  <si>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</si>
  <si>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</si>
  <si>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</si>
  <si>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</si>
  <si>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</si>
  <si>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</si>
  <si>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</si>
  <si>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</si>
  <si>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</si>
  <si>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</si>
  <si>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</si>
  <si>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</si>
  <si>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</si>
  <si>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</si>
  <si>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</si>
  <si>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</si>
  <si>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</si>
  <si>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</si>
  <si>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</si>
  <si>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</si>
  <si>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</si>
  <si>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</si>
  <si>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</si>
  <si>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</si>
  <si>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</si>
  <si>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</si>
  <si>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</si>
  <si>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</si>
  <si>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</si>
  <si>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</si>
  <si>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</si>
  <si>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</si>
  <si>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</si>
  <si>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</si>
  <si>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</si>
  <si>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</si>
  <si>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</si>
  <si>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</si>
  <si>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</si>
  <si>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</si>
  <si>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</si>
  <si>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</si>
  <si>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</si>
  <si>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</si>
  <si>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</si>
  <si>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</si>
  <si>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</si>
  <si>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</si>
  <si>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</si>
  <si>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</si>
  <si>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</si>
  <si>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</si>
  <si>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</si>
  <si>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</si>
  <si>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</si>
  <si>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</si>
  <si>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</si>
  <si>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</si>
  <si>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</si>
  <si>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</si>
  <si>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</si>
  <si>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</si>
  <si>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</si>
  <si>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</si>
  <si>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</si>
  <si>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</si>
  <si>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</si>
  <si>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</si>
  <si>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</si>
  <si>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</si>
  <si>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</si>
  <si>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</si>
  <si>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</si>
  <si>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</si>
  <si>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</si>
  <si>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</si>
  <si>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</si>
  <si>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</si>
  <si>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</si>
  <si>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</si>
  <si>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</si>
  <si>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</si>
  <si>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</si>
  <si>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</si>
  <si>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</si>
  <si>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</si>
  <si>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</si>
  <si>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</si>
  <si>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</si>
  <si>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</si>
  <si>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</si>
  <si>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</si>
  <si>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</si>
  <si>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</si>
  <si>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</si>
  <si>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</si>
  <si>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</si>
  <si>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</si>
  <si>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</si>
  <si>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</si>
  <si>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</si>
  <si>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</si>
  <si>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</si>
  <si>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</si>
  <si>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</si>
  <si>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</si>
  <si>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</si>
  <si>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</si>
  <si>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</si>
  <si>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</si>
  <si>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</si>
  <si>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</si>
  <si>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</si>
  <si>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</si>
  <si>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</si>
  <si>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</si>
  <si>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</si>
  <si>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</si>
  <si>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</si>
  <si>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</si>
  <si>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</si>
  <si>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</si>
  <si>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</si>
  <si>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</si>
  <si>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</si>
  <si>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</si>
  <si>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</si>
  <si>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</si>
  <si>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</si>
  <si>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</si>
  <si>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</si>
  <si>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</si>
  <si>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</si>
  <si>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</si>
  <si>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</si>
  <si>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</si>
  <si>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</si>
  <si>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</si>
  <si>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</si>
  <si>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</si>
  <si>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</si>
  <si>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</si>
  <si>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</si>
  <si>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</si>
  <si>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</si>
  <si>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</si>
  <si>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</si>
  <si>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</si>
  <si>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</si>
  <si>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</si>
  <si>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</si>
  <si>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</si>
  <si>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</si>
  <si>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</si>
  <si>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</si>
  <si>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</si>
  <si>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</si>
  <si>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</si>
  <si>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</si>
  <si>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</si>
  <si>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</si>
  <si>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</si>
  <si>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</si>
  <si>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</si>
  <si>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</si>
  <si>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</si>
  <si>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</si>
  <si>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</si>
  <si>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</si>
  <si>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</si>
  <si>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</si>
  <si>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</si>
  <si>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</si>
  <si>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</si>
  <si>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</si>
  <si>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</si>
  <si>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</si>
  <si>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</si>
  <si>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</si>
  <si>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</si>
  <si>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</si>
  <si>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</si>
  <si>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</si>
  <si>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</si>
  <si>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</si>
  <si>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</si>
  <si>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</si>
  <si>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</si>
  <si>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</si>
  <si>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</si>
  <si>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</si>
  <si>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</si>
  <si>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</si>
  <si>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</si>
  <si>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</si>
  <si>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</si>
  <si>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</si>
  <si>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</si>
  <si>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</si>
  <si>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</si>
  <si>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</si>
  <si>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</si>
  <si>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</si>
  <si>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</si>
  <si>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</si>
  <si>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</si>
  <si>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</si>
  <si>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</si>
  <si>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</si>
  <si>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</si>
  <si>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</si>
  <si>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</si>
  <si>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</si>
  <si>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</si>
  <si>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</si>
  <si>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</si>
  <si>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</si>
  <si>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</si>
  <si>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</si>
  <si>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</si>
  <si>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</si>
  <si>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</si>
  <si>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</si>
  <si>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</si>
  <si>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</si>
  <si>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</si>
  <si>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</si>
  <si>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</si>
  <si>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</si>
  <si>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</si>
  <si>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</si>
  <si>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</si>
  <si>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</si>
  <si>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</si>
  <si>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</si>
  <si>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</si>
  <si>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</si>
  <si>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</si>
  <si>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</si>
  <si>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</si>
  <si>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</si>
  <si>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</si>
  <si>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</si>
  <si>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</si>
  <si>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</si>
  <si>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</si>
  <si>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</si>
  <si>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</si>
  <si>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</si>
  <si>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</si>
  <si>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</si>
  <si>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</si>
  <si>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</si>
  <si>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</si>
  <si>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</si>
  <si>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</si>
  <si>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</si>
  <si>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</si>
  <si>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</si>
  <si>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</si>
  <si>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</si>
  <si>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</si>
  <si>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</si>
  <si>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</si>
  <si>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</si>
  <si>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</si>
  <si>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</si>
  <si>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</si>
  <si>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</si>
  <si>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</si>
  <si>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</si>
  <si>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</si>
  <si>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</si>
  <si>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</si>
  <si>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</si>
  <si>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</si>
  <si>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</si>
  <si>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</si>
  <si>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</si>
  <si>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</si>
  <si>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</si>
  <si>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</si>
  <si>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</si>
  <si>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</si>
  <si>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</si>
  <si>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</si>
  <si>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</si>
  <si>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</si>
  <si>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</si>
  <si>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</si>
  <si>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</si>
  <si>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</si>
  <si>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</si>
  <si>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</si>
  <si>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</si>
  <si>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</si>
  <si>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</si>
  <si>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</si>
  <si>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</si>
  <si>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</si>
  <si>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</si>
  <si>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</si>
  <si>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</si>
  <si>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</si>
  <si>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</si>
  <si>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</si>
  <si>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</si>
  <si>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</si>
  <si>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</si>
  <si>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</si>
  <si>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</si>
  <si>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</si>
  <si>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</si>
  <si>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</si>
  <si>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</si>
  <si>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</si>
  <si>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</si>
  <si>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</si>
  <si>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</si>
  <si>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</si>
  <si>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</si>
  <si>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</si>
  <si>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</si>
  <si>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</si>
  <si>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</si>
  <si>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</si>
  <si>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</si>
  <si>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</si>
  <si>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</si>
  <si>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</si>
  <si>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</si>
  <si>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</si>
  <si>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</si>
  <si>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</si>
  <si>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</si>
  <si>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</si>
  <si>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</si>
  <si>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</si>
  <si>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</si>
  <si>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</si>
  <si>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</si>
  <si>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</si>
  <si>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</si>
  <si>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</si>
  <si>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</si>
  <si>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</si>
  <si>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</si>
  <si>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</si>
  <si>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</si>
  <si>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</si>
  <si>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</si>
  <si>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</si>
  <si>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</si>
  <si>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</si>
  <si>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</si>
  <si>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</si>
  <si>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</si>
  <si>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</si>
  <si>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</si>
  <si>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</si>
  <si>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</si>
  <si>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</si>
  <si>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</si>
  <si>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</si>
  <si>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</si>
  <si>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</si>
  <si>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</si>
  <si>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</si>
  <si>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</si>
  <si>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</si>
  <si>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</si>
  <si>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</si>
  <si>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</si>
  <si>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</si>
  <si>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</si>
  <si>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</si>
  <si>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</si>
  <si>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</si>
  <si>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</si>
  <si>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</si>
  <si>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</si>
  <si>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</si>
  <si>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</si>
  <si>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</si>
  <si>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</si>
  <si>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</si>
  <si>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</si>
  <si>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</si>
  <si>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</si>
  <si>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</si>
  <si>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</si>
  <si>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</si>
  <si>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</si>
  <si>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</si>
  <si>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</si>
  <si>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</si>
  <si>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</si>
  <si>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</si>
  <si>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</si>
  <si>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</si>
  <si>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</si>
  <si>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</si>
  <si>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</si>
  <si>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</si>
  <si>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</si>
  <si>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</si>
  <si>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</si>
  <si>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</si>
  <si>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</si>
  <si>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</si>
  <si>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</si>
  <si>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</si>
  <si>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</si>
  <si>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</si>
  <si>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</si>
  <si>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</si>
  <si>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</si>
  <si>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</si>
  <si>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</si>
  <si>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</si>
  <si>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</si>
  <si>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</si>
  <si>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</si>
  <si>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</si>
  <si>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</si>
  <si>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</si>
  <si>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</si>
  <si>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</si>
  <si>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</si>
  <si>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</si>
  <si>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</si>
  <si>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</si>
  <si>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</si>
  <si>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</si>
  <si>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</si>
  <si>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</si>
  <si>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</si>
  <si>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</si>
  <si>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</si>
  <si>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</si>
  <si>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</si>
  <si>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</si>
  <si>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</si>
  <si>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</si>
  <si>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</si>
  <si>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</si>
  <si>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</si>
  <si>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</si>
  <si>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</si>
  <si>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</si>
  <si>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</si>
  <si>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</si>
  <si>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</si>
  <si>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</si>
  <si>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</si>
  <si>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</si>
  <si>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</si>
  <si>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</si>
  <si>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</si>
  <si>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</si>
  <si>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</si>
  <si>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</si>
  <si>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</si>
  <si>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</si>
  <si>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</si>
  <si>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</si>
  <si>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</si>
  <si>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</si>
  <si>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</si>
  <si>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</si>
  <si>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</si>
  <si>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</si>
  <si>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</si>
  <si>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</si>
  <si>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</si>
  <si>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</si>
  <si>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</si>
  <si>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</si>
  <si>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</si>
  <si>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</si>
  <si>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</si>
  <si>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</si>
  <si>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</si>
  <si>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</si>
  <si>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</si>
  <si>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</si>
  <si>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</si>
  <si>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</si>
  <si>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</si>
  <si>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</si>
  <si>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</si>
  <si>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</si>
  <si>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</si>
  <si>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</si>
  <si>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</si>
  <si>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</si>
  <si>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</si>
  <si>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</si>
  <si>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</si>
  <si>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</si>
  <si>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</si>
  <si>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</si>
  <si>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</si>
  <si>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</si>
  <si>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</si>
  <si>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</si>
  <si>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</si>
  <si>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</si>
  <si>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</si>
  <si>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</si>
  <si>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</si>
  <si>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</si>
  <si>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</si>
  <si>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</si>
  <si>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</si>
  <si>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</si>
  <si>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</si>
  <si>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</si>
  <si>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</si>
  <si>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</si>
  <si>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</si>
  <si>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</si>
  <si>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</si>
  <si>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</si>
  <si>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</si>
  <si>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</si>
  <si>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</si>
  <si>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</si>
  <si>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</si>
  <si>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</si>
  <si>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</si>
  <si>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</si>
  <si>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</si>
  <si>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</si>
  <si>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</si>
  <si>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</si>
  <si>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</si>
  <si>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</si>
  <si>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</si>
  <si>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</si>
  <si>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</si>
  <si>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</si>
  <si>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</si>
  <si>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</si>
  <si>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</si>
  <si>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</si>
  <si>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</si>
  <si>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</si>
  <si>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</si>
  <si>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</si>
  <si>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</si>
  <si>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</si>
  <si>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</si>
  <si>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</si>
  <si>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</si>
  <si>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</si>
  <si>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</si>
  <si>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</si>
  <si>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</si>
  <si>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</si>
  <si>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</si>
  <si>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</si>
  <si>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</si>
  <si>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</si>
  <si>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</si>
  <si>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</si>
  <si>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</si>
  <si>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</si>
  <si>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</si>
  <si>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</si>
  <si>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</si>
  <si>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</si>
  <si>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</si>
  <si>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</si>
  <si>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</si>
  <si>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</si>
  <si>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</si>
  <si>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</si>
  <si>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</si>
  <si>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</si>
  <si>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</si>
  <si>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</si>
  <si>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</si>
  <si>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</si>
  <si>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</si>
  <si>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</si>
  <si>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</si>
  <si>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</si>
  <si>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</si>
  <si>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</si>
  <si>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</si>
  <si>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</si>
  <si>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</si>
  <si>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</si>
  <si>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</si>
  <si>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</si>
  <si>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</si>
  <si>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</si>
  <si>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</si>
  <si>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</si>
  <si>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</si>
  <si>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</si>
  <si>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</si>
  <si>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</si>
  <si>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</si>
  <si>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</si>
  <si>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</si>
  <si>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</si>
  <si>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</si>
  <si>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</si>
  <si>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</si>
  <si>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</si>
  <si>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</si>
  <si>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</si>
  <si>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</si>
  <si>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</si>
  <si>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</si>
  <si>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</si>
  <si>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</si>
  <si>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</si>
  <si>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</si>
  <si>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</si>
  <si>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</si>
  <si>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</si>
  <si>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</si>
  <si>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</si>
  <si>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</si>
  <si>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</si>
  <si>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</si>
  <si>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</si>
  <si>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</si>
  <si>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</si>
  <si>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</si>
  <si>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</si>
  <si>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</si>
  <si>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</si>
  <si>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</si>
  <si>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</si>
  <si>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</si>
  <si>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</si>
  <si>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</si>
  <si>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</si>
  <si>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</si>
  <si>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</si>
  <si>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</si>
  <si>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</si>
  <si>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</si>
  <si>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</si>
  <si>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</si>
  <si>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</si>
  <si>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</si>
  <si>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</si>
  <si>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</si>
  <si>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</si>
  <si>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</si>
  <si>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</si>
  <si>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</si>
  <si>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</si>
  <si>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</si>
  <si>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</si>
  <si>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</si>
  <si>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</si>
  <si>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</si>
  <si>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</si>
  <si>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</si>
  <si>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</si>
  <si>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</si>
  <si>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</si>
  <si>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</si>
  <si>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</si>
  <si>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</si>
  <si>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</si>
  <si>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</si>
  <si>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</si>
  <si>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</si>
  <si>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</si>
  <si>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</si>
  <si>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</si>
  <si>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</si>
  <si>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</si>
  <si>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</si>
  <si>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</si>
  <si>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</si>
  <si>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</si>
  <si>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</si>
  <si>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</si>
  <si>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</si>
  <si>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</si>
  <si>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</si>
  <si>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</si>
  <si>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</si>
  <si>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</si>
  <si>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</si>
  <si>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</si>
  <si>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</si>
  <si>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</si>
  <si>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</si>
  <si>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</si>
  <si>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</si>
  <si>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</si>
  <si>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</si>
  <si>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</si>
  <si>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</si>
  <si>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</si>
  <si>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</si>
  <si>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</si>
  <si>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</si>
  <si>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</si>
  <si>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</si>
  <si>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</si>
  <si>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</si>
  <si>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</si>
  <si>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</si>
  <si>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</si>
  <si>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</si>
  <si>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</si>
  <si>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</si>
  <si>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</si>
  <si>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</si>
  <si>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</si>
  <si>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</si>
  <si>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</si>
  <si>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</si>
  <si>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</si>
  <si>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</si>
  <si>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</si>
  <si>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</si>
  <si>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</si>
  <si>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</si>
  <si>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</si>
  <si>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</si>
  <si>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</si>
  <si>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</si>
  <si>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</si>
  <si>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</si>
  <si>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</si>
  <si>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</si>
  <si>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</si>
  <si>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</si>
  <si>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</si>
  <si>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</si>
  <si>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</si>
  <si>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</si>
  <si>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</si>
  <si>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</si>
  <si>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</si>
  <si>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</si>
  <si>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</si>
  <si>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</si>
  <si>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</si>
  <si>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</si>
  <si>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</si>
  <si>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</si>
  <si>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</si>
  <si>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</si>
  <si>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</si>
  <si>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</si>
  <si>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</si>
  <si>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</si>
  <si>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</si>
  <si>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</si>
  <si>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</si>
  <si>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</si>
  <si>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</si>
  <si>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</si>
  <si>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</si>
  <si>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</si>
  <si>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</si>
  <si>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</si>
  <si>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</si>
  <si>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</si>
  <si>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</si>
  <si>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</si>
  <si>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</si>
  <si>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</si>
  <si>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</si>
  <si>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</si>
  <si>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</si>
  <si>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</si>
  <si>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</si>
  <si>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</si>
  <si>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</si>
  <si>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</si>
  <si>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</si>
  <si>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</si>
  <si>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</si>
  <si>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</si>
  <si>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</si>
  <si>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</si>
  <si>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</si>
  <si>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</si>
  <si>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</si>
  <si>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</si>
  <si>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</si>
  <si>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</si>
  <si>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</si>
  <si>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</si>
  <si>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</si>
  <si>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</si>
  <si>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</si>
  <si>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</si>
  <si>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</si>
  <si>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</si>
  <si>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</si>
  <si>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</si>
  <si>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</si>
  <si>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</si>
  <si>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</si>
  <si>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</si>
  <si>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</si>
  <si>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</si>
  <si>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</si>
  <si>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</si>
  <si>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</si>
  <si>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</si>
  <si>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</si>
  <si>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</si>
  <si>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</si>
  <si>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</si>
  <si>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</si>
  <si>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</si>
  <si>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</si>
  <si>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</si>
  <si>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</si>
  <si>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</si>
  <si>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</si>
  <si>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</si>
  <si>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</si>
  <si>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</si>
  <si>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</si>
  <si>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</si>
  <si>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</si>
  <si>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</si>
  <si>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</si>
  <si>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</si>
  <si>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</si>
  <si>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</si>
  <si>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</si>
  <si>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</si>
  <si>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</si>
  <si>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</si>
  <si>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</si>
  <si>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</si>
  <si>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</si>
  <si>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</si>
  <si>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</si>
  <si>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</si>
  <si>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</si>
  <si>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</si>
  <si>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</si>
  <si>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</si>
  <si>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</si>
  <si>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</si>
  <si>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</si>
  <si>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</si>
  <si>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</si>
  <si>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</si>
  <si>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</si>
  <si>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</si>
  <si>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</si>
  <si>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</si>
  <si>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</si>
  <si>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</si>
  <si>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</si>
  <si>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</si>
  <si>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</si>
  <si>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</si>
  <si>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</si>
  <si>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</si>
  <si>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</si>
  <si>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</si>
  <si>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</si>
  <si>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</si>
  <si>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</si>
  <si>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</si>
  <si>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</si>
  <si>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</si>
  <si>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</si>
  <si>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</si>
  <si>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</si>
  <si>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</si>
  <si>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</si>
  <si>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</si>
  <si>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</si>
  <si>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</si>
  <si>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</si>
  <si>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</si>
  <si>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</si>
  <si>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</si>
  <si>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</si>
  <si>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</si>
  <si>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</si>
  <si>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</si>
  <si>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</si>
  <si>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</si>
  <si>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</si>
  <si>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</si>
  <si>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</si>
  <si>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</si>
  <si>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</si>
  <si>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</si>
  <si>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</si>
  <si>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</si>
  <si>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</si>
  <si>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</si>
  <si>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</si>
  <si>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</si>
  <si>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</si>
  <si>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</si>
  <si>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</si>
  <si>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</si>
  <si>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</si>
  <si>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</si>
  <si>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</si>
  <si>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</si>
  <si>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</si>
  <si>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</si>
  <si>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</si>
  <si>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</si>
  <si>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</si>
  <si>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</si>
  <si>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</si>
  <si>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</si>
  <si>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</si>
  <si>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</si>
  <si>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</si>
  <si>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</si>
  <si>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</si>
  <si>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</si>
  <si>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</si>
  <si>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</si>
  <si>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</si>
  <si>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</si>
  <si>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</si>
  <si>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</si>
  <si>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</si>
  <si>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</si>
  <si>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</si>
  <si>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</si>
  <si>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</si>
  <si>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</si>
  <si>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</si>
  <si>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</si>
  <si>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</si>
  <si>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</si>
  <si>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</si>
  <si>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</si>
  <si>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</si>
  <si>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</si>
  <si>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</si>
  <si>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</si>
  <si>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</si>
  <si>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</si>
  <si>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</si>
  <si>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</si>
  <si>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</si>
  <si>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</si>
  <si>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</si>
  <si>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</si>
  <si>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</si>
  <si>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</si>
  <si>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</si>
  <si>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</si>
  <si>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</si>
  <si>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</si>
  <si>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</si>
  <si>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</si>
  <si>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</si>
  <si>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</si>
  <si>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</si>
  <si>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</si>
  <si>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</si>
  <si>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</si>
  <si>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</si>
  <si>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</si>
  <si>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</si>
  <si>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</si>
  <si>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</si>
  <si>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</si>
  <si>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</si>
  <si>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</si>
  <si>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</si>
  <si>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</si>
  <si>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</si>
  <si>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</si>
  <si>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</si>
  <si>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</si>
  <si>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</si>
  <si>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</si>
  <si>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</si>
  <si>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</si>
  <si>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</si>
  <si>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</si>
  <si>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</si>
  <si>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</si>
  <si>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</si>
  <si>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</si>
  <si>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</si>
  <si>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</si>
  <si>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</si>
  <si>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</si>
  <si>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</si>
  <si>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</si>
  <si>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</si>
  <si>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</si>
  <si>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</si>
  <si>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</si>
  <si>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</si>
  <si>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</si>
  <si>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</si>
  <si>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</si>
  <si>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</si>
  <si>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</si>
  <si>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</si>
  <si>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</si>
  <si>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</si>
  <si>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</si>
  <si>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</si>
  <si>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</si>
  <si>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</si>
  <si>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</si>
  <si>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</si>
  <si>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</si>
  <si>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</si>
  <si>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</si>
  <si>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</si>
  <si>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</si>
  <si>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</si>
  <si>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</si>
  <si>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</si>
  <si>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</si>
  <si>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</si>
  <si>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</si>
  <si>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</si>
  <si>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</si>
  <si>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</si>
  <si>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</si>
  <si>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</si>
  <si>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</si>
  <si>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</si>
  <si>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</si>
  <si>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</si>
  <si>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</si>
  <si>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</si>
  <si>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</si>
  <si>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</si>
  <si>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</si>
  <si>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</si>
  <si>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</si>
  <si>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</si>
  <si>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</si>
  <si>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</si>
  <si>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</si>
  <si>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</si>
  <si>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</si>
  <si>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</si>
  <si>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</si>
  <si>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</si>
  <si>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</si>
  <si>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</si>
  <si>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</si>
  <si>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</si>
  <si>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</si>
  <si>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</si>
  <si>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</si>
  <si>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</si>
  <si>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</si>
  <si>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</si>
  <si>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</si>
  <si>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</si>
  <si>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</si>
  <si>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</si>
  <si>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</si>
  <si>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</si>
  <si>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</si>
  <si>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</si>
  <si>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</si>
  <si>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</si>
  <si>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</si>
  <si>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</si>
  <si>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</si>
  <si>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</si>
  <si>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</si>
  <si>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</si>
  <si>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</si>
  <si>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</si>
  <si>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</si>
  <si>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</si>
  <si>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</si>
  <si>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</si>
  <si>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</si>
  <si>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</si>
  <si>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</si>
  <si>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</si>
  <si>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</si>
  <si>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</si>
  <si>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</si>
  <si>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</si>
  <si>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</si>
  <si>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</si>
  <si>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</si>
  <si>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</si>
  <si>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</si>
  <si>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</si>
  <si>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</si>
  <si>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</si>
  <si>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</si>
  <si>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</si>
  <si>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</si>
  <si>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</si>
  <si>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</si>
  <si>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</si>
  <si>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</si>
  <si>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</si>
  <si>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</si>
  <si>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</si>
  <si>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</si>
  <si>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</si>
  <si>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</si>
  <si>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</si>
  <si>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</si>
  <si>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</si>
  <si>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</si>
  <si>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</si>
  <si>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</si>
  <si>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</si>
  <si>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</si>
  <si>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</si>
  <si>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</si>
  <si>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</si>
  <si>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</si>
  <si>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</si>
  <si>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</si>
  <si>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</si>
  <si>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</si>
  <si>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</si>
  <si>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</si>
  <si>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</si>
  <si>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</si>
  <si>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</si>
  <si>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</si>
  <si>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</si>
  <si>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</si>
  <si>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</si>
  <si>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</si>
  <si>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</si>
  <si>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</si>
  <si>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</si>
  <si>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</si>
  <si>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</si>
  <si>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</si>
  <si>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</si>
  <si>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</si>
  <si>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</si>
  <si>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</si>
  <si>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</si>
  <si>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</si>
  <si>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</si>
  <si>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</si>
  <si>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</si>
  <si>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</si>
  <si>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</si>
  <si>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</si>
  <si>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</si>
  <si>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</si>
  <si>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</si>
  <si>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</si>
  <si>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</si>
  <si>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</si>
  <si>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</si>
  <si>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</si>
  <si>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</si>
  <si>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</si>
  <si>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</si>
  <si>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</si>
  <si>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</si>
  <si>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</si>
  <si>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</si>
  <si>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</si>
  <si>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</si>
  <si>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</si>
  <si>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</si>
  <si>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</si>
  <si>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</si>
  <si>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</si>
  <si>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</si>
  <si>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</si>
  <si>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</si>
  <si>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</si>
  <si>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</si>
  <si>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</si>
  <si>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</si>
  <si>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</si>
  <si>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</si>
  <si>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</si>
  <si>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</si>
  <si>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</si>
  <si>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</si>
  <si>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</si>
  <si>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</si>
  <si>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</si>
  <si>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</si>
  <si>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</si>
  <si>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</si>
  <si>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</si>
  <si>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</si>
  <si>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</si>
  <si>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</si>
  <si>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</si>
  <si>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</si>
  <si>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</si>
  <si>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</si>
  <si>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</si>
  <si>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</si>
  <si>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</si>
  <si>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</si>
  <si>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</si>
  <si>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</si>
  <si>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</si>
  <si>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</si>
  <si>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</si>
  <si>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</si>
  <si>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</si>
  <si>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</si>
  <si>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</si>
  <si>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</si>
  <si>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</si>
  <si>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</si>
  <si>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</si>
  <si>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</si>
  <si>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</si>
  <si>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</si>
  <si>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</si>
  <si>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</si>
  <si>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</si>
  <si>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</si>
  <si>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</si>
  <si>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</si>
  <si>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</si>
  <si>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</si>
  <si>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</si>
  <si>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</si>
  <si>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</si>
  <si>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</si>
  <si>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</si>
  <si>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</si>
  <si>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</si>
  <si>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</si>
  <si>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</si>
  <si>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</si>
  <si>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</si>
  <si>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</si>
  <si>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</si>
  <si>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</si>
  <si>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</si>
  <si>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</si>
  <si>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</si>
  <si>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</si>
  <si>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</si>
  <si>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</si>
  <si>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</si>
  <si>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</si>
  <si>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</si>
  <si>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</si>
  <si>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</si>
  <si>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</si>
  <si>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</si>
  <si>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</si>
  <si>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</si>
  <si>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</si>
  <si>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</si>
  <si>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</si>
  <si>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</si>
  <si>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</si>
  <si>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</si>
  <si>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</si>
  <si>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</si>
  <si>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</si>
  <si>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</si>
  <si>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</si>
  <si>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</si>
  <si>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</si>
  <si>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</si>
  <si>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</si>
  <si>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</si>
  <si>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</si>
  <si>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</si>
  <si>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</si>
  <si>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</si>
  <si>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</si>
  <si>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</si>
  <si>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</si>
  <si>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</si>
  <si>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</si>
  <si>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</si>
  <si>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</si>
  <si>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</si>
  <si>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</si>
  <si>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</si>
  <si>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</si>
  <si>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</si>
  <si>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</si>
  <si>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</si>
  <si>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</si>
  <si>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</si>
  <si>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</si>
  <si>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</si>
  <si>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</si>
  <si>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</si>
  <si>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</si>
  <si>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</si>
  <si>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</si>
  <si>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</si>
  <si>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</si>
  <si>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</si>
  <si>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</si>
  <si>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</si>
  <si>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</si>
  <si>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</si>
  <si>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</si>
  <si>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</si>
  <si>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</si>
  <si>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</si>
  <si>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</si>
  <si>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</si>
  <si>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</si>
  <si>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</si>
  <si>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</si>
  <si>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</si>
  <si>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</si>
  <si>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</si>
  <si>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</si>
  <si>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</si>
  <si>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</si>
  <si>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</si>
  <si>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</si>
  <si>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</si>
  <si>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</si>
  <si>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</si>
  <si>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</si>
  <si>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</si>
  <si>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</si>
  <si>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</si>
  <si>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</si>
  <si>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</si>
  <si>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</si>
  <si>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</si>
  <si>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</si>
  <si>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</si>
  <si>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</si>
  <si>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</si>
  <si>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</si>
  <si>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</si>
  <si>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</si>
  <si>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</si>
  <si>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</si>
  <si>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</si>
  <si>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</si>
  <si>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</si>
  <si>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</si>
  <si>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</si>
  <si>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</si>
  <si>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</si>
  <si>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</si>
  <si>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</si>
  <si>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</si>
  <si>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</si>
  <si>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</si>
  <si>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</si>
  <si>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</si>
  <si>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</si>
  <si>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</si>
  <si>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</si>
  <si>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</si>
  <si>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</si>
  <si>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</si>
  <si>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</si>
  <si>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</si>
  <si>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</si>
  <si>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</si>
  <si>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</si>
  <si>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</si>
  <si>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</si>
  <si>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</si>
  <si>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</si>
  <si>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</si>
  <si>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</si>
  <si>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</si>
  <si>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</si>
  <si>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</si>
  <si>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</si>
  <si>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</si>
  <si>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</si>
  <si>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</si>
  <si>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</si>
  <si>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</si>
  <si>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</si>
  <si>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</si>
  <si>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</si>
  <si>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</si>
  <si>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</si>
  <si>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</si>
  <si>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</si>
  <si>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</si>
  <si>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</si>
  <si>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</si>
  <si>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</si>
  <si>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</si>
  <si>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</si>
  <si>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</si>
  <si>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</si>
  <si>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</si>
  <si>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</si>
  <si>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</si>
  <si>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</si>
  <si>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</si>
  <si>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</si>
  <si>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</si>
  <si>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</si>
  <si>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</si>
  <si>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</si>
  <si>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</si>
  <si>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</si>
  <si>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</si>
  <si>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</si>
  <si>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</si>
  <si>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</si>
  <si>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</si>
  <si>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</si>
  <si>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</si>
  <si>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</si>
  <si>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</si>
  <si>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</si>
  <si>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</si>
  <si>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</si>
  <si>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</si>
  <si>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</si>
  <si>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</si>
  <si>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</si>
  <si>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</si>
  <si>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</si>
  <si>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</si>
  <si>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</si>
  <si>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</si>
  <si>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</si>
  <si>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</si>
  <si>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</si>
  <si>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</si>
  <si>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</si>
  <si>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</si>
  <si>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</si>
  <si>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</si>
  <si>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</si>
  <si>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</si>
  <si>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</si>
  <si>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</si>
  <si>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</si>
  <si>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</si>
  <si>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</si>
  <si>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</si>
  <si>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</si>
  <si>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</si>
  <si>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</si>
  <si>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</si>
  <si>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</si>
  <si>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</si>
  <si>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</si>
  <si>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</si>
  <si>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</si>
  <si>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</si>
  <si>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</si>
  <si>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</si>
  <si>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</si>
  <si>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</si>
  <si>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</si>
  <si>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</si>
  <si>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</si>
  <si>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</si>
  <si>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</si>
  <si>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</si>
  <si>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</si>
  <si>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</si>
  <si>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</si>
  <si>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</si>
  <si>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</si>
  <si>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</si>
  <si>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</si>
  <si>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</si>
  <si>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</si>
  <si>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</si>
  <si>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</si>
  <si>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</si>
  <si>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</si>
  <si>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</si>
  <si>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</si>
  <si>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</si>
  <si>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</si>
  <si>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</si>
  <si>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</si>
  <si>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</si>
  <si>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</si>
  <si>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</si>
  <si>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</si>
  <si>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</si>
  <si>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</si>
  <si>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</si>
  <si>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</si>
  <si>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</si>
  <si>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</si>
  <si>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</si>
  <si>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</si>
  <si>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</si>
  <si>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</si>
  <si>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</si>
  <si>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</si>
  <si>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</si>
  <si>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</si>
  <si>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</si>
  <si>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</si>
  <si>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</si>
  <si>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</si>
  <si>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</si>
  <si>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</si>
  <si>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</si>
  <si>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</si>
  <si>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</si>
  <si>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</si>
  <si>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</si>
  <si>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</si>
  <si>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</si>
  <si>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</si>
  <si>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</si>
  <si>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</si>
  <si>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</si>
  <si>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</si>
  <si>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</si>
  <si>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</si>
  <si>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</si>
  <si>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</si>
  <si>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</si>
  <si>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</si>
  <si>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</si>
  <si>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</si>
  <si>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</si>
  <si>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</si>
  <si>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</si>
  <si>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</si>
  <si>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</si>
  <si>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</si>
  <si>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</si>
  <si>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</si>
  <si>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</si>
  <si>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</si>
  <si>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</si>
  <si>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</si>
  <si>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</si>
  <si>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</si>
  <si>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</si>
  <si>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</si>
  <si>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</si>
  <si>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</si>
  <si>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</si>
  <si>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</si>
  <si>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</si>
  <si>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</si>
  <si>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</si>
  <si>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</si>
  <si>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</si>
  <si>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</si>
  <si>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</si>
  <si>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</si>
  <si>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</si>
  <si>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</si>
  <si>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</si>
  <si>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</si>
  <si>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</si>
  <si>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</si>
  <si>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</si>
  <si>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</si>
  <si>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</si>
  <si>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</si>
  <si>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</si>
  <si>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</si>
  <si>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</si>
  <si>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</si>
  <si>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</si>
  <si>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</si>
  <si>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</si>
  <si>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</si>
  <si>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</si>
  <si>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</si>
  <si>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</si>
  <si>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</si>
  <si>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</si>
  <si>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</si>
  <si>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</si>
  <si>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</si>
  <si>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</si>
  <si>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</si>
  <si>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</si>
  <si>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</si>
  <si>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</si>
  <si>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</si>
  <si>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</si>
  <si>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</si>
  <si>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</si>
  <si>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</si>
  <si>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</si>
  <si>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</si>
  <si>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</si>
  <si>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</si>
  <si>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</si>
  <si>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</si>
  <si>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</si>
  <si>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</si>
  <si>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</si>
  <si>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</si>
  <si>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</si>
  <si>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</si>
  <si>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</si>
  <si>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</si>
  <si>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</si>
  <si>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</si>
  <si>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</si>
  <si>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</si>
  <si>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</si>
  <si>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</si>
  <si>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</si>
  <si>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</si>
  <si>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</si>
  <si>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</si>
  <si>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</si>
  <si>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</si>
  <si>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</si>
  <si>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</si>
  <si>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</si>
  <si>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</si>
  <si>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</si>
  <si>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</si>
  <si>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</si>
  <si>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</si>
  <si>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</si>
  <si>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</si>
  <si>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</si>
  <si>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</si>
  <si>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</si>
  <si>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</si>
  <si>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</si>
  <si>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</si>
  <si>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</si>
  <si>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</si>
  <si>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</si>
  <si>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</si>
  <si>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</si>
  <si>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</si>
  <si>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</si>
  <si>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</si>
  <si>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</si>
  <si>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</si>
  <si>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</si>
  <si>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</si>
  <si>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</si>
  <si>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</si>
  <si>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</si>
  <si>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</si>
  <si>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</si>
  <si>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</si>
  <si>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</si>
  <si>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</si>
  <si>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</si>
  <si>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</si>
  <si>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</si>
  <si>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</si>
  <si>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</si>
  <si>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</si>
  <si>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</si>
  <si>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</si>
  <si>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</si>
  <si>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</si>
  <si>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</si>
  <si>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</si>
  <si>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</si>
  <si>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</si>
  <si>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</si>
  <si>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</si>
  <si>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</si>
  <si>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</si>
  <si>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</si>
  <si>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</si>
  <si>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</si>
  <si>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</si>
  <si>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</si>
  <si>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</si>
  <si>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</si>
  <si>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</si>
  <si>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</si>
  <si>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</si>
  <si>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</si>
  <si>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</si>
  <si>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</si>
  <si>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</si>
  <si>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</si>
  <si>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</si>
  <si>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</si>
  <si>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</si>
  <si>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</si>
  <si>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</si>
  <si>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</si>
  <si>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</si>
  <si>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</si>
  <si>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</si>
  <si>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</si>
  <si>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</si>
  <si>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</si>
  <si>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</si>
  <si>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</si>
  <si>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</si>
  <si>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</si>
  <si>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</si>
  <si>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</si>
  <si>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</si>
  <si>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</si>
  <si>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</si>
  <si>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</si>
  <si>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</si>
  <si>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</si>
  <si>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</si>
  <si>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</si>
  <si>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</si>
  <si>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</si>
  <si>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</si>
  <si>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</si>
  <si>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</si>
  <si>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</si>
  <si>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</si>
  <si>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</si>
  <si>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</si>
  <si>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</si>
  <si>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</si>
  <si>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</si>
  <si>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</si>
  <si>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</si>
  <si>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</si>
  <si>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</si>
  <si>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</si>
  <si>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</si>
  <si>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</si>
  <si>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</si>
  <si>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</si>
  <si>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</si>
  <si>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</si>
  <si>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</si>
  <si>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</si>
  <si>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</si>
  <si>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</si>
  <si>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</si>
  <si>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</si>
  <si>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</si>
  <si>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</si>
  <si>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</si>
  <si>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</si>
  <si>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</si>
  <si>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</si>
  <si>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</si>
  <si>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</si>
  <si>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</si>
  <si>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</si>
  <si>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</si>
  <si>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</si>
  <si>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</si>
  <si>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</si>
  <si>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</si>
  <si>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</si>
  <si>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</si>
  <si>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</si>
  <si>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</si>
  <si>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</si>
  <si>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</si>
  <si>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</si>
  <si>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</si>
  <si>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</si>
  <si>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</si>
  <si>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</si>
  <si>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</si>
  <si>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</si>
  <si>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</si>
  <si>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</si>
  <si>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</si>
  <si>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</si>
  <si>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</si>
  <si>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</si>
  <si>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</si>
  <si>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</si>
  <si>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</si>
  <si>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</si>
  <si>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</si>
  <si>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</si>
  <si>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</si>
  <si>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</si>
  <si>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</si>
  <si>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</si>
  <si>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</si>
  <si>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</si>
  <si>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</si>
  <si>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</si>
  <si>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</si>
  <si>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</si>
  <si>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</si>
  <si>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</si>
  <si>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</si>
  <si>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</si>
  <si>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</si>
  <si>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</si>
  <si>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</si>
  <si>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</si>
  <si>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</si>
  <si>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</si>
  <si>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</si>
  <si>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</si>
  <si>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</si>
  <si>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</si>
  <si>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</si>
  <si>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</si>
  <si>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</si>
  <si>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</si>
  <si>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</si>
  <si>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</si>
  <si>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</si>
  <si>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</si>
  <si>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</si>
  <si>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</si>
  <si>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</si>
  <si>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</si>
  <si>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</si>
  <si>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</si>
  <si>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</si>
  <si>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</si>
  <si>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</si>
  <si>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</si>
  <si>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</si>
  <si>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</si>
  <si>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</si>
  <si>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</si>
  <si>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</si>
  <si>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</si>
  <si>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</si>
  <si>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</si>
  <si>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</si>
  <si>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</si>
  <si>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</si>
  <si>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</si>
  <si>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</si>
  <si>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</si>
  <si>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</si>
  <si>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</si>
  <si>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</si>
  <si>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</si>
  <si>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</si>
  <si>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</si>
  <si>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</si>
  <si>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</si>
  <si>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</si>
  <si>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</si>
  <si>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</si>
  <si>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</si>
  <si>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</si>
  <si>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</si>
  <si>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</si>
  <si>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</si>
  <si>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</si>
  <si>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</si>
  <si>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</si>
  <si>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</si>
  <si>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</si>
  <si>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</si>
  <si>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</si>
  <si>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</si>
  <si>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</si>
  <si>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</si>
  <si>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</si>
  <si>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</si>
  <si>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</si>
  <si>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</si>
  <si>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</si>
  <si>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</si>
  <si>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</si>
  <si>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</si>
  <si>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</si>
  <si>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</si>
  <si>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</si>
  <si>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</si>
  <si>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</si>
  <si>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</si>
  <si>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</si>
  <si>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</si>
  <si>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</si>
  <si>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</si>
  <si>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</si>
  <si>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</si>
  <si>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</si>
  <si>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</si>
  <si>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</si>
  <si>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</si>
  <si>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</si>
  <si>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</si>
  <si>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</si>
  <si>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</si>
  <si>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</si>
  <si>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</si>
  <si>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</si>
  <si>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</si>
  <si>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</si>
  <si>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</si>
  <si>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</si>
  <si>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</si>
  <si>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</si>
  <si>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</si>
  <si>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</si>
  <si>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</si>
  <si>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</si>
  <si>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</si>
  <si>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</si>
  <si>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</si>
  <si>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</si>
  <si>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</si>
  <si>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</si>
  <si>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</si>
  <si>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</si>
  <si>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</si>
  <si>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</si>
  <si>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</si>
  <si>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</si>
  <si>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</si>
  <si>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</si>
  <si>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</si>
  <si>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</si>
  <si>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</si>
  <si>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</si>
  <si>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</si>
  <si>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</si>
  <si>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</si>
  <si>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</si>
  <si>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</si>
  <si>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</si>
  <si>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</si>
  <si>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</si>
  <si>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</si>
  <si>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</si>
  <si>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</si>
  <si>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</si>
  <si>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</si>
  <si>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</si>
  <si>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</si>
  <si>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</si>
  <si>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</si>
  <si>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</si>
  <si>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</si>
  <si>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</si>
  <si>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</si>
  <si>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</si>
  <si>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</si>
  <si>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</si>
  <si>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</si>
  <si>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</si>
  <si>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</si>
  <si>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</si>
  <si>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</si>
  <si>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</si>
  <si>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</si>
  <si>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</si>
  <si>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</si>
  <si>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</si>
  <si>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</si>
  <si>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</si>
  <si>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</si>
  <si>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</si>
  <si>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</si>
  <si>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</si>
  <si>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</si>
  <si>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</si>
  <si>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</si>
  <si>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</si>
  <si>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</si>
  <si>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</si>
  <si>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</si>
  <si>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</si>
  <si>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</si>
  <si>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</si>
  <si>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</si>
  <si>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</si>
  <si>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</si>
  <si>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</si>
  <si>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</si>
  <si>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</si>
  <si>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</si>
  <si>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</si>
  <si>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</si>
  <si>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</si>
  <si>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</si>
  <si>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</si>
  <si>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</si>
  <si>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</si>
  <si>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</si>
  <si>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</si>
  <si>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</si>
  <si>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</si>
  <si>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</si>
  <si>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</si>
  <si>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</si>
  <si>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</si>
  <si>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</si>
  <si>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</si>
  <si>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</si>
  <si>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</si>
  <si>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</si>
  <si>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</si>
  <si>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</si>
  <si>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</si>
  <si>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</si>
  <si>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</si>
  <si>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</si>
  <si>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</si>
  <si>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</si>
  <si>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</si>
  <si>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</si>
  <si>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</si>
  <si>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</si>
  <si>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</si>
  <si>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</si>
  <si>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</si>
  <si>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</si>
  <si>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</si>
  <si>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</si>
  <si>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</si>
  <si>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</si>
  <si>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</si>
  <si>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</si>
  <si>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</si>
  <si>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</si>
  <si>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</si>
  <si>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</si>
  <si>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</si>
  <si>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</si>
  <si>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</si>
  <si>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</si>
  <si>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</si>
  <si>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</si>
  <si>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</si>
  <si>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</si>
  <si>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</si>
  <si>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</si>
  <si>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</si>
  <si>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</si>
  <si>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</si>
  <si>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</si>
  <si>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</si>
  <si>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</si>
  <si>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</si>
  <si>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</si>
  <si>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</si>
  <si>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</si>
  <si>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</si>
  <si>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</si>
  <si>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</si>
  <si>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</si>
  <si>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</si>
  <si>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</si>
  <si>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</si>
  <si>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</si>
  <si>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</si>
  <si>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</si>
  <si>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</si>
  <si>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</si>
  <si>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</si>
  <si>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</si>
  <si>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</si>
  <si>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</si>
  <si>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</si>
  <si>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</si>
  <si>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</si>
  <si>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</si>
  <si>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</si>
  <si>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</si>
  <si>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</si>
  <si>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</si>
  <si>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</si>
  <si>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</si>
  <si>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</si>
  <si>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</si>
  <si>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</si>
  <si>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</si>
  <si>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</si>
  <si>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</si>
  <si>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</si>
  <si>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</si>
  <si>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</si>
  <si>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</si>
  <si>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</si>
  <si>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</si>
  <si>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</si>
  <si>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</si>
  <si>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</si>
  <si>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</si>
  <si>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</si>
  <si>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</si>
  <si>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</si>
  <si>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</si>
  <si>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</si>
  <si>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</si>
  <si>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</si>
  <si>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</si>
  <si>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</si>
  <si>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</si>
  <si>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</si>
  <si>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</si>
  <si>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</si>
  <si>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</si>
  <si>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</si>
  <si>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</si>
  <si>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</si>
  <si>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</si>
  <si>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</si>
  <si>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</si>
  <si>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</si>
  <si>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</si>
  <si>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</si>
  <si>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</si>
  <si>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</si>
  <si>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</si>
  <si>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</si>
  <si>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</si>
  <si>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</si>
  <si>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</si>
  <si>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</si>
  <si>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</si>
  <si>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</si>
  <si>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</si>
  <si>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</si>
  <si>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</si>
  <si>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</si>
  <si>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</si>
  <si>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</si>
  <si>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</si>
  <si>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</si>
  <si>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</si>
  <si>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</si>
  <si>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</si>
  <si>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</si>
  <si>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</si>
  <si>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</si>
  <si>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</si>
  <si>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</si>
  <si>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</si>
  <si>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</si>
  <si>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</si>
  <si>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</si>
  <si>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</si>
  <si>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</si>
  <si>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</si>
  <si>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</si>
  <si>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</si>
  <si>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</si>
  <si>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</si>
  <si>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</si>
  <si>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</si>
  <si>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</si>
  <si>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</si>
  <si>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</si>
  <si>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</si>
  <si>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</si>
  <si>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</si>
  <si>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</si>
  <si>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</si>
  <si>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</si>
  <si>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</si>
  <si>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</si>
  <si>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</si>
  <si>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</si>
  <si>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</si>
  <si>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</si>
  <si>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</si>
  <si>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</si>
  <si>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</si>
  <si>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</si>
  <si>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</si>
  <si>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</si>
  <si>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</si>
  <si>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</si>
  <si>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</si>
  <si>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</si>
  <si>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</si>
  <si>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</si>
  <si>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</si>
  <si>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</si>
  <si>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</si>
  <si>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</si>
  <si>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</si>
  <si>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</si>
  <si>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</si>
  <si>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</si>
  <si>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</si>
  <si>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</si>
  <si>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</si>
  <si>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</si>
  <si>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</si>
  <si>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</si>
  <si>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</si>
  <si>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</si>
  <si>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</si>
  <si>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</si>
  <si>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</si>
  <si>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</si>
  <si>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</si>
  <si>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</si>
  <si>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</si>
  <si>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</si>
  <si>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</si>
  <si>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</si>
  <si>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</si>
  <si>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</si>
  <si>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</si>
  <si>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</si>
  <si>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</si>
  <si>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</si>
  <si>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</si>
  <si>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</si>
  <si>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</si>
  <si>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</si>
  <si>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</si>
  <si>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</si>
  <si>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</si>
  <si>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</si>
  <si>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</si>
  <si>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</si>
  <si>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</si>
  <si>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</si>
  <si>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</si>
  <si>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</si>
  <si>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</si>
  <si>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</si>
  <si>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</si>
  <si>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</si>
  <si>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</si>
  <si>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</si>
  <si>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</si>
  <si>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</si>
  <si>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</si>
  <si>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</si>
  <si>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</si>
  <si>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</si>
  <si>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</si>
  <si>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</si>
  <si>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</si>
  <si>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</si>
  <si>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</si>
  <si>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</si>
  <si>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</si>
  <si>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</si>
  <si>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</si>
  <si>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</si>
  <si>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</si>
  <si>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</si>
  <si>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</si>
  <si>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</si>
  <si>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</si>
  <si>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</si>
  <si>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</si>
  <si>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</si>
  <si>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</si>
  <si>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</si>
  <si>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</si>
  <si>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</si>
  <si>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</si>
  <si>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</si>
  <si>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</si>
  <si>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</si>
  <si>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</si>
  <si>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</si>
  <si>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</si>
  <si>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</si>
  <si>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</si>
  <si>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</si>
  <si>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</si>
  <si>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</si>
  <si>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</si>
  <si>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</si>
  <si>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</si>
  <si>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</si>
  <si>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</si>
  <si>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</si>
  <si>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</si>
  <si>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</si>
  <si>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</si>
  <si>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</si>
  <si>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</si>
  <si>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</si>
  <si>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</si>
  <si>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</si>
  <si>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</si>
  <si>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</si>
  <si>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</si>
  <si>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</si>
  <si>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</si>
  <si>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</si>
  <si>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</si>
  <si>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</si>
  <si>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</si>
  <si>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</si>
  <si>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</si>
  <si>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</si>
  <si>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</si>
  <si>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</si>
  <si>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</si>
  <si>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</si>
  <si>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</si>
  <si>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</si>
  <si>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</si>
  <si>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</si>
  <si>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</si>
  <si>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</si>
  <si>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</si>
  <si>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</si>
  <si>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</si>
  <si>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</si>
  <si>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</si>
  <si>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</si>
  <si>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</si>
  <si>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</si>
  <si>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</si>
  <si>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</si>
  <si>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</si>
  <si>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</si>
  <si>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</si>
  <si>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</si>
  <si>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</si>
  <si>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</si>
  <si>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</si>
  <si>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</si>
  <si>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</si>
  <si>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</si>
  <si>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</si>
  <si>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</si>
  <si>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</si>
  <si>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</si>
  <si>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</si>
  <si>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</si>
  <si>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</si>
  <si>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</si>
  <si>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</si>
  <si>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</si>
  <si>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</si>
  <si>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</si>
  <si>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</si>
  <si>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</si>
  <si>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</si>
  <si>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</si>
  <si>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</si>
  <si>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</si>
  <si>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</si>
  <si>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</si>
  <si>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</si>
  <si>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</si>
  <si>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</si>
  <si>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</si>
  <si>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</si>
  <si>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</si>
  <si>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</si>
  <si>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</si>
  <si>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</si>
  <si>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</si>
  <si>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</si>
  <si>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</si>
  <si>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</si>
  <si>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</si>
  <si>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</si>
  <si>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</si>
  <si>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</si>
  <si>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</si>
  <si>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</si>
  <si>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</si>
  <si>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</si>
  <si>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</si>
  <si>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</si>
  <si>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</si>
  <si>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</si>
  <si>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</si>
  <si>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</si>
  <si>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</si>
  <si>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</si>
  <si>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</si>
  <si>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</si>
  <si>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</si>
  <si>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</si>
  <si>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</si>
  <si>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</si>
  <si>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</si>
  <si>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</si>
  <si>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</si>
  <si>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</si>
  <si>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</si>
  <si>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</si>
  <si>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</si>
  <si>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</si>
  <si>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</si>
  <si>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</si>
  <si>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</si>
  <si>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</si>
  <si>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</si>
  <si>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</si>
  <si>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</si>
  <si>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</si>
  <si>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</si>
  <si>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</si>
  <si>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</si>
  <si>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</si>
  <si>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</si>
  <si>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</si>
  <si>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</si>
  <si>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</si>
  <si>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</si>
  <si>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</si>
  <si>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</si>
  <si>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</si>
  <si>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</si>
  <si>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</si>
  <si>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</si>
  <si>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</si>
  <si>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</si>
  <si>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</si>
  <si>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</si>
  <si>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</si>
  <si>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</si>
  <si>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</si>
  <si>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</si>
  <si>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</si>
  <si>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</si>
  <si>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</si>
  <si>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</si>
  <si>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</si>
  <si>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</si>
  <si>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</si>
  <si>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</si>
  <si>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</si>
  <si>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</si>
  <si>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</si>
  <si>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</si>
  <si>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</si>
  <si>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</si>
  <si>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</si>
  <si>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</si>
  <si>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</si>
  <si>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</si>
  <si>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</si>
  <si>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</si>
  <si>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</si>
  <si>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</si>
  <si>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</si>
  <si>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</si>
  <si>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</si>
  <si>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</si>
  <si>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</si>
  <si>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</si>
  <si>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</si>
  <si>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</si>
  <si>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</si>
  <si>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</si>
  <si>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</si>
  <si>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</si>
  <si>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</si>
  <si>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</si>
  <si>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</si>
  <si>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</si>
  <si>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</si>
  <si>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</si>
  <si>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</si>
  <si>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</si>
  <si>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</si>
  <si>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</si>
  <si>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</si>
  <si>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</si>
  <si>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</si>
  <si>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</si>
  <si>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</si>
  <si>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</si>
  <si>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</si>
  <si>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</si>
  <si>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</si>
  <si>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</si>
  <si>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</si>
  <si>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</si>
  <si>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</si>
  <si>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</si>
  <si>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</si>
  <si>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</si>
  <si>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</si>
  <si>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</si>
  <si>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</si>
  <si>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</si>
  <si>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</si>
  <si>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</si>
  <si>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</si>
  <si>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</si>
  <si>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</si>
  <si>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</si>
  <si>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</si>
  <si>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</si>
  <si>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</si>
  <si>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</si>
  <si>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</si>
  <si>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</si>
  <si>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</si>
  <si>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</si>
  <si>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</si>
  <si>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</si>
  <si>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</si>
  <si>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</si>
  <si>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</si>
  <si>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</si>
  <si>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</si>
  <si>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</si>
  <si>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</si>
  <si>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</si>
  <si>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</si>
  <si>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</si>
  <si>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</si>
  <si>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</si>
  <si>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</si>
  <si>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</si>
  <si>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</si>
  <si>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</si>
  <si>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</si>
  <si>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</si>
  <si>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</si>
  <si>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</si>
  <si>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</si>
  <si>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</si>
  <si>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</si>
  <si>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</si>
  <si>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</si>
  <si>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</si>
  <si>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</si>
  <si>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</si>
  <si>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</si>
  <si>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</si>
  <si>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</si>
  <si>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</si>
  <si>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</si>
  <si>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</si>
  <si>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</si>
  <si>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</si>
  <si>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</si>
  <si>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</si>
  <si>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</si>
  <si>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</si>
  <si>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</si>
  <si>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</si>
  <si>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</si>
  <si>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</si>
  <si>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</si>
  <si>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</si>
  <si>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</si>
  <si>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</si>
  <si>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</si>
  <si>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</si>
  <si>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</si>
  <si>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</si>
  <si>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</si>
  <si>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</si>
  <si>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</si>
  <si>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</si>
  <si>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</si>
  <si>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</si>
  <si>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</si>
  <si>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</si>
  <si>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</si>
  <si>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</si>
  <si>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</si>
  <si>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</si>
  <si>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</si>
  <si>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</si>
  <si>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</si>
  <si>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</si>
  <si>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</si>
  <si>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</si>
  <si>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</si>
  <si>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</si>
  <si>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</si>
  <si>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</si>
  <si>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</si>
  <si>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</si>
  <si>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</si>
  <si>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</si>
  <si>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</si>
  <si>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</si>
  <si>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</si>
  <si>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</si>
  <si>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</si>
  <si>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</si>
  <si>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</si>
  <si>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</si>
  <si>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</si>
  <si>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</si>
  <si>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</si>
  <si>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</si>
  <si>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</si>
  <si>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</si>
  <si>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</si>
  <si>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</si>
  <si>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</si>
  <si>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</si>
  <si>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</si>
  <si>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</si>
  <si>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</si>
  <si>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</si>
  <si>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</si>
  <si>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</si>
  <si>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</si>
  <si>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</si>
  <si>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</si>
  <si>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</si>
  <si>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</si>
  <si>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</si>
  <si>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</si>
  <si>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</si>
  <si>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</si>
  <si>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</si>
  <si>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</si>
  <si>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</si>
  <si>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</si>
  <si>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</si>
  <si>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</si>
  <si>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</si>
  <si>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</si>
  <si>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</si>
  <si>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</si>
  <si>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</si>
  <si>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</si>
  <si>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</si>
  <si>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</si>
  <si>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</si>
  <si>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</si>
  <si>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</si>
  <si>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</si>
  <si>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</si>
  <si>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</si>
  <si>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</si>
  <si>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</si>
  <si>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</si>
  <si>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</si>
  <si>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</si>
  <si>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</si>
  <si>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</si>
  <si>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</si>
  <si>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</si>
  <si>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</si>
  <si>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</si>
  <si>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</si>
  <si>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</si>
  <si>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</si>
  <si>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</si>
  <si>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</si>
  <si>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</si>
  <si>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</si>
  <si>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</si>
  <si>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</si>
  <si>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</si>
  <si>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</si>
  <si>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</si>
  <si>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</si>
  <si>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</si>
  <si>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</si>
  <si>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</si>
  <si>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</si>
  <si>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</si>
  <si>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</si>
  <si>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</si>
  <si>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</si>
  <si>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</si>
  <si>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</si>
  <si>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</si>
  <si>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</si>
  <si>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</si>
  <si>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</si>
  <si>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</si>
  <si>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</si>
  <si>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</si>
  <si>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</si>
  <si>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</si>
  <si>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</si>
  <si>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</si>
  <si>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</si>
  <si>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</si>
  <si>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</si>
  <si>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</si>
  <si>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</si>
  <si>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</si>
  <si>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</si>
  <si>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</si>
  <si>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</si>
  <si>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</si>
  <si>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</si>
  <si>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</si>
  <si>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</si>
  <si>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</si>
  <si>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</si>
  <si>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</si>
  <si>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</si>
  <si>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</si>
  <si>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</si>
  <si>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</si>
  <si>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</si>
  <si>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</si>
  <si>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</si>
  <si>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</si>
  <si>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</si>
  <si>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</si>
  <si>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</si>
  <si>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</si>
  <si>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</si>
  <si>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</si>
  <si>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</si>
  <si>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</si>
  <si>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</si>
  <si>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</si>
  <si>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</si>
  <si>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</si>
  <si>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</si>
  <si>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</si>
  <si>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</si>
  <si>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</si>
  <si>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</si>
  <si>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</si>
  <si>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</si>
  <si>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</si>
  <si>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</si>
  <si>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</si>
  <si>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</si>
  <si>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</si>
  <si>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</si>
  <si>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</si>
  <si>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</si>
  <si>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</si>
  <si>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</si>
  <si>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</si>
  <si>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</si>
  <si>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</si>
  <si>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</si>
  <si>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</si>
  <si>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</si>
  <si>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</si>
  <si>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</si>
  <si>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</si>
  <si>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</si>
  <si>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</si>
  <si>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</si>
  <si>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</si>
  <si>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</si>
  <si>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</si>
  <si>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</si>
  <si>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</si>
  <si>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</si>
  <si>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</si>
  <si>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</si>
  <si>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</si>
  <si>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</si>
  <si>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</si>
  <si>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</si>
  <si>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</si>
  <si>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</si>
  <si>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</si>
  <si>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</si>
  <si>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</si>
  <si>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</si>
  <si>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</si>
  <si>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</si>
  <si>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</si>
  <si>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</si>
  <si>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</si>
  <si>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</si>
  <si>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</si>
  <si>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</si>
  <si>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</si>
  <si>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</si>
  <si>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</si>
  <si>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</si>
  <si>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</si>
  <si>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</si>
  <si>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</si>
  <si>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</si>
  <si>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</si>
  <si>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</si>
  <si>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</si>
  <si>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</si>
  <si>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</si>
  <si>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</si>
  <si>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</si>
  <si>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</si>
  <si>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</si>
  <si>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</si>
  <si>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</si>
  <si>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</si>
  <si>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</si>
  <si>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</si>
  <si>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</si>
  <si>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</si>
  <si>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</si>
  <si>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</si>
  <si>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</si>
  <si>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</si>
  <si>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</si>
  <si>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</si>
  <si>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</si>
  <si>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</si>
  <si>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</si>
  <si>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</si>
  <si>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</si>
  <si>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</si>
  <si>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</si>
  <si>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</si>
  <si>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</si>
  <si>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</si>
  <si>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</si>
  <si>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</si>
  <si>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</si>
  <si>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</si>
  <si>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</si>
  <si>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</si>
  <si>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</si>
  <si>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</si>
  <si>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</si>
  <si>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</si>
  <si>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</si>
  <si>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</si>
  <si>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</si>
  <si>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</si>
  <si>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</si>
  <si>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</si>
  <si>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</si>
  <si>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</si>
  <si>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</si>
  <si>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</si>
  <si>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</si>
  <si>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</si>
  <si>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</si>
  <si>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</si>
  <si>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</si>
  <si>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</si>
  <si>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</si>
  <si>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</si>
  <si>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</si>
  <si>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</si>
  <si>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</si>
  <si>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</si>
  <si>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</si>
  <si>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</si>
  <si>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</si>
  <si>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</si>
  <si>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</si>
  <si>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</si>
  <si>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</si>
  <si>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</si>
  <si>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</si>
  <si>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</si>
  <si>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</si>
  <si>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</si>
  <si>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</si>
  <si>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</si>
  <si>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</si>
  <si>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</si>
  <si>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</si>
  <si>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</si>
  <si>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</si>
  <si>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</si>
  <si>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</si>
  <si>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</si>
  <si>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</si>
  <si>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</si>
  <si>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</si>
  <si>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</si>
  <si>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</si>
  <si>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</si>
  <si>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</si>
  <si>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</si>
  <si>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</si>
  <si>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</si>
  <si>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</si>
  <si>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</si>
  <si>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</si>
  <si>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</si>
  <si>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</si>
  <si>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</si>
  <si>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</si>
  <si>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</si>
  <si>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</si>
  <si>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</si>
  <si>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</si>
  <si>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</si>
  <si>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</si>
  <si>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</si>
  <si>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</si>
  <si>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</si>
  <si>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</si>
  <si>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</si>
  <si>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</si>
  <si>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</si>
  <si>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</si>
  <si>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</si>
  <si>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</si>
  <si>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</si>
  <si>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</si>
  <si>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</si>
  <si>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</si>
  <si>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</si>
  <si>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</si>
  <si>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</si>
  <si>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</si>
  <si>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</si>
  <si>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</si>
  <si>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</si>
  <si>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</si>
  <si>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</si>
  <si>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</si>
  <si>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</si>
  <si>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</si>
  <si>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</si>
  <si>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</si>
  <si>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</si>
  <si>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</si>
  <si>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</si>
  <si>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</si>
  <si>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</si>
  <si>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</si>
  <si>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</si>
  <si>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</si>
  <si>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</si>
  <si>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</si>
  <si>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</si>
  <si>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</si>
  <si>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</si>
  <si>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</si>
  <si>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</si>
  <si>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</si>
  <si>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</si>
  <si>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</si>
  <si>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</si>
  <si>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</si>
  <si>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</si>
  <si>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</si>
  <si>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</si>
  <si>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</si>
  <si>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</si>
  <si>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</si>
  <si>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</si>
  <si>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</si>
  <si>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</si>
  <si>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</si>
  <si>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</si>
  <si>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</si>
  <si>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</si>
  <si>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</si>
  <si>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</si>
  <si>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</si>
  <si>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</si>
  <si>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</si>
  <si>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</si>
  <si>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</si>
  <si>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</si>
  <si>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</si>
  <si>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</si>
  <si>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</si>
  <si>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</si>
  <si>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</si>
  <si>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</si>
  <si>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</si>
  <si>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</si>
  <si>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</si>
  <si>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</si>
  <si>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</si>
  <si>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</si>
  <si>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</si>
  <si>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</si>
  <si>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</si>
  <si>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</si>
  <si>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</si>
  <si>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</si>
  <si>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</si>
  <si>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</si>
  <si>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</si>
  <si>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</si>
  <si>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</si>
  <si>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</si>
  <si>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</si>
  <si>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</si>
  <si>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</si>
  <si>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</si>
  <si>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</si>
  <si>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</si>
  <si>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</si>
  <si>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</si>
  <si>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</si>
  <si>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</si>
  <si>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</si>
  <si>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</si>
  <si>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</si>
  <si>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</si>
  <si>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</si>
  <si>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</si>
  <si>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</si>
  <si>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</si>
  <si>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</si>
  <si>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</si>
  <si>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</si>
  <si>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</si>
  <si>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</si>
  <si>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</si>
  <si>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</si>
  <si>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</si>
  <si>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</si>
  <si>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</si>
  <si>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</si>
  <si>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</si>
  <si>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</si>
  <si>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</si>
  <si>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</si>
  <si>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</si>
  <si>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</si>
  <si>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</si>
  <si>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</si>
  <si>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</si>
  <si>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</si>
  <si>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</si>
  <si>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</si>
  <si>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</si>
  <si>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</si>
  <si>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</si>
  <si>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</si>
  <si>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</si>
  <si>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</si>
  <si>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</si>
  <si>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</si>
  <si>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</si>
  <si>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</si>
  <si>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</si>
  <si>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</si>
  <si>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</si>
  <si>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</si>
  <si>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</si>
  <si>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</si>
  <si>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</si>
  <si>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</si>
  <si>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</si>
  <si>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</si>
  <si>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</si>
  <si>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</si>
  <si>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</si>
  <si>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</si>
  <si>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</si>
  <si>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</si>
  <si>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</si>
  <si>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</si>
  <si>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</si>
  <si>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</si>
  <si>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</si>
  <si>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</si>
  <si>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</si>
  <si>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</si>
  <si>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</si>
  <si>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</si>
  <si>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</si>
  <si>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</si>
  <si>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</si>
  <si>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</si>
  <si>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</si>
  <si>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</si>
  <si>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</si>
  <si>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</si>
  <si>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</si>
  <si>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</si>
  <si>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</si>
  <si>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</si>
  <si>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</si>
  <si>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</si>
  <si>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</si>
  <si>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</si>
  <si>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</si>
  <si>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</si>
  <si>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</si>
  <si>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</si>
  <si>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</si>
  <si>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</si>
  <si>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</si>
  <si>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</si>
  <si>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</si>
  <si>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</si>
  <si>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</si>
  <si>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</si>
  <si>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</si>
  <si>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</si>
  <si>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</si>
  <si>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</si>
  <si>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</si>
  <si>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</si>
  <si>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</si>
  <si>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</si>
  <si>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</si>
  <si>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</si>
  <si>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</si>
  <si>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</si>
  <si>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</si>
  <si>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</si>
  <si>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</si>
  <si>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</si>
  <si>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</si>
  <si>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</si>
  <si>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</si>
  <si>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</si>
  <si>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</si>
  <si>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</si>
  <si>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</si>
  <si>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</si>
  <si>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</si>
  <si>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</si>
  <si>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</si>
  <si>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</si>
  <si>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</si>
  <si>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</si>
  <si>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</si>
  <si>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</si>
  <si>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</si>
  <si>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</si>
  <si>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</si>
  <si>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</si>
  <si>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</si>
  <si>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</si>
  <si>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</si>
  <si>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</si>
  <si>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</si>
  <si>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</si>
  <si>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</si>
  <si>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</si>
  <si>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</si>
  <si>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</si>
  <si>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</si>
  <si>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</si>
  <si>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</si>
  <si>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</si>
  <si>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</si>
  <si>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</si>
  <si>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</si>
  <si>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</si>
  <si>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</si>
  <si>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</si>
  <si>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</si>
  <si>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</si>
  <si>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</si>
  <si>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</si>
  <si>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</si>
  <si>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</si>
  <si>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</si>
  <si>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</si>
  <si>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</si>
  <si>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</si>
  <si>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</si>
  <si>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</si>
  <si>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</si>
  <si>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</si>
  <si>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</si>
  <si>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</si>
  <si>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</si>
  <si>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</si>
  <si>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</si>
  <si>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</si>
  <si>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</si>
  <si>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</si>
  <si>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</si>
  <si>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</si>
  <si>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</si>
  <si>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</si>
  <si>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</si>
  <si>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</si>
  <si>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</si>
  <si>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</si>
  <si>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</si>
  <si>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</si>
  <si>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</si>
  <si>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</si>
  <si>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</si>
  <si>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</si>
  <si>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</si>
  <si>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</si>
  <si>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</si>
  <si>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</si>
  <si>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</si>
  <si>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</si>
  <si>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</si>
  <si>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</si>
  <si>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</si>
  <si>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</si>
  <si>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</si>
  <si>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</si>
  <si>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</si>
  <si>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</si>
  <si>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</si>
  <si>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</si>
  <si>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</si>
  <si>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</si>
  <si>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</si>
  <si>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</si>
  <si>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</si>
  <si>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</si>
  <si>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</si>
  <si>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</si>
  <si>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</si>
  <si>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</si>
  <si>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</si>
  <si>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</si>
  <si>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</si>
  <si>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</si>
  <si>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</si>
  <si>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</si>
  <si>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</si>
  <si>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</si>
  <si>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</si>
  <si>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</si>
  <si>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</si>
  <si>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</si>
  <si>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</si>
  <si>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</si>
  <si>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</si>
  <si>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</si>
  <si>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</si>
  <si>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</si>
  <si>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</si>
  <si>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</si>
  <si>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</si>
  <si>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</si>
  <si>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</si>
  <si>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</si>
  <si>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</si>
  <si>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</si>
  <si>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</si>
  <si>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</si>
  <si>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</si>
  <si>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</si>
  <si>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</si>
  <si>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</si>
  <si>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</si>
  <si>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</si>
  <si>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</si>
  <si>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</si>
  <si>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</si>
  <si>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</si>
  <si>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</si>
  <si>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</si>
  <si>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</si>
  <si>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</si>
  <si>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</si>
  <si>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</si>
  <si>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</si>
  <si>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</si>
  <si>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</si>
  <si>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</si>
  <si>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</si>
  <si>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</si>
  <si>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</si>
  <si>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</si>
  <si>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</si>
  <si>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</si>
  <si>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</si>
  <si>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</si>
  <si>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</si>
  <si>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</si>
  <si>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</si>
  <si>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</si>
  <si>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</si>
  <si>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</si>
  <si>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</si>
  <si>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</si>
  <si>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</si>
  <si>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</si>
  <si>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</si>
  <si>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</si>
  <si>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</si>
  <si>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</si>
  <si>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</si>
  <si>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</si>
  <si>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</si>
  <si>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</si>
  <si>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</si>
  <si>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</si>
  <si>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</si>
  <si>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</si>
  <si>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</si>
  <si>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</si>
  <si>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</si>
  <si>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</si>
  <si>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</si>
  <si>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</si>
  <si>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</si>
  <si>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</si>
  <si>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</si>
  <si>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</si>
  <si>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</si>
  <si>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</si>
  <si>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</si>
  <si>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</si>
  <si>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</si>
  <si>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</si>
  <si>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</si>
  <si>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</si>
  <si>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</si>
  <si>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</si>
  <si>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</si>
  <si>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</si>
  <si>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</si>
  <si>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</si>
  <si>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</si>
  <si>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</si>
  <si>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</si>
  <si>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</si>
  <si>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</si>
  <si>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</si>
  <si>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</si>
  <si>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</si>
  <si>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</si>
  <si>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</si>
  <si>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</si>
  <si>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</si>
  <si>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</si>
  <si>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</si>
  <si>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</si>
  <si>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</si>
  <si>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</si>
  <si>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</si>
  <si>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</si>
  <si>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</si>
  <si>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</si>
  <si>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</si>
  <si>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</si>
  <si>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</si>
  <si>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</si>
  <si>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</si>
  <si>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</si>
  <si>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</si>
  <si>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</si>
  <si>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</si>
  <si>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</si>
  <si>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</si>
  <si>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</si>
  <si>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</si>
  <si>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</si>
  <si>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</si>
  <si>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</si>
  <si>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</si>
  <si>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</si>
  <si>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</si>
  <si>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</si>
  <si>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</si>
  <si>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</si>
  <si>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</si>
  <si>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</si>
  <si>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</si>
  <si>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</si>
  <si>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</si>
  <si>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</si>
  <si>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</si>
  <si>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</si>
  <si>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</si>
  <si>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</si>
  <si>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</si>
  <si>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</si>
  <si>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</si>
  <si>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</si>
  <si>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</si>
  <si>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</si>
  <si>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</si>
  <si>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</si>
  <si>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</si>
  <si>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</si>
  <si>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</si>
  <si>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</si>
  <si>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</si>
  <si>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</si>
  <si>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</si>
  <si>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</si>
  <si>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</si>
  <si>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</si>
  <si>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</si>
  <si>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</si>
  <si>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</si>
  <si>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</si>
  <si>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</si>
  <si>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</si>
  <si>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</si>
  <si>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</si>
  <si>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</si>
  <si>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</si>
  <si>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</si>
  <si>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</si>
  <si>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</si>
  <si>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</si>
  <si>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</si>
  <si>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</si>
  <si>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</si>
  <si>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</si>
  <si>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</si>
  <si>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</si>
  <si>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</si>
  <si>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</si>
  <si>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</si>
  <si>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</si>
  <si>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</si>
  <si>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</si>
  <si>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</si>
  <si>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</si>
  <si>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</si>
  <si>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</si>
  <si>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</si>
  <si>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</si>
  <si>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</si>
  <si>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</si>
  <si>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</si>
  <si>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</si>
  <si>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</si>
  <si>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</si>
  <si>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</si>
  <si>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</si>
  <si>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</si>
  <si>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</si>
  <si>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</si>
  <si>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</si>
  <si>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</si>
  <si>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</si>
  <si>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</si>
  <si>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</si>
  <si>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</si>
  <si>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</si>
  <si>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</si>
  <si>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</si>
  <si>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</si>
  <si>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</si>
  <si>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</si>
  <si>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</si>
  <si>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</si>
  <si>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</si>
  <si>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</si>
  <si>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</si>
  <si>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</si>
  <si>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</si>
  <si>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</si>
  <si>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</si>
  <si>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</si>
  <si>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</si>
  <si>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</si>
  <si>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</si>
  <si>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</si>
  <si>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</si>
  <si>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</si>
  <si>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</si>
  <si>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</si>
  <si>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</si>
  <si>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</si>
  <si>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</si>
  <si>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</si>
  <si>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</si>
  <si>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</si>
  <si>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</si>
  <si>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</si>
  <si>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</si>
  <si>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</si>
  <si>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</si>
  <si>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</si>
  <si>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</si>
  <si>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</si>
  <si>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</si>
  <si>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</si>
  <si>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</si>
  <si>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</si>
  <si>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</si>
  <si>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</si>
  <si>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</si>
  <si>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</si>
  <si>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</si>
  <si>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</si>
  <si>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</si>
  <si>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</si>
  <si>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</si>
  <si>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</si>
  <si>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</si>
  <si>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</si>
  <si>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</si>
  <si>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</si>
  <si>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</si>
  <si>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</si>
  <si>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</si>
  <si>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</si>
  <si>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</si>
  <si>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</si>
  <si>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</si>
  <si>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</si>
  <si>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</si>
  <si>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</si>
  <si>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</si>
  <si>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</si>
  <si>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</si>
  <si>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</si>
  <si>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</si>
  <si>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</si>
  <si>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</si>
  <si>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</si>
  <si>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</si>
  <si>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</si>
  <si>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</si>
  <si>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</si>
  <si>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</si>
  <si>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</si>
  <si>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</si>
  <si>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</si>
  <si>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</si>
  <si>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</si>
  <si>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</si>
  <si>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</si>
  <si>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</si>
  <si>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</si>
  <si>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</si>
  <si>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</si>
  <si>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</si>
  <si>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</si>
  <si>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</si>
  <si>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</si>
  <si>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</si>
  <si>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</si>
  <si>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</si>
  <si>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</si>
  <si>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</si>
  <si>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</si>
  <si>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</si>
  <si>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</si>
  <si>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</si>
  <si>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</si>
  <si>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</si>
  <si>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</si>
  <si>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</si>
  <si>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</si>
  <si>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</si>
  <si>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</si>
  <si>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</si>
  <si>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</si>
  <si>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</si>
  <si>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</si>
  <si>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</si>
  <si>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</si>
  <si>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</si>
  <si>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</si>
  <si>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</si>
  <si>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</si>
  <si>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</si>
  <si>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</si>
  <si>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</si>
  <si>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</si>
  <si>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</si>
  <si>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</si>
  <si>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</si>
  <si>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</si>
  <si>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</si>
  <si>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</si>
  <si>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</si>
  <si>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</si>
  <si>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</si>
  <si>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</si>
  <si>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</si>
  <si>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</si>
  <si>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</si>
  <si>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</si>
  <si>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</si>
  <si>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</si>
  <si>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</si>
  <si>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</si>
  <si>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</si>
  <si>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</si>
  <si>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</si>
  <si>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</si>
  <si>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</si>
  <si>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</si>
  <si>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</si>
  <si>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</si>
  <si>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</si>
  <si>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</si>
  <si>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</si>
  <si>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</si>
  <si>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</si>
  <si>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</si>
  <si>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</si>
  <si>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</si>
  <si>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</si>
  <si>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</si>
  <si>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</si>
  <si>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</si>
  <si>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</si>
  <si>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</si>
  <si>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</si>
  <si>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</si>
  <si>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</si>
  <si>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</si>
  <si>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</si>
  <si>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</si>
  <si>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</si>
  <si>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</si>
  <si>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</si>
  <si>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</si>
  <si>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</si>
  <si>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</si>
  <si>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</si>
  <si>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</si>
  <si>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</si>
  <si>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</si>
  <si>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</si>
  <si>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</si>
  <si>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</si>
  <si>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</si>
  <si>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</si>
  <si>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</si>
  <si>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</si>
  <si>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</si>
  <si>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</si>
  <si>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</si>
  <si>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</si>
  <si>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</si>
  <si>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</si>
  <si>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</si>
  <si>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</si>
  <si>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</si>
  <si>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</si>
  <si>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</si>
  <si>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</si>
  <si>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</si>
  <si>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</si>
  <si>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</si>
  <si>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</si>
  <si>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</si>
  <si>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</si>
  <si>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</si>
  <si>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</si>
  <si>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</si>
  <si>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</si>
  <si>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</si>
  <si>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</si>
  <si>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</si>
  <si>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</si>
  <si>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</si>
  <si>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</si>
  <si>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</si>
  <si>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</si>
  <si>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</si>
  <si>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</si>
  <si>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</si>
  <si>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</si>
  <si>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</si>
  <si>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</si>
  <si>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</si>
  <si>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</si>
  <si>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</si>
  <si>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</si>
  <si>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</si>
  <si>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</si>
  <si>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</si>
  <si>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</si>
  <si>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</si>
  <si>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</si>
  <si>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</si>
  <si>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</si>
  <si>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</si>
  <si>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</si>
  <si>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</si>
  <si>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</si>
  <si>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</si>
  <si>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</si>
  <si>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</si>
  <si>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</si>
  <si>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</si>
  <si>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</si>
  <si>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</si>
  <si>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</si>
  <si>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</si>
  <si>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</si>
  <si>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</si>
  <si>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</si>
  <si>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</si>
  <si>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</si>
  <si>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</si>
  <si>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</si>
  <si>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</si>
  <si>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</si>
  <si>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</si>
  <si>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</si>
  <si>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</si>
  <si>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</si>
  <si>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</si>
  <si>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</si>
  <si>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</si>
  <si>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</si>
  <si>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</si>
  <si>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</si>
  <si>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</si>
  <si>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</si>
  <si>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</si>
  <si>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</si>
  <si>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</si>
  <si>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</si>
  <si>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</si>
  <si>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</si>
  <si>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</si>
  <si>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</si>
  <si>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</si>
  <si>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</si>
  <si>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</si>
  <si>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</si>
  <si>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</si>
  <si>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</si>
  <si>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</si>
  <si>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</si>
  <si>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</si>
  <si>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</si>
  <si>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</si>
  <si>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</si>
  <si>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</si>
  <si>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</si>
  <si>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</si>
  <si>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</si>
  <si>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</si>
  <si>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</si>
  <si>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</si>
  <si>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</si>
  <si>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</si>
  <si>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</si>
  <si>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</si>
  <si>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</si>
  <si>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</si>
  <si>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</si>
  <si>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</si>
  <si>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</si>
  <si>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</si>
  <si>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</si>
  <si>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</si>
  <si>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</si>
  <si>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</si>
  <si>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</si>
  <si>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</si>
  <si>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</si>
  <si>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</si>
  <si>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</si>
  <si>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</si>
  <si>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</si>
  <si>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</si>
  <si>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</si>
  <si>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</si>
  <si>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</si>
  <si>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</si>
  <si>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</si>
  <si>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</si>
  <si>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</si>
  <si>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</si>
  <si>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</si>
  <si>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</si>
  <si>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</si>
  <si>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</si>
  <si>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</si>
  <si>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</si>
  <si>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</si>
  <si>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</si>
  <si>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</si>
  <si>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</si>
  <si>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</si>
  <si>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</si>
  <si>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</si>
  <si>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</si>
  <si>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</si>
  <si>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</si>
  <si>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</si>
  <si>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</si>
  <si>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</si>
  <si>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</si>
  <si>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</si>
  <si>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</si>
  <si>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</si>
  <si>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</si>
  <si>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</si>
  <si>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</si>
  <si>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</si>
  <si>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</si>
  <si>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</si>
  <si>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</si>
  <si>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</si>
  <si>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</si>
  <si>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</si>
  <si>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</si>
  <si>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</si>
  <si>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</si>
  <si>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</si>
  <si>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</si>
  <si>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</si>
  <si>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</si>
  <si>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</si>
  <si>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</si>
  <si>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</si>
  <si>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</si>
  <si>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</si>
  <si>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</si>
  <si>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</si>
  <si>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</si>
  <si>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</si>
  <si>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</si>
  <si>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</si>
  <si>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</si>
  <si>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</si>
  <si>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</si>
  <si>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</si>
  <si>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</si>
  <si>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</si>
  <si>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</si>
  <si>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</si>
  <si>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</si>
  <si>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</si>
  <si>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</si>
  <si>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</si>
  <si>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</si>
  <si>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</si>
  <si>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</si>
  <si>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</si>
  <si>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</si>
  <si>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</si>
  <si>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</si>
  <si>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</si>
  <si>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</si>
  <si>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</si>
  <si>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</si>
  <si>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</si>
  <si>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</si>
  <si>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</si>
  <si>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</si>
  <si>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</si>
  <si>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</si>
  <si>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</si>
  <si>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</si>
  <si>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</si>
  <si>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</si>
  <si>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</si>
  <si>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</si>
  <si>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</si>
  <si>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</si>
  <si>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</si>
  <si>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</si>
  <si>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</si>
  <si>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</si>
  <si>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</si>
  <si>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</si>
  <si>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</si>
  <si>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</si>
  <si>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</si>
  <si>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</si>
  <si>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</si>
  <si>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</si>
  <si>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</si>
  <si>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</si>
  <si>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</si>
  <si>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</si>
  <si>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</si>
  <si>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</si>
  <si>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</si>
  <si>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</si>
  <si>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</si>
  <si>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</si>
  <si>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</si>
  <si>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</si>
  <si>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</si>
  <si>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</si>
  <si>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</si>
  <si>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</si>
  <si>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</si>
  <si>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</si>
  <si>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</si>
  <si>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</si>
  <si>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</si>
  <si>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</si>
  <si>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</si>
  <si>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</si>
  <si>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</si>
  <si>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</si>
  <si>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</si>
  <si>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</si>
  <si>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</si>
  <si>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</si>
  <si>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</si>
  <si>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</si>
  <si>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</si>
  <si>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</si>
  <si>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</si>
  <si>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</si>
  <si>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</si>
  <si>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</si>
  <si>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</si>
  <si>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</si>
  <si>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</si>
  <si>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</si>
  <si>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</si>
  <si>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</si>
  <si>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</si>
  <si>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</si>
  <si>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</si>
  <si>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</si>
  <si>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</si>
  <si>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</si>
  <si>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</si>
  <si>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</si>
  <si>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</si>
  <si>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</si>
  <si>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</si>
  <si>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</si>
  <si>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</si>
  <si>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</si>
  <si>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</si>
  <si>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</si>
  <si>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</si>
  <si>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</si>
  <si>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</si>
  <si>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</si>
  <si>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</si>
  <si>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</si>
  <si>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</si>
  <si>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</si>
  <si>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</si>
  <si>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</si>
  <si>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</si>
  <si>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</si>
  <si>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</si>
  <si>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</si>
  <si>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</si>
  <si>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</si>
  <si>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</si>
  <si>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</si>
  <si>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</si>
  <si>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</si>
  <si>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</si>
  <si>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</si>
  <si>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</si>
  <si>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</si>
  <si>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</si>
  <si>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</si>
  <si>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</si>
  <si>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</si>
  <si>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</si>
  <si>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</si>
  <si>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</si>
  <si>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</si>
  <si>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</si>
  <si>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</si>
  <si>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</si>
  <si>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</si>
  <si>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</si>
  <si>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</si>
  <si>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</si>
  <si>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</si>
  <si>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</si>
  <si>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</si>
  <si>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</si>
  <si>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</si>
  <si>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</si>
  <si>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</si>
  <si>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</si>
  <si>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</si>
  <si>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</si>
  <si>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</si>
  <si>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</si>
  <si>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</si>
  <si>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</si>
  <si>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</si>
  <si>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</si>
  <si>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</si>
  <si>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</si>
  <si>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</si>
  <si>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</si>
  <si>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</si>
  <si>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</si>
  <si>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</si>
  <si>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</si>
  <si>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</si>
  <si>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</si>
  <si>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</si>
  <si>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</si>
  <si>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</si>
  <si>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</si>
  <si>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</si>
  <si>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</si>
  <si>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</si>
  <si>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</si>
  <si>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</si>
  <si>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</si>
  <si>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</si>
  <si>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</si>
  <si>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</si>
  <si>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</si>
  <si>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</si>
  <si>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</si>
  <si>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</si>
  <si>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</si>
  <si>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</si>
  <si>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</si>
  <si>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</si>
  <si>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</si>
  <si>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</si>
  <si>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</si>
  <si>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</si>
  <si>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</si>
  <si>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</si>
  <si>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</si>
  <si>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</si>
  <si>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</si>
  <si>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</si>
  <si>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</si>
  <si>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</si>
  <si>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</si>
  <si>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</si>
  <si>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</si>
  <si>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</si>
  <si>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</si>
  <si>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</si>
  <si>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</si>
  <si>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</si>
  <si>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</si>
  <si>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</si>
  <si>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</si>
  <si>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</si>
  <si>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</si>
  <si>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</si>
  <si>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</si>
  <si>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</si>
  <si>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</si>
  <si>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</si>
  <si>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</si>
  <si>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</si>
  <si>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</si>
  <si>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</si>
  <si>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</si>
  <si>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</si>
  <si>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</si>
  <si>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</si>
  <si>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</si>
  <si>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</si>
  <si>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</si>
  <si>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</si>
  <si>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</si>
  <si>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</si>
  <si>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</si>
  <si>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</si>
  <si>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</si>
  <si>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</si>
  <si>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</si>
  <si>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</si>
  <si>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</si>
  <si>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</si>
  <si>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</si>
  <si>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</si>
  <si>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</si>
  <si>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</si>
  <si>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</si>
  <si>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</si>
  <si>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</si>
  <si>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</si>
  <si>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</si>
  <si>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</si>
  <si>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</si>
  <si>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</si>
  <si>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</si>
  <si>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</si>
  <si>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</si>
  <si>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</si>
  <si>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</si>
  <si>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</si>
  <si>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</si>
  <si>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</si>
  <si>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</si>
  <si>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</si>
  <si>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</si>
  <si>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</si>
  <si>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</si>
  <si>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</si>
  <si>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</si>
  <si>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</si>
  <si>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</si>
  <si>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</si>
  <si>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</si>
  <si>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</si>
  <si>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</si>
  <si>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</si>
  <si>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</si>
  <si>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</si>
  <si>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</si>
  <si>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</si>
  <si>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</si>
  <si>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</si>
  <si>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</si>
  <si>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</si>
  <si>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</si>
  <si>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</si>
  <si>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</si>
  <si>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</si>
  <si>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</si>
  <si>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</si>
  <si>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</si>
  <si>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</si>
  <si>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</si>
  <si>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</si>
  <si>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</si>
  <si>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</si>
  <si>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</si>
  <si>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</si>
  <si>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</si>
  <si>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</si>
  <si>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</si>
  <si>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</si>
  <si>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</si>
  <si>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</si>
  <si>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</si>
  <si>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</si>
  <si>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</si>
  <si>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</si>
  <si>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</si>
  <si>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</si>
  <si>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</si>
  <si>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</si>
  <si>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</si>
  <si>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</si>
  <si>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</si>
  <si>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</si>
  <si>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</si>
  <si>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</si>
  <si>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</si>
  <si>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</si>
  <si>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</si>
  <si>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</si>
  <si>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</si>
  <si>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</si>
  <si>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</si>
  <si>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</si>
  <si>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</si>
  <si>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</si>
  <si>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</si>
  <si>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</si>
  <si>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</si>
  <si>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</si>
  <si>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</si>
  <si>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</si>
  <si>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</si>
  <si>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</si>
  <si>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</si>
  <si>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</si>
  <si>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</si>
  <si>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</si>
  <si>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</si>
  <si>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</si>
  <si>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</si>
  <si>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</si>
  <si>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</si>
  <si>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</si>
  <si>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</si>
  <si>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</si>
  <si>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</si>
  <si>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</si>
  <si>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</si>
  <si>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</si>
  <si>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</si>
  <si>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</si>
  <si>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</si>
  <si>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</si>
  <si>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</si>
  <si>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</si>
  <si>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</si>
  <si>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</si>
  <si>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</si>
  <si>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</si>
  <si>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</si>
  <si>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</si>
  <si>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</si>
  <si>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</si>
  <si>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</si>
  <si>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</si>
  <si>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</si>
  <si>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</si>
  <si>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</si>
  <si>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</si>
  <si>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</si>
  <si>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</si>
  <si>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</si>
  <si>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</si>
  <si>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</si>
  <si>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</si>
  <si>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</si>
  <si>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</si>
  <si>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</si>
  <si>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</si>
  <si>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</si>
  <si>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</si>
  <si>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</si>
  <si>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</si>
  <si>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</si>
  <si>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</si>
  <si>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</si>
  <si>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</si>
  <si>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</si>
  <si>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</si>
  <si>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</si>
  <si>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</si>
  <si>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</si>
  <si>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</si>
  <si>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</si>
  <si>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</si>
  <si>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</si>
  <si>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</si>
  <si>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</si>
  <si>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</si>
  <si>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</si>
  <si>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</si>
  <si>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</si>
  <si>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</si>
  <si>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</si>
  <si>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</si>
  <si>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</si>
  <si>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</si>
  <si>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</si>
  <si>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</si>
  <si>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</si>
  <si>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</si>
  <si>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</si>
  <si>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</si>
  <si>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</si>
  <si>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</si>
  <si>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</si>
  <si>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</si>
  <si>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</si>
  <si>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</si>
  <si>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</si>
  <si>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</si>
  <si>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</si>
  <si>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</si>
  <si>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</si>
  <si>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</si>
  <si>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</si>
  <si>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</si>
  <si>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</si>
  <si>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</si>
  <si>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</si>
  <si>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</si>
  <si>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</si>
  <si>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</si>
  <si>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</si>
  <si>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</si>
  <si>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</si>
  <si>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</si>
  <si>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</si>
  <si>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</si>
  <si>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</si>
  <si>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</si>
  <si>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</si>
  <si>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</si>
  <si>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</si>
  <si>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</si>
  <si>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</si>
  <si>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</si>
  <si>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</si>
  <si>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</si>
  <si>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</si>
  <si>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</si>
  <si>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</si>
  <si>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</si>
  <si>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</si>
  <si>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</si>
  <si>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</si>
  <si>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</si>
  <si>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</si>
  <si>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</si>
  <si>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</si>
  <si>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</si>
  <si>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</si>
  <si>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</si>
  <si>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</si>
  <si>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</si>
  <si>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</si>
  <si>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</si>
  <si>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</si>
  <si>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</si>
  <si>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</si>
  <si>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</si>
  <si>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</si>
  <si>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</si>
  <si>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</si>
  <si>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</si>
  <si>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</si>
  <si>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</si>
  <si>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</si>
  <si>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</si>
  <si>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</si>
  <si>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</si>
  <si>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</si>
  <si>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</si>
  <si>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</si>
  <si>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</si>
  <si>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</si>
  <si>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</si>
  <si>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</si>
  <si>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</si>
  <si>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</si>
  <si>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</si>
  <si>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</si>
  <si>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</si>
  <si>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</si>
  <si>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</si>
  <si>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</si>
  <si>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</si>
  <si>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</si>
  <si>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</si>
  <si>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</si>
  <si>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</si>
  <si>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</si>
  <si>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</si>
  <si>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</si>
  <si>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</si>
  <si>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</si>
  <si>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</si>
  <si>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</si>
  <si>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</si>
  <si>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</si>
  <si>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</si>
  <si>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</si>
  <si>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</si>
  <si>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</si>
  <si>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</si>
  <si>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</si>
  <si>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</si>
  <si>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</si>
  <si>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</si>
  <si>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</si>
  <si>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</si>
  <si>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</si>
  <si>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</si>
  <si>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</si>
  <si>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</si>
  <si>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</si>
  <si>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</si>
  <si>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</si>
  <si>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</si>
  <si>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</si>
  <si>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</si>
  <si>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</si>
  <si>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</si>
  <si>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</si>
  <si>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</si>
  <si>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</si>
  <si>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</si>
  <si>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</si>
  <si>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</si>
  <si>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</si>
  <si>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</si>
  <si>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</si>
  <si>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</si>
  <si>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</si>
  <si>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</si>
  <si>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</si>
  <si>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</si>
  <si>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</si>
  <si>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</si>
  <si>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</si>
  <si>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</si>
  <si>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</si>
  <si>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</si>
  <si>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</si>
  <si>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</si>
  <si>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</si>
  <si>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</si>
  <si>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</si>
  <si>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</si>
  <si>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</si>
  <si>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</si>
  <si>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</si>
  <si>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</si>
  <si>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</si>
  <si>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</si>
  <si>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</si>
  <si>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</si>
  <si>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</si>
  <si>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</si>
  <si>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</si>
  <si>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</si>
  <si>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</si>
  <si>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</si>
  <si>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</si>
  <si>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</si>
  <si>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</si>
  <si>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</si>
  <si>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</si>
  <si>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</si>
  <si>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</si>
  <si>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</si>
  <si>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</si>
  <si>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</si>
  <si>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</si>
  <si>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</si>
  <si>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</si>
  <si>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</si>
  <si>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</si>
  <si>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</si>
  <si>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</si>
  <si>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</si>
  <si>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</si>
  <si>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</si>
  <si>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</si>
  <si>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</si>
  <si>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</si>
  <si>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</si>
  <si>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</si>
  <si>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</si>
  <si>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</si>
  <si>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</si>
  <si>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</si>
  <si>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</si>
  <si>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</si>
  <si>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</si>
  <si>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</si>
  <si>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</si>
  <si>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</si>
  <si>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</si>
  <si>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</si>
  <si>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</si>
  <si>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</si>
  <si>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</si>
  <si>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</si>
  <si>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</si>
  <si>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</si>
  <si>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</si>
  <si>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</si>
  <si>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</si>
  <si>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</si>
  <si>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</si>
  <si>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</si>
  <si>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</si>
  <si>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</si>
  <si>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</si>
  <si>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</si>
  <si>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</si>
  <si>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</si>
  <si>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</si>
  <si>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</si>
  <si>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</si>
  <si>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</si>
  <si>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</si>
  <si>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</si>
  <si>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</si>
  <si>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</si>
  <si>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</si>
  <si>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</si>
  <si>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</si>
  <si>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</si>
  <si>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</si>
  <si>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</si>
  <si>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</si>
  <si>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</si>
  <si>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</si>
  <si>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</si>
  <si>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</si>
  <si>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</si>
  <si>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</si>
  <si>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</si>
  <si>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</si>
  <si>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</si>
  <si>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</si>
  <si>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</si>
  <si>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</si>
  <si>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</si>
  <si>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</si>
  <si>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</si>
  <si>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</si>
  <si>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</si>
  <si>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</si>
  <si>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</si>
  <si>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</si>
  <si>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</si>
  <si>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</si>
  <si>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</si>
  <si>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</si>
  <si>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</si>
  <si>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</si>
  <si>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</si>
  <si>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</si>
  <si>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</si>
  <si>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</si>
  <si>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</si>
  <si>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</si>
  <si>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</si>
  <si>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</si>
  <si>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</si>
  <si>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</si>
  <si>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</si>
  <si>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</si>
  <si>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</si>
  <si>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</si>
  <si>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</si>
  <si>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</si>
  <si>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</si>
  <si>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</si>
  <si>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</si>
  <si>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</si>
  <si>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</si>
  <si>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</si>
  <si>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</si>
  <si>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</si>
  <si>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</si>
  <si>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</si>
  <si>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</si>
  <si>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</si>
  <si>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</si>
  <si>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</si>
  <si>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</si>
  <si>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</si>
  <si>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</si>
  <si>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</si>
  <si>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</si>
  <si>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</si>
  <si>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</si>
  <si>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</si>
  <si>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</si>
  <si>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</si>
  <si>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</si>
  <si>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</si>
  <si>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</si>
  <si>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</si>
  <si>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</si>
  <si>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</si>
  <si>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</si>
  <si>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</si>
  <si>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</si>
  <si>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</si>
  <si>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</si>
  <si>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</si>
  <si>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</si>
  <si>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</si>
  <si>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</si>
  <si>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</si>
  <si>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</si>
  <si>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</si>
  <si>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</si>
  <si>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</si>
  <si>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</si>
  <si>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</si>
  <si>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</si>
  <si>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</si>
  <si>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</si>
  <si>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</si>
  <si>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</si>
  <si>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</si>
  <si>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</si>
  <si>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</si>
  <si>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</si>
  <si>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</si>
  <si>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</si>
  <si>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</si>
  <si>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</si>
  <si>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</si>
  <si>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</si>
  <si>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</si>
  <si>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</si>
  <si>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</si>
  <si>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</si>
  <si>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</si>
  <si>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</si>
  <si>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</si>
  <si>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</si>
  <si>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</si>
  <si>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</si>
  <si>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</si>
  <si>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</si>
  <si>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</si>
  <si>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</si>
  <si>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</si>
  <si>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</si>
  <si>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</si>
  <si>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</si>
  <si>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</si>
  <si>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</si>
  <si>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</si>
  <si>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</si>
  <si>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</si>
  <si>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</si>
  <si>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</si>
  <si>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</si>
  <si>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</si>
  <si>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</si>
  <si>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</si>
  <si>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</si>
  <si>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</si>
  <si>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</si>
  <si>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</si>
  <si>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</si>
  <si>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</si>
  <si>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</si>
  <si>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</si>
  <si>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</si>
  <si>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</si>
  <si>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</si>
  <si>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</si>
  <si>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</si>
  <si>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</si>
  <si>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</si>
  <si>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</si>
  <si>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</si>
  <si>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</si>
  <si>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</si>
  <si>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</si>
  <si>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</si>
  <si>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</si>
  <si>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</si>
  <si>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</si>
  <si>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</si>
  <si>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</si>
  <si>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</si>
  <si>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</si>
  <si>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</si>
  <si>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</si>
  <si>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</si>
  <si>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</si>
  <si>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</si>
  <si>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</si>
  <si>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</si>
  <si>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</si>
  <si>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</si>
  <si>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</si>
  <si>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</si>
  <si>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</si>
  <si>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</si>
  <si>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</si>
  <si>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</si>
  <si>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</si>
  <si>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</si>
  <si>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</si>
  <si>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</si>
  <si>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</si>
  <si>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</si>
  <si>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</si>
  <si>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</si>
  <si>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</si>
  <si>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</si>
  <si>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</si>
  <si>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</si>
  <si>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</si>
  <si>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</si>
  <si>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</si>
  <si>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</si>
  <si>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</si>
  <si>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</si>
  <si>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</si>
  <si>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</si>
  <si>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</si>
  <si>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</si>
  <si>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</si>
  <si>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</si>
  <si>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</si>
  <si>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</si>
  <si>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</si>
  <si>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</si>
  <si>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</si>
  <si>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</si>
  <si>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</si>
  <si>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</si>
  <si>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</si>
  <si>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</si>
  <si>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</si>
  <si>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</si>
  <si>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</si>
  <si>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</si>
  <si>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</si>
  <si>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</si>
  <si>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</si>
  <si>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</si>
  <si>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</si>
  <si>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</si>
  <si>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</si>
  <si>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</si>
  <si>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</si>
  <si>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</si>
  <si>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</si>
  <si>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</si>
  <si>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</si>
  <si>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</si>
  <si>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</si>
  <si>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</si>
  <si>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</si>
  <si>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</si>
  <si>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</si>
  <si>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</si>
  <si>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</si>
  <si>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</si>
  <si>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</si>
  <si>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</si>
  <si>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</si>
  <si>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</si>
  <si>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</si>
  <si>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</si>
  <si>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</si>
  <si>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</si>
  <si>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</si>
  <si>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</si>
  <si>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</si>
  <si>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</si>
  <si>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</si>
  <si>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</si>
  <si>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</si>
  <si>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</si>
  <si>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</si>
  <si>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</si>
  <si>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</si>
  <si>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</si>
  <si>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</si>
  <si>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</si>
  <si>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</si>
  <si>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</si>
  <si>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</si>
  <si>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</si>
  <si>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</si>
  <si>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</si>
  <si>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</si>
  <si>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</si>
  <si>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</si>
  <si>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</si>
  <si>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</si>
  <si>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</si>
  <si>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</si>
  <si>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</si>
  <si>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</si>
  <si>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</si>
  <si>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</si>
  <si>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</si>
  <si>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</si>
  <si>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</si>
  <si>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</si>
  <si>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</si>
  <si>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</si>
  <si>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</si>
  <si>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</si>
  <si>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</si>
  <si>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</si>
  <si>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</si>
  <si>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</si>
  <si>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</si>
  <si>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</si>
  <si>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</si>
  <si>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</si>
  <si>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</si>
  <si>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</si>
  <si>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</si>
  <si>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</si>
  <si>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</si>
  <si>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</si>
  <si>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</si>
  <si>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</si>
  <si>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</si>
  <si>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</si>
  <si>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</si>
  <si>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</si>
  <si>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</si>
  <si>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</si>
  <si>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</si>
  <si>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</si>
  <si>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</si>
  <si>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</si>
  <si>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</si>
  <si>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</si>
  <si>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</si>
  <si>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</si>
  <si>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</si>
  <si>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</si>
  <si>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</si>
  <si>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</si>
  <si>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</si>
  <si>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</si>
  <si>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</si>
  <si>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</si>
  <si>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</si>
  <si>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</si>
  <si>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</si>
  <si>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</si>
  <si>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</si>
  <si>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</si>
  <si>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</si>
  <si>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</si>
  <si>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</si>
  <si>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</si>
  <si>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</si>
  <si>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</si>
  <si>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</si>
  <si>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</si>
  <si>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</si>
  <si>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</si>
  <si>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</si>
  <si>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</si>
  <si>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</si>
  <si>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</si>
  <si>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</si>
  <si>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</si>
  <si>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</si>
  <si>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</si>
  <si>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</si>
  <si>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</si>
  <si>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</si>
  <si>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</si>
  <si>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</si>
  <si>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</si>
  <si>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</si>
  <si>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</si>
  <si>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</si>
  <si>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</si>
  <si>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</si>
  <si>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</si>
  <si>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</si>
  <si>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</si>
  <si>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</si>
  <si>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</si>
  <si>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</si>
  <si>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</si>
  <si>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</si>
  <si>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</si>
  <si>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</si>
  <si>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</si>
  <si>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</si>
  <si>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</si>
  <si>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</si>
  <si>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</si>
  <si>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</si>
  <si>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</si>
  <si>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</si>
  <si>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</si>
  <si>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</si>
  <si>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</si>
  <si>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</si>
  <si>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</si>
  <si>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</si>
  <si>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</si>
  <si>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</si>
  <si>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</si>
  <si>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</si>
  <si>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</si>
  <si>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</si>
  <si>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</si>
  <si>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</si>
  <si>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</si>
  <si>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</si>
  <si>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</si>
  <si>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</si>
  <si>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</si>
  <si>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</si>
  <si>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</si>
  <si>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</si>
  <si>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</si>
  <si>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</si>
  <si>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</si>
  <si>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</si>
  <si>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</si>
  <si>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</si>
  <si>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</si>
  <si>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</si>
  <si>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</si>
  <si>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</si>
  <si>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</si>
  <si>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</si>
  <si>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</si>
  <si>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</si>
  <si>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</si>
  <si>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</si>
  <si>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</si>
  <si>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</si>
  <si>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</si>
  <si>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</si>
  <si>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</si>
  <si>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</si>
  <si>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</si>
  <si>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</si>
  <si>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</si>
  <si>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</si>
  <si>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</si>
  <si>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</si>
  <si>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</si>
  <si>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</si>
  <si>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</si>
  <si>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</si>
  <si>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</si>
  <si>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</si>
  <si>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</si>
  <si>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</si>
  <si>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</si>
  <si>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</si>
  <si>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</si>
  <si>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</si>
  <si>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</si>
  <si>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</si>
  <si>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</si>
  <si>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</si>
  <si>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</si>
  <si>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</si>
  <si>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</si>
  <si>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</si>
  <si>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</si>
  <si>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</si>
  <si>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</si>
  <si>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</si>
  <si>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</si>
  <si>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</si>
  <si>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</si>
  <si>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</si>
  <si>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</si>
  <si>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</si>
  <si>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</si>
  <si>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</si>
  <si>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</si>
  <si>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</si>
  <si>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</si>
  <si>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</si>
  <si>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</si>
  <si>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</si>
  <si>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</si>
  <si>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</si>
  <si>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</si>
  <si>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</si>
  <si>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</si>
  <si>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</si>
  <si>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</si>
  <si>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</si>
  <si>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</si>
  <si>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</si>
  <si>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</si>
  <si>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</si>
  <si>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</si>
  <si>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</si>
  <si>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</si>
  <si>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</si>
  <si>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</si>
  <si>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</si>
  <si>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</si>
  <si>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</si>
  <si>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</si>
  <si>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</si>
  <si>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</si>
  <si>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</si>
  <si>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</si>
  <si>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</si>
  <si>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</si>
  <si>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</si>
  <si>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</si>
  <si>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</si>
  <si>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</si>
  <si>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</si>
  <si>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</si>
  <si>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</si>
  <si>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</si>
  <si>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</si>
  <si>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</si>
  <si>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</si>
  <si>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</si>
  <si>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</si>
  <si>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</si>
  <si>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</si>
  <si>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</si>
  <si>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</si>
  <si>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</si>
  <si>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</si>
  <si>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</si>
  <si>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</si>
  <si>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</si>
  <si>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</si>
  <si>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</si>
  <si>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</si>
  <si>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</si>
  <si>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</si>
  <si>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</si>
  <si>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</si>
  <si>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</si>
  <si>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</si>
  <si>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</si>
  <si>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</si>
  <si>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</si>
  <si>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</si>
  <si>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</si>
  <si>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</si>
  <si>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</si>
  <si>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</si>
  <si>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</si>
  <si>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</si>
  <si>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</si>
  <si>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</si>
  <si>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</si>
  <si>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</si>
  <si>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</si>
  <si>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</si>
  <si>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</si>
  <si>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</si>
  <si>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</si>
  <si>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</si>
  <si>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</si>
  <si>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</si>
  <si>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</si>
  <si>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</si>
  <si>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</si>
  <si>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</si>
  <si>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</si>
  <si>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</si>
  <si>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</si>
  <si>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</si>
  <si>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</si>
  <si>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</si>
  <si>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</si>
  <si>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</si>
  <si>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</si>
  <si>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</si>
  <si>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</si>
  <si>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</si>
  <si>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</si>
  <si>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</si>
  <si>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</si>
  <si>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</si>
  <si>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</si>
  <si>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</si>
  <si>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</si>
  <si>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</si>
  <si>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</si>
  <si>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</si>
  <si>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</si>
  <si>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</si>
  <si>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</si>
  <si>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</si>
  <si>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</si>
  <si>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</si>
  <si>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</si>
  <si>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</si>
  <si>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</si>
  <si>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</si>
  <si>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</si>
  <si>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</si>
  <si>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</si>
  <si>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</si>
  <si>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</si>
  <si>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</si>
  <si>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</si>
  <si>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</si>
  <si>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</si>
  <si>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</si>
  <si>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</si>
  <si>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</si>
  <si>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</si>
  <si>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</si>
  <si>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</si>
  <si>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</si>
  <si>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</si>
  <si>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</si>
  <si>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</si>
  <si>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</si>
  <si>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</si>
  <si>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</si>
  <si>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</si>
  <si>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</si>
  <si>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</si>
  <si>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</si>
  <si>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</si>
  <si>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</si>
  <si>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</si>
  <si>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</si>
  <si>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</si>
  <si>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</si>
  <si>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</si>
  <si>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</si>
  <si>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</si>
  <si>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</si>
  <si>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</si>
  <si>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</si>
  <si>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</si>
  <si>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</si>
  <si>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</si>
  <si>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</si>
  <si>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</si>
  <si>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</si>
  <si>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</si>
  <si>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</si>
  <si>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</si>
  <si>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</si>
  <si>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</si>
  <si>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</si>
  <si>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</si>
  <si>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</si>
  <si>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</si>
  <si>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</si>
  <si>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</si>
  <si>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</si>
  <si>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</si>
  <si>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</si>
  <si>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</si>
  <si>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</si>
  <si>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</si>
  <si>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</si>
  <si>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</si>
  <si>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</si>
  <si>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</si>
  <si>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</si>
  <si>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</si>
  <si>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</si>
  <si>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</si>
  <si>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</si>
  <si>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</si>
  <si>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</si>
  <si>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</si>
  <si>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</si>
  <si>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</si>
  <si>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</si>
  <si>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</si>
  <si>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</si>
  <si>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</si>
  <si>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</si>
  <si>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</si>
  <si>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</si>
  <si>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</si>
  <si>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</si>
  <si>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</si>
  <si>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</si>
  <si>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</si>
  <si>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</si>
  <si>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</si>
  <si>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</si>
  <si>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</si>
  <si>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</si>
  <si>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</si>
  <si>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</si>
  <si>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</si>
  <si>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</si>
  <si>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</si>
  <si>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</si>
  <si>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</si>
  <si>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</si>
  <si>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</si>
  <si>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</si>
  <si>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</si>
  <si>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</si>
  <si>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</si>
  <si>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</si>
  <si>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</si>
  <si>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</si>
  <si>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</si>
  <si>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</si>
  <si>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</si>
  <si>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</si>
  <si>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</si>
  <si>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</si>
  <si>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</si>
  <si>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</si>
  <si>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</si>
  <si>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</si>
  <si>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</si>
  <si>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</si>
  <si>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</si>
  <si>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</si>
  <si>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</si>
  <si>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</si>
  <si>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</si>
  <si>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</si>
  <si>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</si>
  <si>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</si>
  <si>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</si>
  <si>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</si>
  <si>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</si>
  <si>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</si>
  <si>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</si>
  <si>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</si>
  <si>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</si>
  <si>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</si>
  <si>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</si>
  <si>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</si>
  <si>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</si>
  <si>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</si>
  <si>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</si>
  <si>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</si>
  <si>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</si>
  <si>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</si>
  <si>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</si>
  <si>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</si>
  <si>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</si>
  <si>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</si>
  <si>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</si>
  <si>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</si>
  <si>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</si>
  <si>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</si>
  <si>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</si>
  <si>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</si>
  <si>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</si>
  <si>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</si>
  <si>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</si>
  <si>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</si>
  <si>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</si>
  <si>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</si>
  <si>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</si>
  <si>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</si>
  <si>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</si>
  <si>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</si>
  <si>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</si>
  <si>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</si>
  <si>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</si>
  <si>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</si>
  <si>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</si>
  <si>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</si>
  <si>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</si>
  <si>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</si>
  <si>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</si>
  <si>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</si>
  <si>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</si>
  <si>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</si>
  <si>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</si>
  <si>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</si>
  <si>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</si>
  <si>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</si>
  <si>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</si>
  <si>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</si>
  <si>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</si>
  <si>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</si>
  <si>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</si>
  <si>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</si>
  <si>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</si>
  <si>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</si>
  <si>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</si>
  <si>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</si>
  <si>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</si>
  <si>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</si>
  <si>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</si>
  <si>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</si>
  <si>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</si>
  <si>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</si>
  <si>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</si>
  <si>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</si>
  <si>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</si>
  <si>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</si>
  <si>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</si>
  <si>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</si>
  <si>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</si>
  <si>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</si>
  <si>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</si>
  <si>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</si>
  <si>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</si>
  <si>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</si>
  <si>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</si>
  <si>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</si>
  <si>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</si>
  <si>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</si>
  <si>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</si>
  <si>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</si>
  <si>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</si>
  <si>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</si>
  <si>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</si>
  <si>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</si>
  <si>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</si>
  <si>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</si>
  <si>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</si>
  <si>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</si>
  <si>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</si>
  <si>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</si>
  <si>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</si>
  <si>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</si>
  <si>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</si>
  <si>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</si>
  <si>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</si>
  <si>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</si>
  <si>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</si>
  <si>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</si>
  <si>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</si>
  <si>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</si>
  <si>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</si>
  <si>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</si>
  <si>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</si>
  <si>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</si>
  <si>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</si>
  <si>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</si>
  <si>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</si>
  <si>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</si>
  <si>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</si>
  <si>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</si>
  <si>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</si>
  <si>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</si>
  <si>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</si>
  <si>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</si>
  <si>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</si>
  <si>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</si>
  <si>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</si>
  <si>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</si>
  <si>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</si>
  <si>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</si>
  <si>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</si>
  <si>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</si>
  <si>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</si>
  <si>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</si>
  <si>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</si>
  <si>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</si>
  <si>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</si>
  <si>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</si>
  <si>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</si>
  <si>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</si>
  <si>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</si>
  <si>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</si>
  <si>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</si>
  <si>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</si>
  <si>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</si>
  <si>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</si>
  <si>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</si>
  <si>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</si>
  <si>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</si>
  <si>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</si>
  <si>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</si>
  <si>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</si>
  <si>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</si>
  <si>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</si>
  <si>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</si>
  <si>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</si>
  <si>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</si>
  <si>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</si>
  <si>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</si>
  <si>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</si>
  <si>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</si>
  <si>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</si>
  <si>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</si>
  <si>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</si>
  <si>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</si>
  <si>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</si>
  <si>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</si>
  <si>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</si>
  <si>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</si>
  <si>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</si>
  <si>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</si>
  <si>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</si>
  <si>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</si>
  <si>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</si>
  <si>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</si>
  <si>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</si>
  <si>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</si>
  <si>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</si>
  <si>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</si>
  <si>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</si>
  <si>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</si>
  <si>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</si>
  <si>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</si>
  <si>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</si>
  <si>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</si>
  <si>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</si>
  <si>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</si>
  <si>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</si>
  <si>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</si>
  <si>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</si>
  <si>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</si>
  <si>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</si>
  <si>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</si>
  <si>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</si>
  <si>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</si>
  <si>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</si>
  <si>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</si>
  <si>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</si>
  <si>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</si>
  <si>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</si>
  <si>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</si>
  <si>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</si>
  <si>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</si>
  <si>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</si>
  <si>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</si>
  <si>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</si>
  <si>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</si>
  <si>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</si>
  <si>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</si>
  <si>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</si>
  <si>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</si>
  <si>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</si>
  <si>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</si>
  <si>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</si>
  <si>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</si>
  <si>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</si>
  <si>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</si>
  <si>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</si>
  <si>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</si>
  <si>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</si>
  <si>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</si>
  <si>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</si>
  <si>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</si>
  <si>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</si>
  <si>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</si>
  <si>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</si>
  <si>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</si>
  <si>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</si>
  <si>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</si>
  <si>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</si>
  <si>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</si>
  <si>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</si>
  <si>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</si>
  <si>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</si>
  <si>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</si>
  <si>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</si>
  <si>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</si>
  <si>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</si>
  <si>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</si>
  <si>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</si>
  <si>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</si>
  <si>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</si>
  <si>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</si>
  <si>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</si>
  <si>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</si>
  <si>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</si>
  <si>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</si>
  <si>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</si>
  <si>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</si>
  <si>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</si>
  <si>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</si>
  <si>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</si>
  <si>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</si>
  <si>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</si>
  <si>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</si>
  <si>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</si>
  <si>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</si>
  <si>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</si>
  <si>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</si>
  <si>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</si>
  <si>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</si>
  <si>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</si>
  <si>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</si>
  <si>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</si>
  <si>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</si>
  <si>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</si>
  <si>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</si>
  <si>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</si>
  <si>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</si>
  <si>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</si>
  <si>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</si>
  <si>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</si>
  <si>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</si>
  <si>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</si>
  <si>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</si>
  <si>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</si>
  <si>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</si>
  <si>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</si>
  <si>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</si>
  <si>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</si>
  <si>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</si>
  <si>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</si>
  <si>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</si>
  <si>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</si>
  <si>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</si>
  <si>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</si>
  <si>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</si>
  <si>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</si>
  <si>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</si>
  <si>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</si>
  <si>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</si>
  <si>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</si>
  <si>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</si>
  <si>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</si>
  <si>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</si>
  <si>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</si>
  <si>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</si>
  <si>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</si>
  <si>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</si>
  <si>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</si>
  <si>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</si>
  <si>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</si>
  <si>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</si>
  <si>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</si>
  <si>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</si>
  <si>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</si>
  <si>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</si>
  <si>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</si>
  <si>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</si>
  <si>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</si>
  <si>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</si>
  <si>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</si>
  <si>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</si>
  <si>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</si>
  <si>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</si>
  <si>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</si>
  <si>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</si>
  <si>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</si>
  <si>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</si>
  <si>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</si>
  <si>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</si>
  <si>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</si>
  <si>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</si>
  <si>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</si>
  <si>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</si>
  <si>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</si>
  <si>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</si>
  <si>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</si>
  <si>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</si>
  <si>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</si>
  <si>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</si>
  <si>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</si>
  <si>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</si>
  <si>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</si>
  <si>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</si>
  <si>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</si>
  <si>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</si>
  <si>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</si>
  <si>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</si>
  <si>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</si>
  <si>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</si>
  <si>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</si>
  <si>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</si>
  <si>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</si>
  <si>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</si>
  <si>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</si>
  <si>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</si>
  <si>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</si>
  <si>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</si>
  <si>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</si>
  <si>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</si>
  <si>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</si>
  <si>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</si>
  <si>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</si>
  <si>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</si>
  <si>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</si>
  <si>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</si>
  <si>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</si>
  <si>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</si>
  <si>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</si>
  <si>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</si>
  <si>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</si>
  <si>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</si>
  <si>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</si>
  <si>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</si>
  <si>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</si>
  <si>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</si>
  <si>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</si>
  <si>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</si>
  <si>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</si>
  <si>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</si>
  <si>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</si>
  <si>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</si>
  <si>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</si>
  <si>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</si>
  <si>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</si>
  <si>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</si>
  <si>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</si>
  <si>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</si>
  <si>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</si>
  <si>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</si>
  <si>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</si>
  <si>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</si>
  <si>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</si>
  <si>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</si>
  <si>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</si>
  <si>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</si>
  <si>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</si>
  <si>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</si>
  <si>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</si>
  <si>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</si>
  <si>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</si>
  <si>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</si>
  <si>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</si>
  <si>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</si>
  <si>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</si>
  <si>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</si>
  <si>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</si>
  <si>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</si>
  <si>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</si>
  <si>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</si>
  <si>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</si>
  <si>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</si>
  <si>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</si>
  <si>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</si>
  <si>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</si>
  <si>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</si>
  <si>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</si>
  <si>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</si>
  <si>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</si>
  <si>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</si>
  <si>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</si>
  <si>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</si>
  <si>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</si>
  <si>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</si>
  <si>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</si>
  <si>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</si>
  <si>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</si>
  <si>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</si>
  <si>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</si>
  <si>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</si>
  <si>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</si>
  <si>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</si>
  <si>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</si>
  <si>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</si>
  <si>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</si>
  <si>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</si>
  <si>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</si>
  <si>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</si>
  <si>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</si>
  <si>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</si>
  <si>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</si>
  <si>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</si>
  <si>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</si>
  <si>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</si>
  <si>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</si>
  <si>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</si>
  <si>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</si>
  <si>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</si>
  <si>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</si>
  <si>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</si>
  <si>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</si>
  <si>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</si>
  <si>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</si>
  <si>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</si>
  <si>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</si>
  <si>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</si>
  <si>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</si>
  <si>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</si>
  <si>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</si>
  <si>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</si>
  <si>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</si>
  <si>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</si>
  <si>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</si>
  <si>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</si>
  <si>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</si>
  <si>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</si>
  <si>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</si>
  <si>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</si>
  <si>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</si>
  <si>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</si>
  <si>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</si>
  <si>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</si>
  <si>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</si>
  <si>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</si>
  <si>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</si>
  <si>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</si>
  <si>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</si>
  <si>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</si>
  <si>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</si>
  <si>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</si>
  <si>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</si>
  <si>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</si>
  <si>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</si>
  <si>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</si>
  <si>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</si>
  <si>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</si>
  <si>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</si>
  <si>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</si>
  <si>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</si>
  <si>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</si>
  <si>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</si>
  <si>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</si>
  <si>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</si>
  <si>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</si>
  <si>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</si>
  <si>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</si>
  <si>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</si>
  <si>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</si>
  <si>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</si>
  <si>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</si>
  <si>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</si>
  <si>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</si>
  <si>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</si>
  <si>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</si>
  <si>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</si>
  <si>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</si>
  <si>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</si>
  <si>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</si>
  <si>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</si>
  <si>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</si>
  <si>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</si>
  <si>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</si>
  <si>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</si>
  <si>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</si>
  <si>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</si>
  <si>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</si>
  <si>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</si>
  <si>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</si>
  <si>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</si>
  <si>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</si>
  <si>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</si>
  <si>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</si>
  <si>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</si>
  <si>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</si>
  <si>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</si>
  <si>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</si>
  <si>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</si>
  <si>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</si>
  <si>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</si>
  <si>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</si>
  <si>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</si>
  <si>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</si>
  <si>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</si>
  <si>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</si>
  <si>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</si>
  <si>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</si>
  <si>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</si>
  <si>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</si>
  <si>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</si>
  <si>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</si>
  <si>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</si>
  <si>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</si>
  <si>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</si>
  <si>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</si>
  <si>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</si>
  <si>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</si>
  <si>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</si>
  <si>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</si>
  <si>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</si>
  <si>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</si>
  <si>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</si>
  <si>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</si>
  <si>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</si>
  <si>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</si>
  <si>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</si>
  <si>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</si>
  <si>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</si>
  <si>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</si>
  <si>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</si>
  <si>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</si>
  <si>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</si>
  <si>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</si>
  <si>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</si>
  <si>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</si>
  <si>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</si>
  <si>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</si>
  <si>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</si>
  <si>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</si>
  <si>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</si>
  <si>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</si>
  <si>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</si>
  <si>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</si>
  <si>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</si>
  <si>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</si>
  <si>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</si>
  <si>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</si>
  <si>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</si>
  <si>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</si>
  <si>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</si>
  <si>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</si>
  <si>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</si>
  <si>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</si>
  <si>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</si>
  <si>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</si>
  <si>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</si>
  <si>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</si>
  <si>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</si>
  <si>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</si>
  <si>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</si>
  <si>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</si>
  <si>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</si>
  <si>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</si>
  <si>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</si>
  <si>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</si>
  <si>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</si>
  <si>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</si>
  <si>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</si>
  <si>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</si>
  <si>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</si>
  <si>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</si>
  <si>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</si>
  <si>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</si>
  <si>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</si>
  <si>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</si>
  <si>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</si>
  <si>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</si>
  <si>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</si>
  <si>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</si>
  <si>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</si>
  <si>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</si>
  <si>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</si>
  <si>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</si>
  <si>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</si>
  <si>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</si>
  <si>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</si>
  <si>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</si>
  <si>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</si>
  <si>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</si>
  <si>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</si>
  <si>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</si>
  <si>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</si>
  <si>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</si>
  <si>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</si>
  <si>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</si>
  <si>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</si>
  <si>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</si>
  <si>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</si>
  <si>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</si>
  <si>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</si>
  <si>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</si>
  <si>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</si>
  <si>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</si>
  <si>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</si>
  <si>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</si>
  <si>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</si>
  <si>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</si>
  <si>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</si>
  <si>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</si>
  <si>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</si>
  <si>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</si>
  <si>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</si>
  <si>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</si>
  <si>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</si>
  <si>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</si>
  <si>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</si>
  <si>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</si>
  <si>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</si>
  <si>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</si>
  <si>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</si>
  <si>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</si>
  <si>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</si>
  <si>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</si>
  <si>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</si>
  <si>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</si>
  <si>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</si>
  <si>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</si>
  <si>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</si>
  <si>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</si>
  <si>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</si>
  <si>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</si>
  <si>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</si>
  <si>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</si>
  <si>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</si>
  <si>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</si>
  <si>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</si>
  <si>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</si>
  <si>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</si>
  <si>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</si>
  <si>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</si>
  <si>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</si>
  <si>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</si>
  <si>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</si>
  <si>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</si>
  <si>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</si>
  <si>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</si>
  <si>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</si>
  <si>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</si>
  <si>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</si>
  <si>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</si>
  <si>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</si>
  <si>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</si>
  <si>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</si>
  <si>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</si>
  <si>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</si>
  <si>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</si>
  <si>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</si>
  <si>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</si>
  <si>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</si>
  <si>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Brackets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</si>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</sst>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 indent="1"/>
    </xf>
    <xf numFmtId="0" fontId="1" fillId="0" borderId="0" xfId="0" applyFont="1"/>
    <xf numFmtId="166" fontId="0" fillId="0" borderId="0" xfId="1" applyNumberFormat="1" applyFont="1"/>
    <xf numFmtId="43" fontId="0" fillId="0" borderId="0" xfId="2" applyFont="1"/>
  </cellXfs>
  <cellStyles count="3">
    <cellStyle name="Comma" xfId="2" builtinId="3"/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15345581802274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C-4260-BD1F-C024215D37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C-4260-BD1F-C024215D37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C-4260-BD1F-C024215D37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8C-4260-BD1F-C024215D37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74641376"/>
        <c:axId val="2074625568"/>
      </c:barChart>
      <c:catAx>
        <c:axId val="20746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25568"/>
        <c:crosses val="autoZero"/>
        <c:auto val="1"/>
        <c:lblAlgn val="ctr"/>
        <c:lblOffset val="100"/>
        <c:noMultiLvlLbl val="0"/>
      </c:catAx>
      <c:valAx>
        <c:axId val="20746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5-43AF-BDC4-6401A784B2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35-43AF-BDC4-6401A784B2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35-43AF-BDC4-6401A784B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03040"/>
        <c:axId val="404506368"/>
      </c:barChart>
      <c:catAx>
        <c:axId val="4045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6368"/>
        <c:crosses val="autoZero"/>
        <c:auto val="1"/>
        <c:lblAlgn val="ctr"/>
        <c:lblOffset val="100"/>
        <c:noMultiLvlLbl val="0"/>
      </c:catAx>
      <c:valAx>
        <c:axId val="4045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D-4322-8BE5-19FF852850AD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D-4322-8BE5-19FF852850AD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D-4322-8BE5-19FF852850AD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D-4322-8BE5-19FF8528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71184"/>
        <c:axId val="649472016"/>
      </c:lineChart>
      <c:catAx>
        <c:axId val="6494711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2016"/>
        <c:crosses val="autoZero"/>
        <c:auto val="1"/>
        <c:lblAlgn val="ctr"/>
        <c:lblOffset val="100"/>
        <c:noMultiLvlLbl val="0"/>
      </c:catAx>
      <c:valAx>
        <c:axId val="649472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Theatre Outcomes Based on Launch Date</a:t>
            </a:r>
          </a:p>
        </c:rich>
      </c:tx>
      <c:layout>
        <c:manualLayout>
          <c:xMode val="edge"/>
          <c:yMode val="edge"/>
          <c:x val="0.25443044619422572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890784485272674"/>
          <c:w val="0.70569641294838148"/>
          <c:h val="0.55212088072324295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0-40BD-B17A-AB08F219A0F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0-40BD-B17A-AB08F219A0F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0-40BD-B17A-AB08F21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8080"/>
        <c:axId val="812618496"/>
      </c:lineChart>
      <c:catAx>
        <c:axId val="8126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496"/>
        <c:crosses val="autoZero"/>
        <c:auto val="1"/>
        <c:lblAlgn val="ctr"/>
        <c:lblOffset val="100"/>
        <c:noMultiLvlLbl val="0"/>
      </c:catAx>
      <c:valAx>
        <c:axId val="8126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_(* #,##0.00_);_(* \(#,##0.00\);_(* "-"??_);_(@_)</c:formatCode>
                <c:ptCount val="12"/>
                <c:pt idx="0">
                  <c:v>75.806451612903231</c:v>
                </c:pt>
                <c:pt idx="1">
                  <c:v>25.268817204301076</c:v>
                </c:pt>
                <c:pt idx="2">
                  <c:v>26.344086021505376</c:v>
                </c:pt>
                <c:pt idx="3">
                  <c:v>15.591397849462366</c:v>
                </c:pt>
                <c:pt idx="4">
                  <c:v>5.913978494623656</c:v>
                </c:pt>
                <c:pt idx="5">
                  <c:v>3.225806451612903</c:v>
                </c:pt>
                <c:pt idx="6">
                  <c:v>0.53763440860215062</c:v>
                </c:pt>
                <c:pt idx="7">
                  <c:v>1.0752688172043012</c:v>
                </c:pt>
                <c:pt idx="8">
                  <c:v>2.1505376344086025</c:v>
                </c:pt>
                <c:pt idx="9">
                  <c:v>1.0752688172043012</c:v>
                </c:pt>
                <c:pt idx="10">
                  <c:v>0</c:v>
                </c:pt>
                <c:pt idx="11">
                  <c:v>1.0752688172043012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5-4469-AAC7-73EEE9CC5D40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_(* #,##0.00_);_(* \(#,##0.00\);_(* "-"??_);_(@_)</c:formatCode>
                <c:ptCount val="12"/>
                <c:pt idx="0">
                  <c:v>24.193548387096776</c:v>
                </c:pt>
                <c:pt idx="1">
                  <c:v>9.67741935483871</c:v>
                </c:pt>
                <c:pt idx="2">
                  <c:v>18.817204301075268</c:v>
                </c:pt>
                <c:pt idx="3">
                  <c:v>10.75268817204301</c:v>
                </c:pt>
                <c:pt idx="4">
                  <c:v>4.838709677419355</c:v>
                </c:pt>
                <c:pt idx="5">
                  <c:v>5.376344086021505</c:v>
                </c:pt>
                <c:pt idx="6">
                  <c:v>1.0752688172043012</c:v>
                </c:pt>
                <c:pt idx="7">
                  <c:v>3.763440860215054</c:v>
                </c:pt>
                <c:pt idx="8">
                  <c:v>0.53763440860215062</c:v>
                </c:pt>
                <c:pt idx="9">
                  <c:v>0.53763440860215062</c:v>
                </c:pt>
                <c:pt idx="10">
                  <c:v>0.53763440860215062</c:v>
                </c:pt>
                <c:pt idx="11">
                  <c:v>7.5268817204301079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5-4469-AAC7-73EEE9CC5D40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5-4469-AAC7-73EEE9CC5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350064"/>
        <c:axId val="1016350896"/>
      </c:lineChart>
      <c:catAx>
        <c:axId val="10163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896"/>
        <c:crosses val="autoZero"/>
        <c:auto val="1"/>
        <c:lblAlgn val="ctr"/>
        <c:lblOffset val="100"/>
        <c:noMultiLvlLbl val="0"/>
      </c:catAx>
      <c:valAx>
        <c:axId val="10163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19050</xdr:rowOff>
    </xdr:from>
    <xdr:to>
      <xdr:col>10</xdr:col>
      <xdr:colOff>95250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DFF0C-AFE2-407E-BAE5-5685DEE6C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4</xdr:row>
      <xdr:rowOff>63500</xdr:rowOff>
    </xdr:from>
    <xdr:to>
      <xdr:col>10</xdr:col>
      <xdr:colOff>615950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899DA-E928-4049-9FB4-20A9E9F5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69850</xdr:rowOff>
    </xdr:from>
    <xdr:to>
      <xdr:col>13</xdr:col>
      <xdr:colOff>431800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2C49B-A067-49A6-B7D8-315969FEA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0</xdr:rowOff>
    </xdr:from>
    <xdr:to>
      <xdr:col>14</xdr:col>
      <xdr:colOff>190500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5087E-CD01-4255-A0AD-D16EC755E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13</xdr:row>
      <xdr:rowOff>82550</xdr:rowOff>
    </xdr:from>
    <xdr:to>
      <xdr:col>7</xdr:col>
      <xdr:colOff>104775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B45F3-01DE-4158-8A08-DF80B3DEC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5.690637384258" createdVersion="6" refreshedVersion="6" minRefreshableVersion="3" recordCount="4114" xr:uid="{504C81DB-1031-4141-8AE1-6897B6ACE2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7.062210648146" createdVersion="6" refreshedVersion="6" minRefreshableVersion="3" recordCount="4114" xr:uid="{38803235-DB29-491E-84A9-F03EA96FF1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8.385988078706" createdVersion="6" refreshedVersion="6" minRefreshableVersion="3" recordCount="4115" xr:uid="{DDBB0937-6CF4-4135-BD8D-7D542B7970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2E04-C5D4-4FD3-8470-5C4B771A0093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49CF-60DC-4926-B88F-37FDA376ED08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B3D0D-6550-48E1-895B-4DE31A002D32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F1319-6262-4825-B249-1E08B2875CA0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1" max="1" width="5.08984375" bestFit="1" customWidth="1"/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20" width="28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8383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IFERROR(ROUND(E67/L67,2),"N/A")</f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ref="P131:P194" si="11">IFERROR(ROUND(E131/L131,2),"N/A")</f>
        <v>N/A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ref="P195:P258" si="16">IFERROR(ROUND(E195/L195,2),"N/A")</f>
        <v>N/A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IFERROR(ROUND(E259/L259,2),"N/A")</f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IFERROR(ROUND(E323/L323,2),"N/A")</f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IFERROR(ROUND(E387/L387,2),"N/A")</f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IFERROR(ROUND(E451/L451,2),"N/A")</f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IFERROR(ROUND(E515/L515,2),"N/A")</f>
        <v>102.38</v>
      </c>
      <c r="Q515" s="11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1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1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1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1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1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1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1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1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IFERROR(ROUND(E579/L579,2),"N/A")</f>
        <v>10</v>
      </c>
      <c r="Q579" s="11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1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1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1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1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1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1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1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1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1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1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1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1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1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1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1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1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1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IFERROR(ROUND(E643/L643,2),"N/A")</f>
        <v>151.32</v>
      </c>
      <c r="Q643" s="11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1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IFERROR(ROUND(E707/L707,2),"N/A")</f>
        <v>195.4</v>
      </c>
      <c r="Q707" s="11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1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1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1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1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si="56"/>
        <v>N/A</v>
      </c>
      <c r="Q770" s="11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IFERROR(ROUND(E771/L771,2),"N/A")</f>
        <v>31.85</v>
      </c>
      <c r="Q771" s="1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IFERROR(ROUND(E835/L835,2),"N/A")</f>
        <v>148.78</v>
      </c>
      <c r="Q835" s="11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1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1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ref="P899:P962" si="71">IFERROR(ROUND(E899/L899,2),"N/A")</f>
        <v>N/A</v>
      </c>
      <c r="Q899" s="11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1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1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1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1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1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1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1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1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1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1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1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IFERROR(ROUND(E963/L963,2),"N/A")</f>
        <v>364.35</v>
      </c>
      <c r="Q963" s="11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1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IFERROR(ROUND(E1027/L1027,2),"N/A")</f>
        <v>71.849999999999994</v>
      </c>
      <c r="Q1027" s="11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1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1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1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1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1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1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1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1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1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1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1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1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1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1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1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IFERROR(ROUND(E1091/L1091,2),"N/A")</f>
        <v>23.96</v>
      </c>
      <c r="Q1091" s="1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1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1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1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1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1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1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1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1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1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1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1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IFERROR(ROUND(E1155/L1155,2),"N/A")</f>
        <v>50</v>
      </c>
      <c r="Q1155" s="11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1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1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1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1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1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IFERROR(ROUND(E1219/L1219,2),"N/A")</f>
        <v>148.57</v>
      </c>
      <c r="Q1219" s="11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1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1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1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1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1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1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IFERROR(ROUND(E1283/L1283,2),"N/A")</f>
        <v>104.73</v>
      </c>
      <c r="Q1283" s="11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1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1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1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IFERROR(ROUND(E1347/L1347,2),"N/A")</f>
        <v>53.57</v>
      </c>
      <c r="Q1347" s="11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ref="P1411:P1474" si="111">IFERROR(ROUND(E1411/L1411,2),"N/A")</f>
        <v>N/A</v>
      </c>
      <c r="Q1411" s="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1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1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1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1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1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1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1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1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1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1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1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1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1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1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1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IFERROR(ROUND(E1475/L1475,2),"N/A")</f>
        <v>38.46</v>
      </c>
      <c r="Q1475" s="11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1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1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1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1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1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IFERROR(ROUND(E1539/L1539,2),"N/A")</f>
        <v>96.38</v>
      </c>
      <c r="Q1539" s="11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1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1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1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1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1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1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1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1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1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1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1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1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1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IFERROR(ROUND(E1603/L1603,2),"N/A")</f>
        <v>48.33</v>
      </c>
      <c r="Q1603" s="11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IFERROR(ROUND(E1667/L1667,2),"N/A")</f>
        <v>44.96</v>
      </c>
      <c r="Q1667" s="11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1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1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1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1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1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1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1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1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ref="P1731:P1794" si="136">IFERROR(ROUND(E1731/L1731,2),"N/A")</f>
        <v>N/A</v>
      </c>
      <c r="Q1731" s="1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1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1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IFERROR(ROUND(E1795/L1795,2),"N/A")</f>
        <v>20</v>
      </c>
      <c r="Q1795" s="11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1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1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1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IFERROR(ROUND(E1859/L1859,2),"N/A")</f>
        <v>136.36000000000001</v>
      </c>
      <c r="Q1859" s="11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1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1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1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IFERROR(ROUND(E1923/L1923,2),"N/A")</f>
        <v>54</v>
      </c>
      <c r="Q1923" s="11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1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IFERROR(ROUND(E1987/L1987,2),"N/A")</f>
        <v>12.75</v>
      </c>
      <c r="Q1987" s="11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1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1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1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1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IFERROR(ROUND(E2051/L2051,2),"N/A")</f>
        <v>80.989999999999995</v>
      </c>
      <c r="Q2051" s="1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IFERROR(ROUND(E2115/L2115,2),"N/A")</f>
        <v>68.599999999999994</v>
      </c>
      <c r="Q2115" s="11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1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IFERROR(ROUND(E2179/L2179,2),"N/A")</f>
        <v>65.87</v>
      </c>
      <c r="Q2179" s="11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IFERROR(ROUND(E2243/L2243,2),"N/A")</f>
        <v>49.47</v>
      </c>
      <c r="Q2243" s="11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IFERROR(ROUND(E2307/L2307,2),"N/A")</f>
        <v>109.11</v>
      </c>
      <c r="Q2307" s="11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1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1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1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1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1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1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1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1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1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1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1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1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1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ref="P2371:P2434" si="186">IFERROR(ROUND(E2371/L2371,2),"N/A")</f>
        <v>N/A</v>
      </c>
      <c r="Q2371" s="1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1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1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1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1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1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1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1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1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1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1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1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1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1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1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ref="P2435:P2498" si="191">IFERROR(ROUND(E2435/L2435,2),"N/A")</f>
        <v>N/A</v>
      </c>
      <c r="Q2435" s="11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IFERROR(ROUND(E2499/L2499,2),"N/A")</f>
        <v>80.55</v>
      </c>
      <c r="Q2499" s="11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1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1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1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1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1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1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1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1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1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1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ref="P2563:P2626" si="201">IFERROR(ROUND(E2563/L2563,2),"N/A")</f>
        <v>N/A</v>
      </c>
      <c r="Q2563" s="11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1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1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1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1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1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1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1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1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1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1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IFERROR(ROUND(E2627/L2627,2),"N/A")</f>
        <v>27.58</v>
      </c>
      <c r="Q2627" s="11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1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1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1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IFERROR(ROUND(E2691/L2691,2),"N/A")</f>
        <v>1</v>
      </c>
      <c r="Q2691" s="1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1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1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1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IFERROR(ROUND(E2755/L2755,2),"N/A")</f>
        <v>47.5</v>
      </c>
      <c r="Q2755" s="11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1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1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1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1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1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IFERROR(ROUND(E2819/L2819,2),"N/A")</f>
        <v>23.64</v>
      </c>
      <c r="Q2819" s="11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1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1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1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1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1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1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1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1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1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1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ref="P2883:P2946" si="226">IFERROR(ROUND(E2883/L2883,2),"N/A")</f>
        <v>N/A</v>
      </c>
      <c r="Q2883" s="11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1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1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1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ref="P2947:P3010" si="231">IFERROR(ROUND(E2947/L2947,2),"N/A")</f>
        <v>N/A</v>
      </c>
      <c r="Q2947" s="11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1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1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1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IFERROR(ROUND(E3011/L3011,2),"N/A")</f>
        <v>233.9</v>
      </c>
      <c r="Q3011" s="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1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1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1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1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IFERROR(ROUND(E3075/L3075,2),"N/A")</f>
        <v>92.14</v>
      </c>
      <c r="Q3075" s="11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1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1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1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1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IFERROR(ROUND(E3139/L3139,2),"N/A")</f>
        <v>50</v>
      </c>
      <c r="Q3139" s="11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1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1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1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IFERROR(ROUND(E3203/L3203,2),"N/A")</f>
        <v>12.5</v>
      </c>
      <c r="Q3203" s="11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IFERROR(ROUND(E3267/L3267,2),"N/A")</f>
        <v>70.290000000000006</v>
      </c>
      <c r="Q3267" s="11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IFERROR(ROUND(E3331/L3331,2),"N/A")</f>
        <v>44.92</v>
      </c>
      <c r="Q3331" s="1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IFERROR(ROUND(E3395/L3395,2),"N/A")</f>
        <v>36.07</v>
      </c>
      <c r="Q3395" s="11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IFERROR(ROUND(E3459/L3459,2),"N/A")</f>
        <v>50.98</v>
      </c>
      <c r="Q3459" s="11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IFERROR(ROUND(E3523/L3523,2),"N/A")</f>
        <v>45.62</v>
      </c>
      <c r="Q3523" s="11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IFERROR(ROUND(E3587/L3587,2),"N/A")</f>
        <v>176.09</v>
      </c>
      <c r="Q3587" s="11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1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1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1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1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IFERROR(ROUND(E3651/L3651,2),"N/A")</f>
        <v>97.5</v>
      </c>
      <c r="Q3651" s="1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IFERROR(ROUND(E3715/L3715,2),"N/A")</f>
        <v>106.84</v>
      </c>
      <c r="Q3715" s="11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1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1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1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1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IFERROR(ROUND(E3779/L3779,2),"N/A")</f>
        <v>48.54</v>
      </c>
      <c r="Q3779" s="11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1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1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1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1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IFERROR(ROUND(E3843/L3843,2),"N/A")</f>
        <v>25.65</v>
      </c>
      <c r="Q3843" s="11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1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1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1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1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1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1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1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1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1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1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1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1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IFERROR(ROUND(E3907/L3907,2),"N/A")</f>
        <v>24.71</v>
      </c>
      <c r="Q3907" s="11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1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1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1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1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1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1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1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1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1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1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1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1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IFERROR(ROUND(E3971/L3971,2),"N/A")</f>
        <v>35.17</v>
      </c>
      <c r="Q3971" s="1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1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1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1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1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1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1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1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IFERROR(ROUND(E4035/L4035,2),"N/A")</f>
        <v>65.34</v>
      </c>
      <c r="Q4035" s="11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1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1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1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1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1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1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1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1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1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ref="P4099:P4115" si="321">IFERROR(ROUND(E4099/L4099,2),"N/A")</f>
        <v>N/A</v>
      </c>
      <c r="Q4099" s="11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1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1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1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1A8C-F034-4ABB-90FC-5407F7DA53B2}">
  <sheetPr codeName="Sheet2"/>
  <dimension ref="A1:F6"/>
  <sheetViews>
    <sheetView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E926-389F-4F4E-8EEB-6305B57C7A1E}">
  <sheetPr codeName="Sheet3"/>
  <dimension ref="A1:E7"/>
  <sheetViews>
    <sheetView workbookViewId="0">
      <selection activeCell="D8" sqref="D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41" width="15.7265625" bestFit="1" customWidth="1"/>
    <col min="42" max="43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B027-CC66-41C1-AB07-325CD5F0BE84}">
  <sheetPr codeName="Sheet5"/>
  <dimension ref="A1:F22"/>
  <sheetViews>
    <sheetView workbookViewId="0">
      <selection activeCell="B17" sqref="B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8383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5">
      <c r="A7" s="15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5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5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5">
      <c r="A11" s="15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5">
      <c r="A12" s="15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5">
      <c r="A13" s="15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5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5">
      <c r="A15" s="15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5">
      <c r="A16" s="15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5">
      <c r="A17" s="15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5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5">
      <c r="A19" s="15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5">
      <c r="A20" s="15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5">
      <c r="A21" s="15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5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3970-85B6-4B59-A451-D9F289EE6E3D}">
  <sheetPr codeName="Sheet6"/>
  <dimension ref="A1:F6"/>
  <sheetViews>
    <sheetView workbookViewId="0">
      <selection activeCell="B9" sqref="B9"/>
    </sheetView>
  </sheetViews>
  <sheetFormatPr defaultRowHeight="14.5" x14ac:dyDescent="0.35"/>
  <cols>
    <col min="1" max="1" width="31.08984375" bestFit="1" customWidth="1"/>
    <col min="2" max="2" width="61.7265625" customWidth="1"/>
    <col min="5" max="5" width="15.90625" bestFit="1" customWidth="1"/>
  </cols>
  <sheetData>
    <row r="1" spans="1:6" x14ac:dyDescent="0.35">
      <c r="A1" s="16" t="s">
        <v>8384</v>
      </c>
      <c r="B1" s="16" t="s">
        <v>4110</v>
      </c>
      <c r="C1" s="16" t="s">
        <v>8385</v>
      </c>
      <c r="D1" s="16" t="s">
        <v>8386</v>
      </c>
      <c r="E1" s="16" t="s">
        <v>8307</v>
      </c>
      <c r="F1" s="16" t="s">
        <v>8387</v>
      </c>
    </row>
    <row r="2" spans="1:6" ht="29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29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29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60B1-733D-4EF8-90AA-219BDDAEC21F}">
  <sheetPr codeName="Sheet10"/>
  <dimension ref="A1:M15"/>
  <sheetViews>
    <sheetView tabSelected="1" workbookViewId="0">
      <selection activeCell="C14" sqref="C14"/>
    </sheetView>
  </sheetViews>
  <sheetFormatPr defaultRowHeight="14.5" x14ac:dyDescent="0.35"/>
  <cols>
    <col min="1" max="1" width="28.26953125" customWidth="1"/>
    <col min="2" max="2" width="12.36328125" customWidth="1"/>
    <col min="3" max="3" width="11.36328125" customWidth="1"/>
    <col min="6" max="6" width="14.36328125" bestFit="1" customWidth="1"/>
    <col min="7" max="8" width="14.54296875" bestFit="1" customWidth="1"/>
    <col min="11" max="11" width="14.36328125" bestFit="1" customWidth="1"/>
    <col min="12" max="12" width="14.08984375" customWidth="1"/>
    <col min="13" max="13" width="13.81640625" customWidth="1"/>
  </cols>
  <sheetData>
    <row r="1" spans="1:13" x14ac:dyDescent="0.35">
      <c r="B1" s="16" t="s">
        <v>8392</v>
      </c>
      <c r="C1" s="16" t="s">
        <v>8393</v>
      </c>
      <c r="G1" s="16"/>
      <c r="H1" s="16"/>
      <c r="L1" s="16"/>
      <c r="M1" s="16"/>
    </row>
    <row r="2" spans="1:13" x14ac:dyDescent="0.35">
      <c r="A2" s="16" t="s">
        <v>8388</v>
      </c>
      <c r="B2" s="17" t="e">
        <f>AVERAGE(#REF!)</f>
        <v>#REF!</v>
      </c>
      <c r="C2" s="17" t="e">
        <f>AVERAGE(#REF!)</f>
        <v>#REF!</v>
      </c>
      <c r="F2" s="16"/>
      <c r="G2" s="17"/>
      <c r="H2" s="17"/>
      <c r="K2" s="16"/>
      <c r="L2" s="17"/>
      <c r="M2" s="17"/>
    </row>
    <row r="3" spans="1:13" x14ac:dyDescent="0.35">
      <c r="A3" s="16" t="s">
        <v>8389</v>
      </c>
      <c r="B3" s="17" t="e">
        <f>MEDIAN(#REF!)</f>
        <v>#REF!</v>
      </c>
      <c r="C3" s="17" t="e">
        <f>MEDIAN(#REF!)</f>
        <v>#REF!</v>
      </c>
      <c r="F3" s="16"/>
      <c r="G3" s="17"/>
      <c r="H3" s="17"/>
      <c r="K3" s="16"/>
      <c r="L3" s="17"/>
      <c r="M3" s="17"/>
    </row>
    <row r="4" spans="1:13" x14ac:dyDescent="0.35">
      <c r="A4" s="16" t="s">
        <v>8394</v>
      </c>
      <c r="B4" s="17" t="e">
        <f>_xlfn.STDEV.P(#REF!)</f>
        <v>#REF!</v>
      </c>
      <c r="C4" s="17" t="e">
        <f>_xlfn.STDEV.P(#REF!)</f>
        <v>#REF!</v>
      </c>
      <c r="F4" s="16"/>
      <c r="G4" s="17"/>
      <c r="H4" s="17"/>
      <c r="K4" s="16"/>
      <c r="L4" s="17"/>
      <c r="M4" s="17"/>
    </row>
    <row r="5" spans="1:13" x14ac:dyDescent="0.35">
      <c r="A5" s="16" t="s">
        <v>8395</v>
      </c>
      <c r="B5" s="17" t="e">
        <f>_xlfn.QUARTILE.EXC(#REF!,3)</f>
        <v>#REF!</v>
      </c>
      <c r="C5" s="17" t="e">
        <f>_xlfn.QUARTILE.EXC(#REF!,3)</f>
        <v>#REF!</v>
      </c>
      <c r="F5" s="16"/>
      <c r="G5" s="17"/>
      <c r="H5" s="17"/>
      <c r="K5" s="16"/>
      <c r="L5" s="17"/>
      <c r="M5" s="17"/>
    </row>
    <row r="6" spans="1:13" x14ac:dyDescent="0.35">
      <c r="A6" s="16" t="s">
        <v>8396</v>
      </c>
      <c r="B6" s="17" t="e">
        <f>_xlfn.QUARTILE.EXC(#REF!,1)</f>
        <v>#REF!</v>
      </c>
      <c r="C6" s="17" t="e">
        <f>_xlfn.QUARTILE.EXC(#REF!,1)</f>
        <v>#REF!</v>
      </c>
      <c r="F6" s="16"/>
      <c r="G6" s="17"/>
      <c r="H6" s="17"/>
      <c r="K6" s="16"/>
      <c r="L6" s="17"/>
      <c r="M6" s="17"/>
    </row>
    <row r="7" spans="1:13" x14ac:dyDescent="0.35">
      <c r="A7" s="16" t="s">
        <v>8397</v>
      </c>
      <c r="B7" s="17" t="e">
        <f>B5-B6</f>
        <v>#REF!</v>
      </c>
      <c r="C7" s="17" t="e">
        <f>C5-C6</f>
        <v>#REF!</v>
      </c>
      <c r="F7" s="16"/>
      <c r="G7" s="17"/>
      <c r="H7" s="17"/>
      <c r="K7" s="16"/>
      <c r="L7" s="17"/>
      <c r="M7" s="17"/>
    </row>
    <row r="8" spans="1:13" x14ac:dyDescent="0.35">
      <c r="A8" s="16"/>
      <c r="B8" s="17"/>
      <c r="C8" s="17"/>
      <c r="F8" s="16"/>
      <c r="G8" s="17"/>
      <c r="H8" s="17"/>
      <c r="K8" s="16"/>
      <c r="L8" s="17"/>
      <c r="M8" s="17"/>
    </row>
    <row r="9" spans="1:13" x14ac:dyDescent="0.35">
      <c r="A9" s="16" t="s">
        <v>8390</v>
      </c>
      <c r="B9" s="17" t="e">
        <f>AVERAGE(#REF!)</f>
        <v>#REF!</v>
      </c>
      <c r="C9" s="17" t="e">
        <f>AVERAGE(#REF!)</f>
        <v>#REF!</v>
      </c>
      <c r="F9" s="16"/>
      <c r="G9" s="17"/>
      <c r="H9" s="17"/>
      <c r="K9" s="16"/>
      <c r="L9" s="17"/>
      <c r="M9" s="17"/>
    </row>
    <row r="10" spans="1:13" x14ac:dyDescent="0.35">
      <c r="A10" s="16" t="s">
        <v>8391</v>
      </c>
      <c r="B10" s="17" t="e">
        <f>MEDIAN(#REF!)</f>
        <v>#REF!</v>
      </c>
      <c r="C10" s="17" t="e">
        <f>MEDIAN(#REF!)</f>
        <v>#REF!</v>
      </c>
      <c r="F10" s="16"/>
      <c r="G10" s="17"/>
      <c r="H10" s="17"/>
      <c r="K10" s="16"/>
      <c r="L10" s="17"/>
      <c r="M10" s="17"/>
    </row>
    <row r="12" spans="1:13" x14ac:dyDescent="0.35">
      <c r="A12" s="16" t="s">
        <v>8398</v>
      </c>
      <c r="B12" s="17" t="e">
        <f>_xlfn.STDEV.P(#REF!)</f>
        <v>#REF!</v>
      </c>
      <c r="C12" s="17" t="e">
        <f>_xlfn.STDEV.P(#REF!)</f>
        <v>#REF!</v>
      </c>
    </row>
    <row r="13" spans="1:13" x14ac:dyDescent="0.35">
      <c r="A13" s="16" t="s">
        <v>8399</v>
      </c>
      <c r="B13" s="17" t="e">
        <f>_xlfn.QUARTILE.EXC(#REF!,3)</f>
        <v>#REF!</v>
      </c>
      <c r="C13" s="17" t="e">
        <f>_xlfn.QUARTILE.EXC(#REF!,3)</f>
        <v>#REF!</v>
      </c>
    </row>
    <row r="14" spans="1:13" x14ac:dyDescent="0.35">
      <c r="A14" s="16" t="s">
        <v>8400</v>
      </c>
      <c r="B14" s="17" t="e">
        <f>_xlfn.QUARTILE.EXC(#REF!,1)</f>
        <v>#REF!</v>
      </c>
      <c r="C14" s="17" t="e">
        <f>_xlfn.QUARTILE.EXC(#REF!,1)</f>
        <v>#REF!</v>
      </c>
    </row>
    <row r="15" spans="1:13" x14ac:dyDescent="0.35">
      <c r="A15" s="16" t="s">
        <v>8401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7A5D-701A-4A21-9B04-33AFEFCF231D}">
  <sheetPr codeName="Sheet4"/>
  <dimension ref="A1:E18"/>
  <sheetViews>
    <sheetView workbookViewId="0">
      <selection activeCell="K21" sqref="K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8383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69590-0DBE-4E08-BD92-028215E45CFD}">
  <sheetPr codeName="Sheet11"/>
  <dimension ref="A1:H13"/>
  <sheetViews>
    <sheetView workbookViewId="0">
      <selection activeCell="J6" sqref="J6"/>
    </sheetView>
  </sheetViews>
  <sheetFormatPr defaultRowHeight="14.5" x14ac:dyDescent="0.35"/>
  <cols>
    <col min="1" max="1" width="23.08984375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8385</v>
      </c>
      <c r="B1" s="1" t="s">
        <v>8402</v>
      </c>
      <c r="C1" s="1" t="s">
        <v>8403</v>
      </c>
      <c r="D1" s="1" t="s">
        <v>8404</v>
      </c>
      <c r="E1" s="1" t="s">
        <v>8405</v>
      </c>
      <c r="F1" s="1" t="s">
        <v>8406</v>
      </c>
      <c r="G1" s="1" t="s">
        <v>8407</v>
      </c>
      <c r="H1" s="1" t="s">
        <v>8408</v>
      </c>
    </row>
    <row r="2" spans="1:8" x14ac:dyDescent="0.35">
      <c r="A2" t="s">
        <v>8409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(B2/(SUM($B$2:$D$2))*100)</f>
        <v>75.806451612903231</v>
      </c>
      <c r="G2" s="18">
        <f>(C2/(SUM($B$2:$D$2))*100)</f>
        <v>24.193548387096776</v>
      </c>
      <c r="H2" s="18">
        <f>(D2/(SUM($B$2:$D$2))*100)</f>
        <v>0</v>
      </c>
    </row>
    <row r="3" spans="1:8" x14ac:dyDescent="0.35">
      <c r="A3" t="s">
        <v>8410</v>
      </c>
      <c r="B3">
        <f>COUNTIFS(Kickstarter!$D:$D,"=1000",Kickstarter!$R:$R,"plays",Kickstarter!$D:$D,"&lt;=4999",Kickstarter!$F:$F,"successful")</f>
        <v>47</v>
      </c>
      <c r="C3">
        <f>COUNTIFS(Kickstarter!$D:$D,"=1000",Kickstarter!$R:$R,"plays",Kickstarter!$D:$D,"&lt;=4999",Kickstarter!$F:$F,"failed")</f>
        <v>18</v>
      </c>
      <c r="D3">
        <f>COUNTIFS(Kickstarter!$D:$D,"=1000",Kickstarter!$R:$R,"plays",Kickstarter!$D:$D,"&lt;=4999",Kickstarter!$F:$F,"canceled")</f>
        <v>0</v>
      </c>
      <c r="E3">
        <f t="shared" ref="E3:E13" si="0">SUM(B3:D3)</f>
        <v>65</v>
      </c>
      <c r="F3" s="18">
        <f t="shared" ref="F3:F13" si="1">(B3/(SUM($B$2:$D$2))*100)</f>
        <v>25.268817204301076</v>
      </c>
      <c r="G3" s="18">
        <f t="shared" ref="G3:G13" si="2">(C3/(SUM($B$2:$D$2))*100)</f>
        <v>9.67741935483871</v>
      </c>
      <c r="H3" s="18">
        <f t="shared" ref="H3:H13" si="3">(D3/(SUM($B$2:$D$2))*100)</f>
        <v>0</v>
      </c>
    </row>
    <row r="4" spans="1:8" x14ac:dyDescent="0.35">
      <c r="A4" t="s">
        <v>8411</v>
      </c>
      <c r="B4">
        <f>COUNTIFS(Kickstarter!$D:$D,"=5000",Kickstarter!$R:$R,"plays",Kickstarter!$D:$D,"&lt;=9999",Kickstarter!$F:$F,"successful")</f>
        <v>49</v>
      </c>
      <c r="C4">
        <f>COUNTIFS(Kickstarter!$D:$D,"=5000",Kickstarter!$R:$R,"plays",Kickstarter!$D:$D,"&lt;=9999",Kickstarter!$F:$F,"failed")</f>
        <v>35</v>
      </c>
      <c r="D4">
        <f>COUNTIFS(Kickstarter!$D:$D,"=5000",Kickstarter!$R:$R,"plays",Kickstarter!$D:$D,"&lt;=9999",Kickstarter!$F:$F,"canceled")</f>
        <v>0</v>
      </c>
      <c r="E4">
        <f t="shared" si="0"/>
        <v>84</v>
      </c>
      <c r="F4" s="18">
        <f t="shared" si="1"/>
        <v>26.344086021505376</v>
      </c>
      <c r="G4" s="18">
        <f t="shared" si="2"/>
        <v>18.817204301075268</v>
      </c>
      <c r="H4" s="18">
        <f t="shared" si="3"/>
        <v>0</v>
      </c>
    </row>
    <row r="5" spans="1:8" x14ac:dyDescent="0.35">
      <c r="A5" t="s">
        <v>8412</v>
      </c>
      <c r="B5">
        <f>COUNTIFS(Kickstarter!$D:$D,"=10000",Kickstarter!$R:$R,"plays",Kickstarter!$D:$D,"&lt;=14999",Kickstarter!$F:$F,"successful")</f>
        <v>29</v>
      </c>
      <c r="C5">
        <f>COUNTIFS(Kickstarter!$D:$D,"=10000",Kickstarter!$R:$R,"plays",Kickstarter!$D:$D,"&lt;=14999",Kickstarter!$F:$F,"failed")</f>
        <v>20</v>
      </c>
      <c r="D5">
        <f>COUNTIFS(Kickstarter!$D:$D,"=10000",Kickstarter!$R:$R,"plays",Kickstarter!$D:$D,"&lt;=14999",Kickstarter!$F:$F,"canceled")</f>
        <v>0</v>
      </c>
      <c r="E5">
        <f t="shared" si="0"/>
        <v>49</v>
      </c>
      <c r="F5" s="18">
        <f t="shared" si="1"/>
        <v>15.591397849462366</v>
      </c>
      <c r="G5" s="18">
        <f t="shared" si="2"/>
        <v>10.75268817204301</v>
      </c>
      <c r="H5" s="18">
        <f t="shared" si="3"/>
        <v>0</v>
      </c>
    </row>
    <row r="6" spans="1:8" x14ac:dyDescent="0.35">
      <c r="A6" t="s">
        <v>8413</v>
      </c>
      <c r="B6">
        <f>COUNTIFS(Kickstarter!$D:$D,"=15000",Kickstarter!$R:$R,"plays",Kickstarter!$D:$D,"&lt;=19999",Kickstarter!$F:$F,"successful")</f>
        <v>11</v>
      </c>
      <c r="C6">
        <f>COUNTIFS(Kickstarter!$D:$D,"=15000",Kickstarter!$R:$R,"plays",Kickstarter!$D:$D,"&lt;=19999",Kickstarter!$F:$F,"failed")</f>
        <v>9</v>
      </c>
      <c r="D6">
        <f>COUNTIFS(Kickstarter!$D:$D,"=15000",Kickstarter!$R:$R,"plays",Kickstarter!$D:$D,"&lt;=19999",Kickstarter!$F:$F,"canceled")</f>
        <v>0</v>
      </c>
      <c r="E6">
        <f t="shared" si="0"/>
        <v>20</v>
      </c>
      <c r="F6" s="18">
        <f t="shared" si="1"/>
        <v>5.913978494623656</v>
      </c>
      <c r="G6" s="18">
        <f t="shared" si="2"/>
        <v>4.838709677419355</v>
      </c>
      <c r="H6" s="18">
        <f t="shared" si="3"/>
        <v>0</v>
      </c>
    </row>
    <row r="7" spans="1:8" x14ac:dyDescent="0.35">
      <c r="A7" t="s">
        <v>8414</v>
      </c>
      <c r="B7">
        <f>COUNTIFS(Kickstarter!$D:$D,"=20000",Kickstarter!$R:$R,"plays",Kickstarter!$D:$D,"&lt;=24999",Kickstarter!$F:$F,"successful")</f>
        <v>6</v>
      </c>
      <c r="C7">
        <f>COUNTIFS(Kickstarter!$D:$D,"=20000",Kickstarter!$R:$R,"plays",Kickstarter!$D:$D,"&lt;=24999",Kickstarter!$F:$F,"failed")</f>
        <v>10</v>
      </c>
      <c r="D7">
        <f>COUNTIFS(Kickstarter!$D:$D,"=20000",Kickstarter!$R:$R,"plays",Kickstarter!$D:$D,"&lt;=24999",Kickstarter!$F:$F,"canceled")</f>
        <v>0</v>
      </c>
      <c r="E7">
        <f t="shared" si="0"/>
        <v>16</v>
      </c>
      <c r="F7" s="18">
        <f t="shared" si="1"/>
        <v>3.225806451612903</v>
      </c>
      <c r="G7" s="18">
        <f t="shared" si="2"/>
        <v>5.376344086021505</v>
      </c>
      <c r="H7" s="18">
        <f t="shared" si="3"/>
        <v>0</v>
      </c>
    </row>
    <row r="8" spans="1:8" x14ac:dyDescent="0.35">
      <c r="A8" t="s">
        <v>8415</v>
      </c>
      <c r="B8">
        <f>COUNTIFS(Kickstarter!$D:$D,"=25000",Kickstarter!$R:$R,"plays",Kickstarter!$D:$D,"&lt;=29999",Kickstarter!$F:$F,"successful")</f>
        <v>1</v>
      </c>
      <c r="C8">
        <f>COUNTIFS(Kickstarter!$D:$D,"=25000",Kickstarter!$R:$R,"plays",Kickstarter!$D:$D,"&lt;=29999",Kickstarter!$F:$F,"failed")</f>
        <v>2</v>
      </c>
      <c r="D8">
        <f>COUNTIFS(Kickstarter!$D:$D,"=25000",Kickstarter!$R:$R,"plays",Kickstarter!$D:$D,"&lt;=29999",Kickstarter!$F:$F,"canceled")</f>
        <v>0</v>
      </c>
      <c r="E8">
        <f t="shared" si="0"/>
        <v>3</v>
      </c>
      <c r="F8" s="18">
        <f t="shared" si="1"/>
        <v>0.53763440860215062</v>
      </c>
      <c r="G8" s="18">
        <f t="shared" si="2"/>
        <v>1.0752688172043012</v>
      </c>
      <c r="H8" s="18">
        <f t="shared" si="3"/>
        <v>0</v>
      </c>
    </row>
    <row r="9" spans="1:8" x14ac:dyDescent="0.35">
      <c r="A9" t="s">
        <v>8416</v>
      </c>
      <c r="B9">
        <f>COUNTIFS(Kickstarter!$D:$D,"=30000",Kickstarter!$R:$R,"plays",Kickstarter!$D:$D,"&lt;=34999",Kickstarter!$F:$F,"successful")</f>
        <v>2</v>
      </c>
      <c r="C9">
        <f>COUNTIFS(Kickstarter!$D:$D,"=30000",Kickstarter!$R:$R,"plays",Kickstarter!$D:$D,"&lt;=34999",Kickstarter!$F:$F,"failed")</f>
        <v>7</v>
      </c>
      <c r="D9">
        <f>COUNTIFS(Kickstarter!$D:$D,"=30000",Kickstarter!$R:$R,"plays",Kickstarter!$D:$D,"&lt;=34999",Kickstarter!$F:$F,"canceled")</f>
        <v>0</v>
      </c>
      <c r="E9">
        <f t="shared" si="0"/>
        <v>9</v>
      </c>
      <c r="F9" s="18">
        <f t="shared" si="1"/>
        <v>1.0752688172043012</v>
      </c>
      <c r="G9" s="18">
        <f t="shared" si="2"/>
        <v>3.763440860215054</v>
      </c>
      <c r="H9" s="18">
        <f t="shared" si="3"/>
        <v>0</v>
      </c>
    </row>
    <row r="10" spans="1:8" x14ac:dyDescent="0.35">
      <c r="A10" t="s">
        <v>8417</v>
      </c>
      <c r="B10">
        <f>COUNTIFS(Kickstarter!$D:$D,"=35000",Kickstarter!$R:$R,"plays",Kickstarter!$D:$D,"&lt;=39999",Kickstarter!$F:$F,"successful")</f>
        <v>4</v>
      </c>
      <c r="C10">
        <f>COUNTIFS(Kickstarter!$D:$D,"=35000",Kickstarter!$R:$R,"plays",Kickstarter!$D:$D,"&lt;=39999",Kickstarter!$F:$F,"failed")</f>
        <v>1</v>
      </c>
      <c r="D10">
        <f>COUNTIFS(Kickstarter!$D:$D,"=35000",Kickstarter!$R:$R,"plays",Kickstarter!$D:$D,"&lt;=39999",Kickstarter!$F:$F,"canceled")</f>
        <v>0</v>
      </c>
      <c r="E10">
        <f t="shared" si="0"/>
        <v>5</v>
      </c>
      <c r="F10" s="18">
        <f t="shared" si="1"/>
        <v>2.1505376344086025</v>
      </c>
      <c r="G10" s="18">
        <f t="shared" si="2"/>
        <v>0.53763440860215062</v>
      </c>
      <c r="H10" s="18">
        <f t="shared" si="3"/>
        <v>0</v>
      </c>
    </row>
    <row r="11" spans="1:8" x14ac:dyDescent="0.35">
      <c r="A11" t="s">
        <v>8418</v>
      </c>
      <c r="B11">
        <f>COUNTIFS(Kickstarter!$D:$D,"=40000",Kickstarter!$R:$R,"plays",Kickstarter!$D:$D,"&lt;=44999",Kickstarter!$F:$F,"successful")</f>
        <v>2</v>
      </c>
      <c r="C11">
        <f>COUNTIFS(Kickstarter!$D:$D,"=40000",Kickstarter!$R:$R,"plays",Kickstarter!$D:$D,"&lt;=44999",Kickstarter!$F:$F,"failed")</f>
        <v>1</v>
      </c>
      <c r="D11">
        <f>COUNTIFS(Kickstarter!$D:$D,"=40000",Kickstarter!$R:$R,"plays",Kickstarter!$D:$D,"&lt;=44999",Kickstarter!$F:$F,"canceled")</f>
        <v>0</v>
      </c>
      <c r="E11">
        <f t="shared" si="0"/>
        <v>3</v>
      </c>
      <c r="F11" s="18">
        <f t="shared" si="1"/>
        <v>1.0752688172043012</v>
      </c>
      <c r="G11" s="18">
        <f t="shared" si="2"/>
        <v>0.53763440860215062</v>
      </c>
      <c r="H11" s="18">
        <f t="shared" si="3"/>
        <v>0</v>
      </c>
    </row>
    <row r="12" spans="1:8" x14ac:dyDescent="0.35">
      <c r="A12" t="s">
        <v>8419</v>
      </c>
      <c r="B12">
        <f>COUNTIFS(Kickstarter!$D:$D,"=45000",Kickstarter!$R:$R,"plays",Kickstarter!$D:$D,"&lt;=49999",Kickstarter!$F:$F,"successful")</f>
        <v>0</v>
      </c>
      <c r="C12">
        <f>COUNTIFS(Kickstarter!$D:$D,"=45000",Kickstarter!$R:$R,"plays",Kickstarter!$D:$D,"&lt;=49999",Kickstarter!$F:$F,"failed")</f>
        <v>1</v>
      </c>
      <c r="D12">
        <f>COUNTIFS(Kickstarter!$D:$D,"=45000",Kickstarter!$R:$R,"plays",Kickstarter!$D:$D,"&lt;=49999",Kickstarter!$F:$F,"canceled")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0.53763440860215062</v>
      </c>
      <c r="H12" s="18">
        <f t="shared" si="3"/>
        <v>0</v>
      </c>
    </row>
    <row r="13" spans="1:8" x14ac:dyDescent="0.35">
      <c r="A13" t="s">
        <v>8420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8">
        <f t="shared" si="1"/>
        <v>1.0752688172043012</v>
      </c>
      <c r="G13" s="18">
        <f t="shared" si="2"/>
        <v>7.5268817204301079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Date.</vt:lpstr>
      <vt:lpstr>Edinburgh Research</vt:lpstr>
      <vt:lpstr>Descriptive Statistics.</vt:lpstr>
      <vt:lpstr>Theatre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Onejohnson Ekwueme</cp:lastModifiedBy>
  <dcterms:created xsi:type="dcterms:W3CDTF">2017-04-20T15:17:24Z</dcterms:created>
  <dcterms:modified xsi:type="dcterms:W3CDTF">2021-02-22T04:34:07Z</dcterms:modified>
</cp:coreProperties>
</file>