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A -- REBECA GONZALEZ CABALEIRO\WORK\PostDoc-Newcastle\Biofilm-NUFEB\Cases AOB Paper\kineticsUpdate\CteY-kineticsUpdate\BOWEN - Cases\"/>
    </mc:Choice>
  </mc:AlternateContent>
  <bookViews>
    <workbookView xWindow="0" yWindow="0" windowWidth="2160" windowHeight="0" firstSheet="2" activeTab="2"/>
  </bookViews>
  <sheets>
    <sheet name="Reactions" sheetId="18" r:id="rId1"/>
    <sheet name="ReactionMatrix" sheetId="9" r:id="rId2"/>
    <sheet name="SpecParam" sheetId="13" r:id="rId3"/>
    <sheet name="States" sheetId="11" r:id="rId4"/>
    <sheet name="ThermoParam" sheetId="17" r:id="rId5"/>
    <sheet name="Bacteria" sheetId="14" r:id="rId6"/>
    <sheet name="Parameters" sheetId="12" r:id="rId7"/>
    <sheet name="Discretization" sheetId="15" r:id="rId8"/>
    <sheet name="Diffusion" sheetId="16" r:id="rId9"/>
  </sheets>
  <calcPr calcId="152511"/>
</workbook>
</file>

<file path=xl/calcChain.xml><?xml version="1.0" encoding="utf-8"?>
<calcChain xmlns="http://schemas.openxmlformats.org/spreadsheetml/2006/main">
  <c r="B4" i="11" l="1"/>
  <c r="D2" i="13" l="1"/>
  <c r="G4" i="13"/>
  <c r="G3" i="13"/>
  <c r="G2" i="13"/>
  <c r="B9" i="15" l="1"/>
  <c r="B5" i="15" l="1"/>
  <c r="D3" i="13"/>
  <c r="D4" i="13" l="1"/>
  <c r="F4" i="18" l="1"/>
  <c r="G4" i="18"/>
  <c r="B6" i="15" l="1"/>
  <c r="B3" i="13" l="1"/>
  <c r="F16" i="18" l="1"/>
  <c r="G16" i="18" s="1"/>
  <c r="F5" i="18"/>
  <c r="G15" i="18"/>
  <c r="F15" i="18"/>
  <c r="F6" i="18"/>
  <c r="D16" i="18"/>
  <c r="D15" i="18"/>
  <c r="C17" i="18"/>
  <c r="F17" i="18" s="1"/>
  <c r="G17" i="18" s="1"/>
  <c r="E15" i="18"/>
  <c r="C16" i="18"/>
  <c r="E16" i="18"/>
  <c r="D17" i="18"/>
  <c r="E17" i="18"/>
  <c r="B9" i="14" l="1"/>
  <c r="C4" i="13" l="1"/>
  <c r="C3" i="13"/>
  <c r="B4" i="13" l="1"/>
  <c r="C2" i="13"/>
  <c r="B2" i="13"/>
  <c r="B7" i="11" l="1"/>
  <c r="B6" i="11"/>
  <c r="B8" i="11" s="1"/>
  <c r="B3" i="14"/>
  <c r="B5" i="16"/>
  <c r="B1" i="16"/>
  <c r="B3" i="16"/>
  <c r="B2" i="16"/>
  <c r="I8" i="9"/>
  <c r="I9" i="9"/>
  <c r="H4" i="9"/>
  <c r="H5" i="9"/>
  <c r="H6" i="9"/>
  <c r="H7" i="9"/>
  <c r="H8" i="9"/>
  <c r="H9" i="9"/>
  <c r="H11" i="9"/>
  <c r="H12" i="9"/>
  <c r="H3" i="9"/>
  <c r="F8" i="9"/>
  <c r="F9" i="9"/>
  <c r="E4" i="9"/>
  <c r="E5" i="9"/>
  <c r="E6" i="9"/>
  <c r="E7" i="9"/>
  <c r="E8" i="9"/>
  <c r="E9" i="9"/>
  <c r="E11" i="9"/>
  <c r="E12" i="9"/>
  <c r="E3" i="9"/>
  <c r="D3" i="9"/>
  <c r="B12" i="9"/>
  <c r="B11" i="9"/>
  <c r="B4" i="9"/>
  <c r="B5" i="9"/>
  <c r="B6" i="9"/>
  <c r="B7" i="9"/>
  <c r="B3" i="9"/>
  <c r="AA7" i="18"/>
  <c r="Z7" i="18"/>
  <c r="F6" i="9" s="1"/>
  <c r="V7" i="18"/>
  <c r="C6" i="9" s="1"/>
  <c r="V8" i="18"/>
  <c r="C7" i="9" s="1"/>
  <c r="Z8" i="18"/>
  <c r="F7" i="9" s="1"/>
  <c r="AA8" i="18"/>
  <c r="AD8" i="18"/>
  <c r="I7" i="9" s="1"/>
  <c r="AA4" i="18"/>
  <c r="AA5" i="18"/>
  <c r="AA6" i="18"/>
  <c r="AA11" i="18"/>
  <c r="AA12" i="18"/>
  <c r="AA13" i="18"/>
  <c r="AA14" i="18"/>
  <c r="Z4" i="18"/>
  <c r="Z5" i="18"/>
  <c r="F4" i="9" s="1"/>
  <c r="Z6" i="18"/>
  <c r="F5" i="9" s="1"/>
  <c r="Z11" i="18"/>
  <c r="F11" i="9" s="1"/>
  <c r="Z12" i="18"/>
  <c r="F12" i="9" s="1"/>
  <c r="Z13" i="18"/>
  <c r="V4" i="18"/>
  <c r="C3" i="9" s="1"/>
  <c r="AB24" i="18"/>
  <c r="AB25" i="18"/>
  <c r="Y24" i="18"/>
  <c r="Y25" i="18"/>
  <c r="W24" i="18"/>
  <c r="W25" i="18"/>
  <c r="C5" i="18"/>
  <c r="U24" i="18"/>
  <c r="U25" i="18" s="1"/>
  <c r="T24" i="18"/>
  <c r="T25" i="18"/>
  <c r="S24" i="18"/>
  <c r="S25" i="18"/>
  <c r="C4" i="18"/>
  <c r="AB21" i="18"/>
  <c r="Y21" i="18"/>
  <c r="X21" i="18"/>
  <c r="W21" i="18"/>
  <c r="U21" i="18"/>
  <c r="T21" i="18"/>
  <c r="S21" i="18"/>
  <c r="AB20" i="18"/>
  <c r="Y20" i="18"/>
  <c r="W20" i="18"/>
  <c r="U20" i="18"/>
  <c r="T20" i="18"/>
  <c r="S20" i="18"/>
  <c r="AB19" i="18"/>
  <c r="Y19" i="18"/>
  <c r="W19" i="18"/>
  <c r="U19" i="18"/>
  <c r="T19" i="18"/>
  <c r="S19" i="18"/>
  <c r="AB18" i="18"/>
  <c r="Y18" i="18"/>
  <c r="W18" i="18"/>
  <c r="U18" i="18"/>
  <c r="T18" i="18"/>
  <c r="S18" i="18"/>
  <c r="AB17" i="18"/>
  <c r="Y17" i="18"/>
  <c r="X17" i="18"/>
  <c r="W17" i="18"/>
  <c r="U17" i="18"/>
  <c r="T17" i="18"/>
  <c r="S17" i="18"/>
  <c r="AB16" i="18"/>
  <c r="Y16" i="18"/>
  <c r="W16" i="18"/>
  <c r="U16" i="18"/>
  <c r="T16" i="18"/>
  <c r="S16" i="18"/>
  <c r="AB15" i="18"/>
  <c r="Y15" i="18"/>
  <c r="W15" i="18"/>
  <c r="U15" i="18"/>
  <c r="T15" i="18"/>
  <c r="S15" i="18"/>
  <c r="Z14" i="18"/>
  <c r="V14" i="18"/>
  <c r="V13" i="18"/>
  <c r="V12" i="18"/>
  <c r="C12" i="9" s="1"/>
  <c r="V11" i="18"/>
  <c r="C11" i="9" s="1"/>
  <c r="V6" i="18"/>
  <c r="C5" i="9" s="1"/>
  <c r="V5" i="18"/>
  <c r="C4" i="9" s="1"/>
  <c r="AD14" i="18"/>
  <c r="AA17" i="18"/>
  <c r="AA24" i="18"/>
  <c r="AA25" i="18"/>
  <c r="C6" i="18"/>
  <c r="AA15" i="18"/>
  <c r="AA16" i="18"/>
  <c r="AA18" i="18"/>
  <c r="AA19" i="18"/>
  <c r="AA20" i="18"/>
  <c r="AA21" i="18"/>
  <c r="X18" i="18"/>
  <c r="X15" i="18"/>
  <c r="X19" i="18"/>
  <c r="X24" i="18"/>
  <c r="X25" i="18" s="1"/>
  <c r="X16" i="18"/>
  <c r="X20" i="18"/>
  <c r="B1" i="14"/>
  <c r="B4" i="15"/>
  <c r="B2" i="15"/>
  <c r="B6" i="14"/>
  <c r="B4" i="14"/>
  <c r="B4" i="16"/>
  <c r="B3" i="15"/>
  <c r="B2" i="14"/>
  <c r="B8" i="14"/>
  <c r="B2" i="12"/>
  <c r="B5" i="12" l="1"/>
  <c r="B6" i="12" s="1"/>
  <c r="AD5" i="18"/>
  <c r="I4" i="9" s="1"/>
  <c r="AD4" i="18"/>
  <c r="I3" i="9" s="1"/>
  <c r="AC20" i="18"/>
  <c r="AC16" i="18"/>
  <c r="V24" i="18"/>
  <c r="V25" i="18" s="1"/>
  <c r="D4" i="18" s="1"/>
  <c r="AC24" i="18"/>
  <c r="AC25" i="18" s="1"/>
  <c r="V21" i="18"/>
  <c r="V17" i="18"/>
  <c r="AC18" i="18"/>
  <c r="AD12" i="18"/>
  <c r="I12" i="9" s="1"/>
  <c r="AD6" i="18"/>
  <c r="I5" i="9" s="1"/>
  <c r="AD13" i="18"/>
  <c r="AD7" i="18"/>
  <c r="V19" i="18"/>
  <c r="V20" i="18"/>
  <c r="V18" i="18"/>
  <c r="V15" i="18"/>
  <c r="V16" i="18"/>
  <c r="AC15" i="18"/>
  <c r="AD11" i="18"/>
  <c r="I11" i="9" s="1"/>
  <c r="AC17" i="18"/>
  <c r="AC19" i="18"/>
  <c r="AC21" i="18"/>
  <c r="Z15" i="18"/>
  <c r="Z17" i="18"/>
  <c r="F3" i="9"/>
  <c r="Z24" i="18"/>
  <c r="Z25" i="18" s="1"/>
  <c r="D5" i="18" s="1"/>
  <c r="G5" i="18" s="1"/>
  <c r="Z19" i="18"/>
  <c r="Z21" i="18"/>
  <c r="Z20" i="18"/>
  <c r="Z16" i="18"/>
  <c r="Z18" i="18"/>
  <c r="AD20" i="18" l="1"/>
  <c r="AD24" i="18"/>
  <c r="AD25" i="18" s="1"/>
  <c r="D6" i="18" s="1"/>
  <c r="G6" i="18" s="1"/>
  <c r="AD18" i="18"/>
  <c r="AD21" i="18"/>
  <c r="AD17" i="18"/>
  <c r="I6" i="9"/>
  <c r="AD16" i="18"/>
  <c r="AD19" i="18"/>
  <c r="AD15" i="18"/>
</calcChain>
</file>

<file path=xl/sharedStrings.xml><?xml version="1.0" encoding="utf-8"?>
<sst xmlns="http://schemas.openxmlformats.org/spreadsheetml/2006/main" count="352" uniqueCount="127">
  <si>
    <t>P</t>
  </si>
  <si>
    <t>T</t>
  </si>
  <si>
    <t>K</t>
  </si>
  <si>
    <t>S</t>
  </si>
  <si>
    <t>Cat</t>
  </si>
  <si>
    <t>Anab</t>
  </si>
  <si>
    <t>mol/L</t>
  </si>
  <si>
    <t>Vr</t>
  </si>
  <si>
    <t>L</t>
  </si>
  <si>
    <t>-</t>
  </si>
  <si>
    <t>pH</t>
  </si>
  <si>
    <t>Rth</t>
  </si>
  <si>
    <t>kJ/molK</t>
  </si>
  <si>
    <t>Rg</t>
  </si>
  <si>
    <t>atm·L/mol·K</t>
  </si>
  <si>
    <t>bar</t>
  </si>
  <si>
    <t>G</t>
  </si>
  <si>
    <t>gO2</t>
  </si>
  <si>
    <t>Vgas</t>
  </si>
  <si>
    <t>H2O</t>
  </si>
  <si>
    <t>H</t>
  </si>
  <si>
    <t>bac_mmax</t>
  </si>
  <si>
    <t>g</t>
  </si>
  <si>
    <t>m</t>
  </si>
  <si>
    <t>bac_rho</t>
  </si>
  <si>
    <t>bac_MW</t>
  </si>
  <si>
    <t>g/mol</t>
  </si>
  <si>
    <t>bac_nmax</t>
  </si>
  <si>
    <t>k</t>
  </si>
  <si>
    <t>s_dist</t>
  </si>
  <si>
    <t>overlap</t>
  </si>
  <si>
    <t>bac_rmax</t>
  </si>
  <si>
    <t>nx</t>
  </si>
  <si>
    <t>maxx</t>
  </si>
  <si>
    <t>m2/h</t>
  </si>
  <si>
    <t>maxT</t>
  </si>
  <si>
    <t>h</t>
  </si>
  <si>
    <t>dT</t>
  </si>
  <si>
    <t>dT_bac</t>
  </si>
  <si>
    <t>dT_Print</t>
  </si>
  <si>
    <t>Inf</t>
  </si>
  <si>
    <t>NA</t>
  </si>
  <si>
    <t>DGdis</t>
  </si>
  <si>
    <t>FORMS</t>
  </si>
  <si>
    <t>Kdec</t>
  </si>
  <si>
    <t>bac_mmin</t>
  </si>
  <si>
    <t>Decay</t>
  </si>
  <si>
    <t>O2</t>
  </si>
  <si>
    <t>Diff_O2</t>
  </si>
  <si>
    <t>kLa_O2</t>
  </si>
  <si>
    <r>
      <t>h</t>
    </r>
    <r>
      <rPr>
        <i/>
        <vertAlign val="superscript"/>
        <sz val="10"/>
        <color theme="0" tint="-0.34998626667073579"/>
        <rFont val="Arial"/>
        <family val="2"/>
      </rPr>
      <t>-1</t>
    </r>
  </si>
  <si>
    <t>Yield</t>
  </si>
  <si>
    <t>Maintenance</t>
  </si>
  <si>
    <t>Tol</t>
  </si>
  <si>
    <t>g/m3</t>
  </si>
  <si>
    <t>dx</t>
  </si>
  <si>
    <t>T_blayer</t>
  </si>
  <si>
    <t>dz</t>
  </si>
  <si>
    <t>AOB</t>
  </si>
  <si>
    <t>Comm</t>
  </si>
  <si>
    <t>NOB</t>
  </si>
  <si>
    <t>q_max</t>
  </si>
  <si>
    <t>NH3</t>
  </si>
  <si>
    <t>NO2</t>
  </si>
  <si>
    <t>NO3</t>
  </si>
  <si>
    <t>CO2</t>
  </si>
  <si>
    <t>gCO2</t>
  </si>
  <si>
    <t>AOB/AOA</t>
  </si>
  <si>
    <t>NOBs</t>
  </si>
  <si>
    <t>Name</t>
  </si>
  <si>
    <t>Constant</t>
  </si>
  <si>
    <t>Value</t>
  </si>
  <si>
    <t>Units</t>
  </si>
  <si>
    <t>Functional Group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</si>
  <si>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>cat</t>
    </r>
    <r>
      <rPr>
        <sz val="12"/>
        <color theme="1"/>
        <rFont val="Arial"/>
        <family val="2"/>
      </rPr>
      <t xml:space="preserve"> (kJ/moleDonor)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</si>
  <si>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 xml:space="preserve">ana </t>
    </r>
    <r>
      <rPr>
        <sz val="12"/>
        <color theme="1"/>
        <rFont val="Arial"/>
        <family val="2"/>
      </rPr>
      <t>(kJ/molX)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</si>
  <si>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bscript"/>
        <sz val="12"/>
        <color theme="1"/>
        <rFont val="Arial"/>
        <family val="2"/>
      </rPr>
      <t>dis</t>
    </r>
    <r>
      <rPr>
        <sz val="12"/>
        <color theme="1"/>
        <rFont val="Arial"/>
        <family val="2"/>
      </rPr>
      <t xml:space="preserve"> (kJ/molX)</t>
    </r>
  </si>
  <si>
    <t>l</t>
  </si>
  <si>
    <t>Component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</si>
  <si>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</t>
    </r>
    <r>
      <rPr>
        <vertAlign val="subscript"/>
        <sz val="12"/>
        <color theme="1"/>
        <rFont val="Arial"/>
        <family val="2"/>
      </rPr>
      <t>formation</t>
    </r>
  </si>
  <si>
    <t>C</t>
  </si>
  <si>
    <t>O</t>
  </si>
  <si>
    <t>N</t>
  </si>
  <si>
    <t>Charge</t>
  </si>
  <si>
    <t>Catabolism</t>
  </si>
  <si>
    <t>Anabolism*</t>
  </si>
  <si>
    <t>Anabolism eD</t>
  </si>
  <si>
    <t>Anabolism</t>
  </si>
  <si>
    <t>Faraday</t>
  </si>
  <si>
    <t>F</t>
  </si>
  <si>
    <t>kC/mole</t>
  </si>
  <si>
    <t>Gases Cte.</t>
  </si>
  <si>
    <t>R</t>
  </si>
  <si>
    <t>Temperature</t>
  </si>
  <si>
    <t>AOBs/AOAs</t>
  </si>
  <si>
    <t>NO2-</t>
  </si>
  <si>
    <t>NO3-</t>
  </si>
  <si>
    <t>HCO3-</t>
  </si>
  <si>
    <t>H+</t>
  </si>
  <si>
    <t>e-</t>
  </si>
  <si>
    <t>Biomass</t>
  </si>
  <si>
    <t>Alberty RA. Thermodynamics of Biochemical Reactions 2003 // Thauer 1977 Energy conservation in chemotrophic anaerobic bact</t>
  </si>
  <si>
    <t>Kleerebezem &amp; van Loosdrecht 2010 Critical Review</t>
  </si>
  <si>
    <t>C-bal</t>
  </si>
  <si>
    <t>H-bal</t>
  </si>
  <si>
    <t>O-bal</t>
  </si>
  <si>
    <t>N-bal</t>
  </si>
  <si>
    <t>P-bal</t>
  </si>
  <si>
    <t>S-bal</t>
  </si>
  <si>
    <t>Autotrophs</t>
  </si>
  <si>
    <t>kJ/mol eDonor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</si>
  <si>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>0</t>
    </r>
  </si>
  <si>
    <t>pH 7 correction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</si>
  <si>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 xml:space="preserve">01 </t>
    </r>
  </si>
  <si>
    <t>Commamox</t>
  </si>
  <si>
    <t>kLa_CO2</t>
  </si>
  <si>
    <t>Diff_NH3</t>
  </si>
  <si>
    <t>Diff_NO2</t>
  </si>
  <si>
    <t>Diff_NO3</t>
  </si>
  <si>
    <t>Diff_CO2</t>
  </si>
  <si>
    <t>m3</t>
  </si>
  <si>
    <t>eD</t>
  </si>
  <si>
    <t>gN2</t>
  </si>
  <si>
    <t>Ks_O2</t>
  </si>
  <si>
    <t>Ks_NH3</t>
  </si>
  <si>
    <t>Comamox</t>
  </si>
  <si>
    <r>
      <t>H</t>
    </r>
    <r>
      <rPr>
        <b/>
        <vertAlign val="superscript"/>
        <sz val="14"/>
        <color theme="1"/>
        <rFont val="Calibri"/>
        <family val="2"/>
        <scheme val="minor"/>
      </rPr>
      <t>+</t>
    </r>
    <r>
      <rPr>
        <b/>
        <sz val="14"/>
        <color theme="1"/>
        <rFont val="Calibri"/>
        <family val="2"/>
        <scheme val="minor"/>
      </rPr>
      <t>pump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</si>
</sst>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[$€]* #,##0.00_-;\-[$€]* #,##0.00_-;_-[$€]* &quot;-&quot;??_-;_-@_-"/>
    <numFmt numFmtId="165" formatCode="_-* #,##0\ &quot;pta&quot;_-;\-* #,##0\ &quot;pta&quot;_-;_-* &quot;-&quot;\ &quot;pta&quot;_-;_-@_-"/>
    <numFmt numFmtId="166" formatCode="_-* #,##0\ _p_t_a_-;\-* #,##0\ _p_t_a_-;_-* &quot;-&quot;\ _p_t_a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0.000"/>
    <numFmt numFmtId="170" formatCode="0.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i/>
      <sz val="10"/>
      <color theme="0" tint="-0.34998626667073579"/>
      <name val="Arial"/>
      <family val="2"/>
    </font>
    <font>
      <b/>
      <i/>
      <sz val="10"/>
      <name val="Calibri"/>
      <family val="2"/>
      <scheme val="minor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0"/>
      <color theme="0" tint="-0.499984740745262"/>
      <name val="Arial"/>
      <family val="2"/>
    </font>
    <font>
      <b/>
      <sz val="10"/>
      <name val="Times New Roman"/>
      <family val="1"/>
    </font>
    <font>
      <i/>
      <vertAlign val="superscript"/>
      <sz val="10"/>
      <color theme="0" tint="-0.3499862666707357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vertAlign val="super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1"/>
      <color theme="1"/>
      <name val="Arial"/>
      <family val="2"/>
    </font>
    <font>
      <sz val="12"/>
      <name val="Arial"/>
      <family val="2"/>
    </font>
    <font>
      <b/>
      <sz val="11"/>
      <color rgb="FF002060"/>
      <name val="Arial"/>
      <family val="2"/>
    </font>
    <font>
      <sz val="11"/>
      <color theme="1"/>
      <name val="Symbol"/>
      <family val="1"/>
      <charset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sz val="12"/>
      <color rgb="FFFF0000"/>
      <name val="Calibri"/>
      <family val="2"/>
    </font>
    <font>
      <sz val="12"/>
      <color rgb="FFFF0000"/>
      <name val="Symbol"/>
      <family val="1"/>
      <charset val="2"/>
    </font>
    <font>
      <sz val="12"/>
      <color rgb="FFFF0000"/>
      <name val="Arial"/>
      <family val="2"/>
    </font>
    <font>
      <vertAlign val="superscript"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B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1" fillId="0" borderId="0"/>
  </cellStyleXfs>
  <cellXfs count="22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1" fontId="0" fillId="0" borderId="0" xfId="0" applyNumberFormat="1"/>
    <xf numFmtId="0" fontId="0" fillId="0" borderId="1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169" fontId="0" fillId="0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3" borderId="6" xfId="6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6" applyFont="1" applyFill="1" applyBorder="1" applyAlignment="1">
      <alignment horizontal="center"/>
    </xf>
    <xf numFmtId="0" fontId="0" fillId="0" borderId="0" xfId="0" applyFill="1"/>
    <xf numFmtId="11" fontId="0" fillId="0" borderId="23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4" borderId="29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0" xfId="0" applyNumberFormat="1"/>
    <xf numFmtId="11" fontId="0" fillId="0" borderId="16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7"/>
    <xf numFmtId="169" fontId="1" fillId="0" borderId="0" xfId="7" applyNumberFormat="1"/>
    <xf numFmtId="0" fontId="16" fillId="6" borderId="16" xfId="7" applyFont="1" applyFill="1" applyBorder="1" applyAlignment="1">
      <alignment horizontal="left" vertical="center"/>
    </xf>
    <xf numFmtId="0" fontId="15" fillId="6" borderId="25" xfId="7" applyFont="1" applyFill="1" applyBorder="1" applyAlignment="1">
      <alignment horizontal="center" vertical="center"/>
    </xf>
    <xf numFmtId="0" fontId="16" fillId="6" borderId="12" xfId="7" applyFont="1" applyFill="1" applyBorder="1" applyAlignment="1">
      <alignment horizontal="center" vertical="center"/>
    </xf>
    <xf numFmtId="0" fontId="17" fillId="6" borderId="16" xfId="7" applyFont="1" applyFill="1" applyBorder="1" applyAlignment="1">
      <alignment horizontal="center"/>
    </xf>
    <xf numFmtId="0" fontId="18" fillId="5" borderId="25" xfId="7" applyFont="1" applyFill="1" applyBorder="1" applyAlignment="1">
      <alignment horizontal="center"/>
    </xf>
    <xf numFmtId="0" fontId="19" fillId="5" borderId="25" xfId="7" applyFont="1" applyFill="1" applyBorder="1" applyAlignment="1">
      <alignment horizontal="center"/>
    </xf>
    <xf numFmtId="169" fontId="17" fillId="5" borderId="12" xfId="7" applyNumberFormat="1" applyFont="1" applyFill="1" applyBorder="1" applyAlignment="1">
      <alignment horizontal="center"/>
    </xf>
    <xf numFmtId="0" fontId="18" fillId="5" borderId="16" xfId="7" applyFont="1" applyFill="1" applyBorder="1" applyAlignment="1">
      <alignment horizontal="center" vertical="center"/>
    </xf>
    <xf numFmtId="0" fontId="18" fillId="5" borderId="16" xfId="7" applyFont="1" applyFill="1" applyBorder="1" applyAlignment="1">
      <alignment horizontal="center"/>
    </xf>
    <xf numFmtId="0" fontId="19" fillId="7" borderId="16" xfId="7" applyFont="1" applyFill="1" applyBorder="1" applyAlignment="1">
      <alignment horizontal="center"/>
    </xf>
    <xf numFmtId="0" fontId="18" fillId="6" borderId="16" xfId="7" applyFont="1" applyFill="1" applyBorder="1" applyAlignment="1">
      <alignment horizontal="center"/>
    </xf>
    <xf numFmtId="0" fontId="14" fillId="6" borderId="16" xfId="7" applyFont="1" applyFill="1" applyBorder="1" applyAlignment="1">
      <alignment horizontal="center"/>
    </xf>
    <xf numFmtId="0" fontId="18" fillId="8" borderId="16" xfId="7" applyFont="1" applyFill="1" applyBorder="1" applyAlignment="1">
      <alignment horizontal="center" vertical="center"/>
    </xf>
    <xf numFmtId="0" fontId="18" fillId="9" borderId="16" xfId="7" applyFont="1" applyFill="1" applyBorder="1" applyAlignment="1">
      <alignment horizontal="center" vertical="center"/>
    </xf>
    <xf numFmtId="0" fontId="18" fillId="10" borderId="16" xfId="7" applyFont="1" applyFill="1" applyBorder="1" applyAlignment="1">
      <alignment horizontal="center" vertical="center"/>
    </xf>
    <xf numFmtId="0" fontId="22" fillId="0" borderId="0" xfId="7" applyFont="1" applyAlignment="1">
      <alignment vertical="center"/>
    </xf>
    <xf numFmtId="0" fontId="15" fillId="0" borderId="0" xfId="7" applyFont="1" applyAlignment="1">
      <alignment horizontal="center" vertical="center"/>
    </xf>
    <xf numFmtId="0" fontId="18" fillId="0" borderId="16" xfId="7" applyFont="1" applyBorder="1" applyAlignment="1">
      <alignment horizontal="center"/>
    </xf>
    <xf numFmtId="2" fontId="15" fillId="0" borderId="25" xfId="7" applyNumberFormat="1" applyFont="1" applyBorder="1" applyAlignment="1">
      <alignment horizontal="center" vertical="center"/>
    </xf>
    <xf numFmtId="2" fontId="15" fillId="0" borderId="25" xfId="7" applyNumberFormat="1" applyFont="1" applyBorder="1" applyAlignment="1">
      <alignment horizontal="center"/>
    </xf>
    <xf numFmtId="169" fontId="16" fillId="0" borderId="12" xfId="7" applyNumberFormat="1" applyFont="1" applyBorder="1" applyAlignment="1">
      <alignment horizontal="center" vertical="center"/>
    </xf>
    <xf numFmtId="0" fontId="23" fillId="0" borderId="1" xfId="7" applyFont="1" applyBorder="1" applyAlignment="1" applyProtection="1">
      <alignment horizontal="center"/>
    </xf>
    <xf numFmtId="0" fontId="23" fillId="0" borderId="0" xfId="7" applyFont="1" applyBorder="1" applyAlignment="1" applyProtection="1">
      <alignment horizontal="center"/>
    </xf>
    <xf numFmtId="0" fontId="24" fillId="0" borderId="3" xfId="7" applyFont="1" applyBorder="1"/>
    <xf numFmtId="0" fontId="15" fillId="0" borderId="0" xfId="7" applyFont="1" applyBorder="1"/>
    <xf numFmtId="0" fontId="24" fillId="0" borderId="1" xfId="7" applyFont="1" applyBorder="1"/>
    <xf numFmtId="0" fontId="23" fillId="0" borderId="2" xfId="7" applyFont="1" applyBorder="1" applyAlignment="1" applyProtection="1">
      <alignment horizontal="center"/>
    </xf>
    <xf numFmtId="0" fontId="22" fillId="0" borderId="0" xfId="7" applyFont="1"/>
    <xf numFmtId="0" fontId="15" fillId="0" borderId="0" xfId="7" applyFont="1" applyFill="1" applyBorder="1" applyAlignment="1">
      <alignment horizontal="center" vertical="center"/>
    </xf>
    <xf numFmtId="0" fontId="15" fillId="0" borderId="0" xfId="7" applyFont="1" applyAlignment="1">
      <alignment horizontal="center"/>
    </xf>
    <xf numFmtId="0" fontId="15" fillId="0" borderId="0" xfId="7" applyFont="1"/>
    <xf numFmtId="0" fontId="15" fillId="0" borderId="2" xfId="7" applyFont="1" applyBorder="1" applyAlignment="1">
      <alignment horizontal="center"/>
    </xf>
    <xf numFmtId="0" fontId="15" fillId="0" borderId="1" xfId="7" applyFont="1" applyBorder="1" applyAlignment="1">
      <alignment horizontal="center"/>
    </xf>
    <xf numFmtId="0" fontId="15" fillId="0" borderId="0" xfId="7" applyFont="1" applyBorder="1" applyAlignment="1">
      <alignment horizontal="center"/>
    </xf>
    <xf numFmtId="0" fontId="23" fillId="0" borderId="2" xfId="7" applyFont="1" applyFill="1" applyBorder="1" applyAlignment="1" applyProtection="1">
      <alignment horizontal="center"/>
    </xf>
    <xf numFmtId="2" fontId="1" fillId="0" borderId="0" xfId="7" applyNumberFormat="1"/>
    <xf numFmtId="0" fontId="18" fillId="0" borderId="2" xfId="7" applyFont="1" applyBorder="1" applyAlignment="1" applyProtection="1">
      <alignment horizontal="center"/>
    </xf>
    <xf numFmtId="0" fontId="25" fillId="0" borderId="0" xfId="7" applyFont="1" applyFill="1" applyBorder="1" applyAlignment="1">
      <alignment horizontal="center" vertical="center"/>
    </xf>
    <xf numFmtId="0" fontId="23" fillId="0" borderId="6" xfId="7" applyFont="1" applyFill="1" applyBorder="1" applyAlignment="1" applyProtection="1">
      <alignment horizontal="center"/>
    </xf>
    <xf numFmtId="0" fontId="23" fillId="0" borderId="5" xfId="7" applyFont="1" applyFill="1" applyBorder="1" applyAlignment="1" applyProtection="1">
      <alignment horizontal="center"/>
    </xf>
    <xf numFmtId="170" fontId="23" fillId="0" borderId="4" xfId="7" applyNumberFormat="1" applyFont="1" applyFill="1" applyBorder="1" applyAlignment="1" applyProtection="1">
      <alignment horizontal="center"/>
    </xf>
    <xf numFmtId="0" fontId="24" fillId="0" borderId="27" xfId="7" applyFont="1" applyBorder="1"/>
    <xf numFmtId="0" fontId="15" fillId="0" borderId="24" xfId="7" applyFont="1" applyBorder="1"/>
    <xf numFmtId="0" fontId="24" fillId="0" borderId="28" xfId="7" applyFont="1" applyBorder="1"/>
    <xf numFmtId="0" fontId="27" fillId="0" borderId="17" xfId="7" applyFont="1" applyBorder="1" applyAlignment="1">
      <alignment horizontal="center" vertical="center"/>
    </xf>
    <xf numFmtId="0" fontId="15" fillId="0" borderId="3" xfId="7" applyFont="1" applyBorder="1"/>
    <xf numFmtId="0" fontId="15" fillId="0" borderId="34" xfId="7" applyFont="1" applyBorder="1"/>
    <xf numFmtId="0" fontId="27" fillId="0" borderId="2" xfId="7" applyFont="1" applyBorder="1" applyAlignment="1">
      <alignment horizontal="center" vertical="center"/>
    </xf>
    <xf numFmtId="0" fontId="15" fillId="0" borderId="2" xfId="7" applyFont="1" applyBorder="1"/>
    <xf numFmtId="0" fontId="27" fillId="0" borderId="6" xfId="7" applyFont="1" applyBorder="1" applyAlignment="1">
      <alignment horizontal="center" vertical="center"/>
    </xf>
    <xf numFmtId="0" fontId="15" fillId="0" borderId="7" xfId="7" applyFont="1" applyBorder="1"/>
    <xf numFmtId="0" fontId="15" fillId="0" borderId="6" xfId="7" applyFont="1" applyBorder="1"/>
    <xf numFmtId="0" fontId="16" fillId="0" borderId="16" xfId="7" applyFont="1" applyBorder="1" applyAlignment="1">
      <alignment horizontal="center" vertical="center"/>
    </xf>
    <xf numFmtId="0" fontId="28" fillId="0" borderId="17" xfId="7" applyFont="1" applyBorder="1" applyAlignment="1">
      <alignment horizontal="center" vertical="center"/>
    </xf>
    <xf numFmtId="169" fontId="15" fillId="0" borderId="14" xfId="7" applyNumberFormat="1" applyFont="1" applyBorder="1"/>
    <xf numFmtId="169" fontId="15" fillId="0" borderId="15" xfId="7" applyNumberFormat="1" applyFont="1" applyBorder="1"/>
    <xf numFmtId="0" fontId="28" fillId="0" borderId="6" xfId="7" applyFont="1" applyBorder="1" applyAlignment="1">
      <alignment horizontal="center" vertical="center"/>
    </xf>
    <xf numFmtId="169" fontId="15" fillId="0" borderId="4" xfId="7" applyNumberFormat="1" applyFont="1" applyBorder="1"/>
    <xf numFmtId="169" fontId="15" fillId="0" borderId="5" xfId="7" applyNumberFormat="1" applyFont="1" applyBorder="1"/>
    <xf numFmtId="0" fontId="1" fillId="0" borderId="0" xfId="7" applyFill="1" applyBorder="1"/>
    <xf numFmtId="169" fontId="1" fillId="0" borderId="0" xfId="7" applyNumberFormat="1" applyFill="1" applyBorder="1"/>
    <xf numFmtId="0" fontId="18" fillId="0" borderId="0" xfId="7" applyFont="1" applyFill="1" applyBorder="1" applyAlignment="1">
      <alignment horizontal="center"/>
    </xf>
    <xf numFmtId="169" fontId="15" fillId="0" borderId="0" xfId="7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 applyProtection="1">
      <alignment horizontal="center" vertical="center"/>
    </xf>
    <xf numFmtId="0" fontId="9" fillId="3" borderId="26" xfId="0" applyFont="1" applyFill="1" applyBorder="1" applyAlignment="1" applyProtection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1" fontId="9" fillId="0" borderId="18" xfId="0" applyNumberFormat="1" applyFont="1" applyFill="1" applyBorder="1" applyAlignment="1">
      <alignment horizontal="center" vertical="center"/>
    </xf>
    <xf numFmtId="1" fontId="9" fillId="0" borderId="22" xfId="0" applyNumberFormat="1" applyFont="1" applyFill="1" applyBorder="1" applyAlignment="1">
      <alignment horizontal="center" vertical="center"/>
    </xf>
    <xf numFmtId="1" fontId="9" fillId="0" borderId="34" xfId="0" applyNumberFormat="1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2" fontId="9" fillId="0" borderId="34" xfId="6" applyNumberFormat="1" applyFont="1" applyFill="1" applyBorder="1" applyAlignment="1">
      <alignment horizontal="center" vertical="center"/>
    </xf>
    <xf numFmtId="2" fontId="9" fillId="0" borderId="2" xfId="6" applyNumberFormat="1" applyFont="1" applyFill="1" applyBorder="1" applyAlignment="1">
      <alignment horizontal="center" vertical="center"/>
    </xf>
    <xf numFmtId="2" fontId="9" fillId="0" borderId="6" xfId="6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 applyProtection="1">
      <alignment horizontal="center" vertical="center"/>
    </xf>
    <xf numFmtId="2" fontId="9" fillId="3" borderId="28" xfId="0" applyNumberFormat="1" applyFont="1" applyFill="1" applyBorder="1" applyAlignment="1">
      <alignment horizontal="center" vertical="center"/>
    </xf>
    <xf numFmtId="2" fontId="9" fillId="3" borderId="26" xfId="0" applyNumberFormat="1" applyFont="1" applyFill="1" applyBorder="1" applyAlignment="1" applyProtection="1">
      <alignment horizontal="center" vertical="center"/>
    </xf>
    <xf numFmtId="2" fontId="9" fillId="3" borderId="26" xfId="0" applyNumberFormat="1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2" fontId="9" fillId="0" borderId="17" xfId="6" applyNumberFormat="1" applyFont="1" applyFill="1" applyBorder="1" applyAlignment="1">
      <alignment horizontal="center" vertical="center"/>
    </xf>
    <xf numFmtId="1" fontId="9" fillId="0" borderId="17" xfId="0" applyNumberFormat="1" applyFont="1" applyFill="1" applyBorder="1" applyAlignment="1">
      <alignment horizontal="center" vertical="center"/>
    </xf>
    <xf numFmtId="1" fontId="9" fillId="0" borderId="19" xfId="0" applyNumberFormat="1" applyFont="1" applyFill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1" fontId="0" fillId="0" borderId="34" xfId="0" applyNumberForma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2" fontId="9" fillId="0" borderId="3" xfId="6" applyNumberFormat="1" applyFont="1" applyFill="1" applyBorder="1" applyAlignment="1">
      <alignment horizontal="center" vertical="center"/>
    </xf>
    <xf numFmtId="2" fontId="9" fillId="0" borderId="0" xfId="6" applyNumberFormat="1" applyFont="1" applyFill="1" applyBorder="1" applyAlignment="1">
      <alignment horizontal="center" vertical="center"/>
    </xf>
    <xf numFmtId="2" fontId="9" fillId="0" borderId="13" xfId="6" applyNumberFormat="1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2" fontId="9" fillId="0" borderId="14" xfId="6" applyNumberFormat="1" applyFont="1" applyFill="1" applyBorder="1" applyAlignment="1">
      <alignment horizontal="center" vertical="center"/>
    </xf>
    <xf numFmtId="2" fontId="9" fillId="0" borderId="38" xfId="6" applyNumberFormat="1" applyFont="1" applyFill="1" applyBorder="1" applyAlignment="1">
      <alignment horizontal="center" vertical="center"/>
    </xf>
    <xf numFmtId="2" fontId="9" fillId="0" borderId="7" xfId="6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2" fontId="9" fillId="3" borderId="24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1" fontId="9" fillId="0" borderId="39" xfId="0" applyNumberFormat="1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2" fontId="9" fillId="0" borderId="5" xfId="6" applyNumberFormat="1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32" fillId="0" borderId="12" xfId="7" applyFont="1" applyBorder="1"/>
    <xf numFmtId="0" fontId="32" fillId="0" borderId="16" xfId="7" applyFont="1" applyBorder="1"/>
    <xf numFmtId="11" fontId="0" fillId="0" borderId="40" xfId="0" applyNumberForma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15" fillId="5" borderId="16" xfId="7" applyFont="1" applyFill="1" applyBorder="1" applyAlignment="1">
      <alignment horizontal="center" vertical="center"/>
    </xf>
    <xf numFmtId="0" fontId="26" fillId="0" borderId="17" xfId="7" applyFont="1" applyBorder="1" applyAlignment="1">
      <alignment horizontal="center" vertical="center" textRotation="180" wrapText="1"/>
    </xf>
    <xf numFmtId="0" fontId="26" fillId="0" borderId="2" xfId="7" applyFont="1" applyBorder="1" applyAlignment="1">
      <alignment horizontal="center" vertical="center" textRotation="180" wrapText="1"/>
    </xf>
    <xf numFmtId="0" fontId="26" fillId="0" borderId="6" xfId="7" applyFont="1" applyBorder="1" applyAlignment="1">
      <alignment horizontal="center" vertical="center" textRotation="180" wrapText="1"/>
    </xf>
    <xf numFmtId="0" fontId="26" fillId="0" borderId="17" xfId="7" applyFont="1" applyBorder="1" applyAlignment="1">
      <alignment horizontal="center" textRotation="180"/>
    </xf>
    <xf numFmtId="0" fontId="26" fillId="0" borderId="2" xfId="7" applyFont="1" applyBorder="1" applyAlignment="1">
      <alignment horizontal="center" textRotation="180"/>
    </xf>
    <xf numFmtId="0" fontId="26" fillId="0" borderId="6" xfId="7" applyFont="1" applyBorder="1" applyAlignment="1">
      <alignment horizontal="center" textRotation="180"/>
    </xf>
    <xf numFmtId="0" fontId="27" fillId="0" borderId="11" xfId="7" applyFont="1" applyBorder="1" applyAlignment="1">
      <alignment horizontal="center"/>
    </xf>
    <xf numFmtId="0" fontId="27" fillId="0" borderId="25" xfId="7" applyFont="1" applyBorder="1" applyAlignment="1">
      <alignment horizontal="center"/>
    </xf>
    <xf numFmtId="0" fontId="27" fillId="0" borderId="12" xfId="7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8">
    <cellStyle name="Euro" xfId="1"/>
    <cellStyle name="Milliers [0]_Nitrification model" xfId="2"/>
    <cellStyle name="Milliers_Nitrification model" xfId="3"/>
    <cellStyle name="Monétaire [0]_Nitrification model" xfId="4"/>
    <cellStyle name="Monétaire_Nitrification model" xfId="5"/>
    <cellStyle name="Normal" xfId="0" builtinId="0"/>
    <cellStyle name="Normal 2" xfId="6"/>
    <cellStyle name="Normal 3" xfId="7"/>
  </cellStyles>
  <dxfs count="33"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0" tint="-0.249946592608417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I34"/>
  <sheetViews>
    <sheetView zoomScale="90" zoomScaleNormal="90" zoomScalePageLayoutView="125" workbookViewId="0">
      <selection activeCell="G4" sqref="G4"/>
    </sheetView>
  </sheetViews>
  <sheetFormatPr defaultColWidth="8.85546875" defaultRowHeight="15" x14ac:dyDescent="0.25"/>
  <cols>
    <col min="1" max="1" width="2.7109375" style="73" customWidth="1"/>
    <col min="2" max="2" width="46.85546875" style="73" customWidth="1"/>
    <col min="3" max="3" width="24.28515625" style="73" customWidth="1"/>
    <col min="4" max="5" width="18.85546875" style="73" customWidth="1"/>
    <col min="6" max="6" width="7.85546875" style="73" customWidth="1"/>
    <col min="7" max="7" width="8" style="74" customWidth="1"/>
    <col min="8" max="8" width="8.85546875" style="73"/>
    <col min="9" max="9" width="15" style="73" customWidth="1"/>
    <col min="10" max="10" width="15.7109375" style="73" customWidth="1"/>
    <col min="11" max="11" width="6.140625" style="73" customWidth="1"/>
    <col min="12" max="12" width="4.85546875" style="73" customWidth="1"/>
    <col min="13" max="14" width="4.42578125" style="73" customWidth="1"/>
    <col min="15" max="15" width="5" style="73" customWidth="1"/>
    <col min="16" max="17" width="4.7109375" style="73" customWidth="1"/>
    <col min="18" max="18" width="7.42578125" style="73" customWidth="1"/>
    <col min="19" max="20" width="12.85546875" style="73" customWidth="1"/>
    <col min="21" max="21" width="15.7109375" style="73" customWidth="1"/>
    <col min="22" max="22" width="11.7109375" style="73" customWidth="1"/>
    <col min="23" max="24" width="12.28515625" style="73" customWidth="1"/>
    <col min="25" max="25" width="15.28515625" style="73" customWidth="1"/>
    <col min="26" max="26" width="11.42578125" style="73" customWidth="1"/>
    <col min="27" max="28" width="12.7109375" style="73" customWidth="1"/>
    <col min="29" max="29" width="15.7109375" style="73" customWidth="1"/>
    <col min="30" max="30" width="12.28515625" style="73" customWidth="1"/>
    <col min="31" max="31" width="8.85546875" style="73"/>
    <col min="32" max="32" width="14.85546875" style="73" customWidth="1"/>
    <col min="33" max="16384" width="8.85546875" style="73"/>
  </cols>
  <sheetData>
    <row r="2" spans="2:35" ht="21.75" customHeight="1" x14ac:dyDescent="0.25">
      <c r="S2" s="216" t="s">
        <v>67</v>
      </c>
      <c r="T2" s="216"/>
      <c r="U2" s="216"/>
      <c r="V2" s="216"/>
      <c r="W2" s="216" t="s">
        <v>68</v>
      </c>
      <c r="X2" s="216"/>
      <c r="Y2" s="216"/>
      <c r="Z2" s="216"/>
      <c r="AA2" s="216" t="s">
        <v>125</v>
      </c>
      <c r="AB2" s="216"/>
      <c r="AC2" s="216"/>
      <c r="AD2" s="216"/>
      <c r="AF2" s="75" t="s">
        <v>69</v>
      </c>
      <c r="AG2" s="76" t="s">
        <v>70</v>
      </c>
      <c r="AH2" s="76" t="s">
        <v>71</v>
      </c>
      <c r="AI2" s="77" t="s">
        <v>72</v>
      </c>
    </row>
    <row r="3" spans="2:35" ht="20.25" x14ac:dyDescent="0.35">
      <c r="B3" s="78" t="s">
        <v>73</v>
      </c>
      <c r="C3" s="79" t="s">
        <v>74</v>
      </c>
      <c r="D3" s="79" t="s">
        <v>75</v>
      </c>
      <c r="E3" s="79" t="s">
        <v>76</v>
      </c>
      <c r="F3" s="80" t="s">
        <v>77</v>
      </c>
      <c r="G3" s="81" t="s">
        <v>51</v>
      </c>
      <c r="I3" s="82" t="s">
        <v>78</v>
      </c>
      <c r="J3" s="83" t="s">
        <v>79</v>
      </c>
      <c r="K3" s="84" t="s">
        <v>22</v>
      </c>
      <c r="L3" s="85" t="s">
        <v>80</v>
      </c>
      <c r="M3" s="85" t="s">
        <v>20</v>
      </c>
      <c r="N3" s="85" t="s">
        <v>81</v>
      </c>
      <c r="O3" s="85" t="s">
        <v>82</v>
      </c>
      <c r="P3" s="85" t="s">
        <v>0</v>
      </c>
      <c r="Q3" s="85" t="s">
        <v>3</v>
      </c>
      <c r="R3" s="86" t="s">
        <v>83</v>
      </c>
      <c r="S3" s="87" t="s">
        <v>84</v>
      </c>
      <c r="T3" s="88" t="s">
        <v>85</v>
      </c>
      <c r="U3" s="88" t="s">
        <v>86</v>
      </c>
      <c r="V3" s="89" t="s">
        <v>87</v>
      </c>
      <c r="W3" s="87" t="s">
        <v>84</v>
      </c>
      <c r="X3" s="88" t="s">
        <v>85</v>
      </c>
      <c r="Y3" s="88" t="s">
        <v>86</v>
      </c>
      <c r="Z3" s="89" t="s">
        <v>87</v>
      </c>
      <c r="AA3" s="87" t="s">
        <v>84</v>
      </c>
      <c r="AB3" s="88" t="s">
        <v>85</v>
      </c>
      <c r="AC3" s="88" t="s">
        <v>86</v>
      </c>
      <c r="AD3" s="89" t="s">
        <v>87</v>
      </c>
      <c r="AF3" s="90" t="s">
        <v>88</v>
      </c>
      <c r="AG3" s="91" t="s">
        <v>89</v>
      </c>
      <c r="AH3" s="91">
        <v>96.484999999999999</v>
      </c>
      <c r="AI3" s="91" t="s">
        <v>90</v>
      </c>
    </row>
    <row r="4" spans="2:35" ht="15.75" x14ac:dyDescent="0.25">
      <c r="B4" s="92" t="s">
        <v>94</v>
      </c>
      <c r="C4" s="93">
        <f>S25</f>
        <v>-307.36384335522246</v>
      </c>
      <c r="D4" s="93">
        <f>V25</f>
        <v>272.16115300656685</v>
      </c>
      <c r="E4" s="94">
        <v>3500</v>
      </c>
      <c r="F4" s="93">
        <f>(D4+E4)/(-C4)-V4</f>
        <v>13.172624885963099</v>
      </c>
      <c r="G4" s="95">
        <f>1/F4</f>
        <v>7.5915013799991493E-2</v>
      </c>
      <c r="I4" s="109" t="s">
        <v>62</v>
      </c>
      <c r="J4" s="107">
        <v>-26.57</v>
      </c>
      <c r="K4" s="106">
        <v>-3</v>
      </c>
      <c r="L4" s="108">
        <v>0</v>
      </c>
      <c r="M4" s="108">
        <v>3</v>
      </c>
      <c r="N4" s="108">
        <v>0</v>
      </c>
      <c r="O4" s="108">
        <v>1</v>
      </c>
      <c r="P4" s="108">
        <v>0</v>
      </c>
      <c r="Q4" s="108">
        <v>0</v>
      </c>
      <c r="R4" s="108">
        <v>0</v>
      </c>
      <c r="S4" s="98">
        <v>-1</v>
      </c>
      <c r="T4" s="99">
        <v>-0.2</v>
      </c>
      <c r="U4" s="99">
        <v>-1</v>
      </c>
      <c r="V4" s="100">
        <f>T4+U4*(-$T$13/$U$13)</f>
        <v>-0.90000000000000013</v>
      </c>
      <c r="W4" s="98">
        <v>0</v>
      </c>
      <c r="X4" s="99">
        <v>0</v>
      </c>
      <c r="Y4" s="99">
        <v>0</v>
      </c>
      <c r="Z4" s="100">
        <f>X4+Y4*(-$X$13/$Y$13)</f>
        <v>0</v>
      </c>
      <c r="AA4" s="98">
        <f t="shared" ref="AA4:AA14" si="0">S4+W4</f>
        <v>-1</v>
      </c>
      <c r="AB4" s="99">
        <v>-0.2</v>
      </c>
      <c r="AC4" s="99">
        <v>-1</v>
      </c>
      <c r="AD4" s="100">
        <f>AB4+AC4*(-$AB$13/$AC$13)</f>
        <v>-0.72500000000000009</v>
      </c>
      <c r="AF4" s="90" t="s">
        <v>91</v>
      </c>
      <c r="AG4" s="91" t="s">
        <v>92</v>
      </c>
      <c r="AH4" s="91">
        <v>8.3140000000000002E-3</v>
      </c>
      <c r="AI4" s="91" t="s">
        <v>12</v>
      </c>
    </row>
    <row r="5" spans="2:35" ht="15.75" x14ac:dyDescent="0.25">
      <c r="B5" s="92" t="s">
        <v>68</v>
      </c>
      <c r="C5" s="93">
        <f>W25</f>
        <v>-87.34</v>
      </c>
      <c r="D5" s="93">
        <f>Z25</f>
        <v>312.97061202626696</v>
      </c>
      <c r="E5" s="94">
        <v>3500</v>
      </c>
      <c r="F5" s="93">
        <f>(D5+E5)/(-C5)-Z5</f>
        <v>46.556636272341045</v>
      </c>
      <c r="G5" s="95">
        <f t="shared" ref="G5:G6" si="1">1/F5</f>
        <v>2.1479214996339688E-2</v>
      </c>
      <c r="I5" s="101" t="s">
        <v>95</v>
      </c>
      <c r="J5" s="96">
        <v>-32.200000000000003</v>
      </c>
      <c r="K5" s="101">
        <v>3</v>
      </c>
      <c r="L5" s="97">
        <v>0</v>
      </c>
      <c r="M5" s="97">
        <v>0</v>
      </c>
      <c r="N5" s="97">
        <v>2</v>
      </c>
      <c r="O5" s="97">
        <v>1</v>
      </c>
      <c r="P5" s="97">
        <v>0</v>
      </c>
      <c r="Q5" s="97">
        <v>0</v>
      </c>
      <c r="R5" s="97">
        <v>-1</v>
      </c>
      <c r="S5" s="98">
        <v>1</v>
      </c>
      <c r="T5" s="99">
        <v>0</v>
      </c>
      <c r="U5" s="99">
        <v>1</v>
      </c>
      <c r="V5" s="100">
        <f>T5+U5*(-$T$13/$U$13)</f>
        <v>0.70000000000000007</v>
      </c>
      <c r="W5" s="98">
        <v>-1</v>
      </c>
      <c r="X5" s="99">
        <v>-0.2</v>
      </c>
      <c r="Y5" s="99">
        <v>-1</v>
      </c>
      <c r="Z5" s="100">
        <f>X5+Y5*(-$X$13/$Y$13)</f>
        <v>-2.9000000000000004</v>
      </c>
      <c r="AA5" s="98">
        <f t="shared" si="0"/>
        <v>0</v>
      </c>
      <c r="AB5" s="99">
        <v>0</v>
      </c>
      <c r="AC5" s="99">
        <v>0</v>
      </c>
      <c r="AD5" s="100">
        <f>AB5+AC5*(-$AB$13/$AC$13)</f>
        <v>0</v>
      </c>
      <c r="AF5" s="102" t="s">
        <v>93</v>
      </c>
      <c r="AG5" s="103" t="s">
        <v>1</v>
      </c>
      <c r="AH5" s="104">
        <v>298.14999999999998</v>
      </c>
      <c r="AI5" s="104" t="s">
        <v>2</v>
      </c>
    </row>
    <row r="6" spans="2:35" ht="15.75" x14ac:dyDescent="0.25">
      <c r="B6" s="92" t="s">
        <v>114</v>
      </c>
      <c r="C6" s="93">
        <f>AA25</f>
        <v>-394.70384335522243</v>
      </c>
      <c r="D6" s="93">
        <f>AD25</f>
        <v>280.09632559373074</v>
      </c>
      <c r="E6" s="94">
        <v>3500</v>
      </c>
      <c r="F6" s="93">
        <f>(D6+E6)/(-C6)-AD4</f>
        <v>10.302044635442654</v>
      </c>
      <c r="G6" s="95">
        <f t="shared" si="1"/>
        <v>9.7068109815759154E-2</v>
      </c>
      <c r="I6" s="109" t="s">
        <v>96</v>
      </c>
      <c r="J6" s="96">
        <v>-111.34</v>
      </c>
      <c r="K6" s="101">
        <v>5</v>
      </c>
      <c r="L6" s="97">
        <v>0</v>
      </c>
      <c r="M6" s="97">
        <v>0</v>
      </c>
      <c r="N6" s="97">
        <v>3</v>
      </c>
      <c r="O6" s="97">
        <v>1</v>
      </c>
      <c r="P6" s="97">
        <v>0</v>
      </c>
      <c r="Q6" s="97">
        <v>0</v>
      </c>
      <c r="R6" s="97">
        <v>-1</v>
      </c>
      <c r="S6" s="98">
        <v>0</v>
      </c>
      <c r="T6" s="99">
        <v>0</v>
      </c>
      <c r="U6" s="99">
        <v>0</v>
      </c>
      <c r="V6" s="100">
        <f>T6+U6*(-$T$13/$U$13)</f>
        <v>0</v>
      </c>
      <c r="W6" s="98">
        <v>1</v>
      </c>
      <c r="X6" s="99">
        <v>0</v>
      </c>
      <c r="Y6" s="99">
        <v>1</v>
      </c>
      <c r="Z6" s="100">
        <f>X6+Y6*(-$X$13/$Y$13)</f>
        <v>2.7</v>
      </c>
      <c r="AA6" s="98">
        <f t="shared" si="0"/>
        <v>1</v>
      </c>
      <c r="AB6" s="99">
        <v>0</v>
      </c>
      <c r="AC6" s="99">
        <v>1</v>
      </c>
      <c r="AD6" s="100">
        <f>AB6+AC6*(-$AB$13/$AC$13)</f>
        <v>0.52500000000000002</v>
      </c>
      <c r="AF6" s="105"/>
      <c r="AG6" s="105"/>
      <c r="AH6" s="105"/>
      <c r="AI6" s="105"/>
    </row>
    <row r="7" spans="2:35" ht="15.75" x14ac:dyDescent="0.25">
      <c r="I7" s="101" t="s">
        <v>47</v>
      </c>
      <c r="J7" s="96">
        <v>16.399999999999999</v>
      </c>
      <c r="K7" s="101">
        <v>0</v>
      </c>
      <c r="L7" s="97">
        <v>0</v>
      </c>
      <c r="M7" s="97">
        <v>0</v>
      </c>
      <c r="N7" s="97">
        <v>2</v>
      </c>
      <c r="O7" s="97">
        <v>0</v>
      </c>
      <c r="P7" s="97">
        <v>0</v>
      </c>
      <c r="Q7" s="97">
        <v>0</v>
      </c>
      <c r="R7" s="97">
        <v>0</v>
      </c>
      <c r="S7" s="98">
        <v>-1.5</v>
      </c>
      <c r="T7" s="99">
        <v>0</v>
      </c>
      <c r="U7" s="99">
        <v>0</v>
      </c>
      <c r="V7" s="100">
        <f>T7+U7*(-$T$13/$U$13)</f>
        <v>0</v>
      </c>
      <c r="W7" s="98">
        <v>-0.5</v>
      </c>
      <c r="X7" s="99">
        <v>0</v>
      </c>
      <c r="Y7" s="99">
        <v>0</v>
      </c>
      <c r="Z7" s="100">
        <f>X7+Y7*(-$X$13/$Y$13)</f>
        <v>0</v>
      </c>
      <c r="AA7" s="98">
        <f t="shared" ref="AA7" si="2">S7+W7</f>
        <v>-2</v>
      </c>
      <c r="AB7" s="99">
        <v>0</v>
      </c>
      <c r="AC7" s="99">
        <v>0</v>
      </c>
      <c r="AD7" s="100">
        <f>AB7+AC7*(-$AB$13/$AC$13)</f>
        <v>0</v>
      </c>
    </row>
    <row r="8" spans="2:35" ht="15.75" x14ac:dyDescent="0.25">
      <c r="I8" s="111" t="s">
        <v>97</v>
      </c>
      <c r="J8" s="96">
        <v>-586.70000000000005</v>
      </c>
      <c r="K8" s="101">
        <v>4</v>
      </c>
      <c r="L8" s="97">
        <v>1</v>
      </c>
      <c r="M8" s="97">
        <v>1</v>
      </c>
      <c r="N8" s="97">
        <v>3</v>
      </c>
      <c r="O8" s="97">
        <v>0</v>
      </c>
      <c r="P8" s="97">
        <v>0</v>
      </c>
      <c r="Q8" s="97">
        <v>0</v>
      </c>
      <c r="R8" s="97">
        <v>-1</v>
      </c>
      <c r="S8" s="98">
        <v>0</v>
      </c>
      <c r="T8" s="99">
        <v>-1</v>
      </c>
      <c r="U8" s="99">
        <v>0</v>
      </c>
      <c r="V8" s="100">
        <f>T8+U8*(-$T$13/$U$13)</f>
        <v>-1</v>
      </c>
      <c r="W8" s="98">
        <v>0</v>
      </c>
      <c r="X8" s="99">
        <v>-1</v>
      </c>
      <c r="Y8" s="99">
        <v>0</v>
      </c>
      <c r="Z8" s="100">
        <f>X8+Y8*(-$X$13/$Y$13)</f>
        <v>-1</v>
      </c>
      <c r="AA8" s="98">
        <f t="shared" si="0"/>
        <v>0</v>
      </c>
      <c r="AB8" s="99">
        <v>-1</v>
      </c>
      <c r="AC8" s="99">
        <v>0</v>
      </c>
      <c r="AD8" s="100">
        <f>AB8+AC8*(-$AB$13/$AC$13)</f>
        <v>-1</v>
      </c>
    </row>
    <row r="9" spans="2:35" ht="15.75" x14ac:dyDescent="0.25">
      <c r="I9" s="111" t="s">
        <v>17</v>
      </c>
      <c r="J9" s="96">
        <v>0</v>
      </c>
      <c r="K9" s="101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8">
        <v>0</v>
      </c>
      <c r="T9" s="99">
        <v>0</v>
      </c>
      <c r="U9" s="99">
        <v>0</v>
      </c>
      <c r="V9" s="100">
        <v>0</v>
      </c>
      <c r="W9" s="98">
        <v>0</v>
      </c>
      <c r="X9" s="99">
        <v>0</v>
      </c>
      <c r="Y9" s="99">
        <v>0</v>
      </c>
      <c r="Z9" s="100">
        <v>0</v>
      </c>
      <c r="AA9" s="98">
        <v>0</v>
      </c>
      <c r="AB9" s="99">
        <v>0</v>
      </c>
      <c r="AC9" s="99">
        <v>0</v>
      </c>
      <c r="AD9" s="100">
        <v>0</v>
      </c>
    </row>
    <row r="10" spans="2:35" ht="15.75" x14ac:dyDescent="0.25">
      <c r="I10" s="111" t="s">
        <v>66</v>
      </c>
      <c r="J10" s="96">
        <v>0</v>
      </c>
      <c r="K10" s="101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8">
        <v>0</v>
      </c>
      <c r="T10" s="99">
        <v>0</v>
      </c>
      <c r="U10" s="99">
        <v>0</v>
      </c>
      <c r="V10" s="100">
        <v>0</v>
      </c>
      <c r="W10" s="98">
        <v>0</v>
      </c>
      <c r="X10" s="99">
        <v>0</v>
      </c>
      <c r="Y10" s="99">
        <v>0</v>
      </c>
      <c r="Z10" s="100">
        <v>0</v>
      </c>
      <c r="AA10" s="98">
        <v>0</v>
      </c>
      <c r="AB10" s="99">
        <v>0</v>
      </c>
      <c r="AC10" s="99">
        <v>0</v>
      </c>
      <c r="AD10" s="100">
        <v>0</v>
      </c>
    </row>
    <row r="11" spans="2:35" ht="21" x14ac:dyDescent="0.3">
      <c r="B11" s="213" t="s">
        <v>126</v>
      </c>
      <c r="C11" s="212">
        <v>16.691904999999998</v>
      </c>
      <c r="I11" s="101" t="s">
        <v>19</v>
      </c>
      <c r="J11" s="96">
        <v>-237.18</v>
      </c>
      <c r="K11" s="101">
        <v>-2</v>
      </c>
      <c r="L11" s="97">
        <v>0</v>
      </c>
      <c r="M11" s="97">
        <v>2</v>
      </c>
      <c r="N11" s="97">
        <v>1</v>
      </c>
      <c r="O11" s="97">
        <v>0</v>
      </c>
      <c r="P11" s="97">
        <v>0</v>
      </c>
      <c r="Q11" s="97">
        <v>0</v>
      </c>
      <c r="R11" s="97">
        <v>0</v>
      </c>
      <c r="S11" s="98">
        <v>1</v>
      </c>
      <c r="T11" s="99">
        <v>2.5</v>
      </c>
      <c r="U11" s="99">
        <v>-2</v>
      </c>
      <c r="V11" s="100">
        <f>T11+U11*(-$T$13/$U$13)</f>
        <v>1.0999999999999999</v>
      </c>
      <c r="W11" s="98">
        <v>0</v>
      </c>
      <c r="X11" s="99">
        <v>2.9</v>
      </c>
      <c r="Y11" s="99">
        <v>-1</v>
      </c>
      <c r="Z11" s="100">
        <f>X11+Y11*(-$X$13/$Y$13)</f>
        <v>0.19999999999999973</v>
      </c>
      <c r="AA11" s="98">
        <f t="shared" si="0"/>
        <v>1</v>
      </c>
      <c r="AB11" s="99">
        <v>2.5</v>
      </c>
      <c r="AC11" s="99">
        <v>-3</v>
      </c>
      <c r="AD11" s="100">
        <f>AB11+AC11*(-$AB$13/$AC$13)</f>
        <v>0.92499999999999982</v>
      </c>
    </row>
    <row r="12" spans="2:35" ht="15.75" x14ac:dyDescent="0.25">
      <c r="B12" s="104"/>
      <c r="E12" s="110"/>
      <c r="I12" s="101" t="s">
        <v>98</v>
      </c>
      <c r="J12" s="96">
        <v>0</v>
      </c>
      <c r="K12" s="101">
        <v>1</v>
      </c>
      <c r="L12" s="97">
        <v>0</v>
      </c>
      <c r="M12" s="97">
        <v>1</v>
      </c>
      <c r="N12" s="97">
        <v>0</v>
      </c>
      <c r="O12" s="97">
        <v>0</v>
      </c>
      <c r="P12" s="97">
        <v>0</v>
      </c>
      <c r="Q12" s="97">
        <v>0</v>
      </c>
      <c r="R12" s="97">
        <v>1</v>
      </c>
      <c r="S12" s="98">
        <v>1</v>
      </c>
      <c r="T12" s="99">
        <v>-5.2</v>
      </c>
      <c r="U12" s="99">
        <v>7</v>
      </c>
      <c r="V12" s="100">
        <f>T12+U12*(-$T$13/$U$13)</f>
        <v>-0.29999999999999982</v>
      </c>
      <c r="W12" s="98">
        <v>0</v>
      </c>
      <c r="X12" s="99">
        <v>-6.6</v>
      </c>
      <c r="Y12" s="99">
        <v>2</v>
      </c>
      <c r="Z12" s="100">
        <f>X12+Y12*(-$X$13/$Y$13)</f>
        <v>-1.1999999999999993</v>
      </c>
      <c r="AA12" s="98">
        <f t="shared" si="0"/>
        <v>1</v>
      </c>
      <c r="AB12" s="99">
        <v>-5.2</v>
      </c>
      <c r="AC12" s="99">
        <v>9</v>
      </c>
      <c r="AD12" s="100">
        <f>AB12+AC12*(-$AB$13/$AC$13)</f>
        <v>-0.47499999999999964</v>
      </c>
    </row>
    <row r="13" spans="2:35" ht="15.75" x14ac:dyDescent="0.25">
      <c r="B13" s="104"/>
      <c r="E13" s="110"/>
      <c r="I13" s="101" t="s">
        <v>99</v>
      </c>
      <c r="J13" s="96">
        <v>0</v>
      </c>
      <c r="K13" s="101">
        <v>-1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-1</v>
      </c>
      <c r="S13" s="98">
        <v>0</v>
      </c>
      <c r="T13" s="99">
        <v>-4.2</v>
      </c>
      <c r="U13" s="99">
        <v>6</v>
      </c>
      <c r="V13" s="100">
        <f>T13+U13*(-$T$13/$U$13)</f>
        <v>0</v>
      </c>
      <c r="W13" s="98">
        <v>0</v>
      </c>
      <c r="X13" s="99">
        <v>-5.4</v>
      </c>
      <c r="Y13" s="99">
        <v>2</v>
      </c>
      <c r="Z13" s="100">
        <f>X13+Y13*(-$X$13/$Y$13)</f>
        <v>0</v>
      </c>
      <c r="AA13" s="98">
        <f t="shared" si="0"/>
        <v>0</v>
      </c>
      <c r="AB13" s="99">
        <v>-4.2</v>
      </c>
      <c r="AC13" s="99">
        <v>8</v>
      </c>
      <c r="AD13" s="100">
        <f>AB13+AC13*(-$AB$13/$AC$13)</f>
        <v>0</v>
      </c>
    </row>
    <row r="14" spans="2:35" ht="21" thickBot="1" x14ac:dyDescent="0.4">
      <c r="B14" s="78" t="s">
        <v>73</v>
      </c>
      <c r="C14" s="79" t="s">
        <v>74</v>
      </c>
      <c r="D14" s="79" t="s">
        <v>75</v>
      </c>
      <c r="E14" s="79" t="s">
        <v>76</v>
      </c>
      <c r="F14" s="80" t="s">
        <v>77</v>
      </c>
      <c r="G14" s="81" t="s">
        <v>51</v>
      </c>
      <c r="I14" s="113" t="s">
        <v>100</v>
      </c>
      <c r="J14" s="114">
        <v>-67</v>
      </c>
      <c r="K14" s="113">
        <v>-0.2</v>
      </c>
      <c r="L14" s="115">
        <v>1</v>
      </c>
      <c r="M14" s="115">
        <v>1.8</v>
      </c>
      <c r="N14" s="115">
        <v>0.5</v>
      </c>
      <c r="O14" s="115">
        <v>0.2</v>
      </c>
      <c r="P14" s="115">
        <v>0</v>
      </c>
      <c r="Q14" s="115">
        <v>0</v>
      </c>
      <c r="R14" s="115">
        <v>0</v>
      </c>
      <c r="S14" s="116">
        <v>0</v>
      </c>
      <c r="T14" s="117">
        <v>1</v>
      </c>
      <c r="U14" s="117">
        <v>0</v>
      </c>
      <c r="V14" s="118">
        <f>T14+U14*(-$T$13/$U$13)</f>
        <v>1</v>
      </c>
      <c r="W14" s="116">
        <v>0</v>
      </c>
      <c r="X14" s="117">
        <v>1</v>
      </c>
      <c r="Y14" s="117">
        <v>0</v>
      </c>
      <c r="Z14" s="118">
        <f>X14+Y14*(-$X$13/$Y$13)</f>
        <v>1</v>
      </c>
      <c r="AA14" s="117">
        <f t="shared" si="0"/>
        <v>0</v>
      </c>
      <c r="AB14" s="117">
        <v>1</v>
      </c>
      <c r="AC14" s="117">
        <v>0</v>
      </c>
      <c r="AD14" s="118">
        <f>AB14+AC14*(-$AB$13/$AC$13)</f>
        <v>1</v>
      </c>
    </row>
    <row r="15" spans="2:35" ht="15.75" x14ac:dyDescent="0.25">
      <c r="B15" s="92" t="s">
        <v>94</v>
      </c>
      <c r="C15" s="93">
        <v>-136.9</v>
      </c>
      <c r="D15" s="93">
        <f>D4</f>
        <v>272.16115300656685</v>
      </c>
      <c r="E15" s="94">
        <f t="shared" ref="C15:E17" si="3">E4</f>
        <v>3500</v>
      </c>
      <c r="F15" s="93">
        <f>(D15+E15)/(-C15)-V4</f>
        <v>28.454135522327004</v>
      </c>
      <c r="G15" s="95">
        <f>1/F15</f>
        <v>3.5144276276302039E-2</v>
      </c>
      <c r="J15" s="217" t="s">
        <v>101</v>
      </c>
      <c r="K15" s="220" t="s">
        <v>102</v>
      </c>
      <c r="R15" s="119" t="s">
        <v>103</v>
      </c>
      <c r="S15" s="120">
        <f t="shared" ref="S15:AD15" si="4">SUMPRODUCT($L$4:$L$14,S4:S14)</f>
        <v>0</v>
      </c>
      <c r="T15" s="120">
        <f t="shared" si="4"/>
        <v>0</v>
      </c>
      <c r="U15" s="120">
        <f t="shared" si="4"/>
        <v>0</v>
      </c>
      <c r="V15" s="120">
        <f t="shared" si="4"/>
        <v>0</v>
      </c>
      <c r="W15" s="120">
        <f t="shared" si="4"/>
        <v>0</v>
      </c>
      <c r="X15" s="120">
        <f t="shared" si="4"/>
        <v>0</v>
      </c>
      <c r="Y15" s="120">
        <f t="shared" si="4"/>
        <v>0</v>
      </c>
      <c r="Z15" s="120">
        <f t="shared" si="4"/>
        <v>0</v>
      </c>
      <c r="AA15" s="120">
        <f t="shared" si="4"/>
        <v>0</v>
      </c>
      <c r="AB15" s="120">
        <f t="shared" si="4"/>
        <v>0</v>
      </c>
      <c r="AC15" s="120">
        <f t="shared" si="4"/>
        <v>0</v>
      </c>
      <c r="AD15" s="121">
        <f t="shared" si="4"/>
        <v>0</v>
      </c>
    </row>
    <row r="16" spans="2:35" ht="15.75" x14ac:dyDescent="0.25">
      <c r="B16" s="92" t="s">
        <v>68</v>
      </c>
      <c r="C16" s="93">
        <f t="shared" si="3"/>
        <v>-87.34</v>
      </c>
      <c r="D16" s="93">
        <f>D5</f>
        <v>312.97061202626696</v>
      </c>
      <c r="E16" s="94">
        <f t="shared" si="3"/>
        <v>3500</v>
      </c>
      <c r="F16" s="93">
        <f>(D16+E16)/(-C16)-Z5</f>
        <v>46.556636272341045</v>
      </c>
      <c r="G16" s="95">
        <f t="shared" ref="G16:G17" si="5">1/F16</f>
        <v>2.1479214996339688E-2</v>
      </c>
      <c r="J16" s="218"/>
      <c r="K16" s="221"/>
      <c r="R16" s="122" t="s">
        <v>104</v>
      </c>
      <c r="S16" s="120">
        <f t="shared" ref="S16:AD16" si="6">SUMPRODUCT($M$4:$M$14,S4:S14)</f>
        <v>0</v>
      </c>
      <c r="T16" s="120">
        <f t="shared" si="6"/>
        <v>-2.2204460492503131E-16</v>
      </c>
      <c r="U16" s="120">
        <f t="shared" si="6"/>
        <v>0</v>
      </c>
      <c r="V16" s="120">
        <f t="shared" si="6"/>
        <v>-2.2204460492503131E-16</v>
      </c>
      <c r="W16" s="120">
        <f t="shared" si="6"/>
        <v>0</v>
      </c>
      <c r="X16" s="120">
        <f t="shared" si="6"/>
        <v>2.2204460492503131E-16</v>
      </c>
      <c r="Y16" s="120">
        <f t="shared" si="6"/>
        <v>0</v>
      </c>
      <c r="Z16" s="120">
        <f t="shared" si="6"/>
        <v>2.2204460492503131E-16</v>
      </c>
      <c r="AA16" s="120">
        <f t="shared" si="6"/>
        <v>0</v>
      </c>
      <c r="AB16" s="120">
        <f t="shared" si="6"/>
        <v>-2.2204460492503131E-16</v>
      </c>
      <c r="AC16" s="120">
        <f t="shared" si="6"/>
        <v>0</v>
      </c>
      <c r="AD16" s="123">
        <f t="shared" si="6"/>
        <v>-2.2204460492503131E-16</v>
      </c>
    </row>
    <row r="17" spans="2:30" ht="15.75" x14ac:dyDescent="0.25">
      <c r="B17" s="92" t="s">
        <v>114</v>
      </c>
      <c r="C17" s="93">
        <f>C15+C16</f>
        <v>-224.24</v>
      </c>
      <c r="D17" s="93">
        <f t="shared" si="3"/>
        <v>280.09632559373074</v>
      </c>
      <c r="E17" s="94">
        <f t="shared" si="3"/>
        <v>3500</v>
      </c>
      <c r="F17" s="93">
        <f>(D17+E17)/(-C17)-AD4</f>
        <v>17.582368558659166</v>
      </c>
      <c r="G17" s="95">
        <f t="shared" si="5"/>
        <v>5.6875158580810693E-2</v>
      </c>
      <c r="J17" s="218"/>
      <c r="K17" s="221"/>
      <c r="R17" s="122" t="s">
        <v>105</v>
      </c>
      <c r="S17" s="120">
        <f t="shared" ref="S17:AD17" si="7">SUMPRODUCT($N$4:$N$14,S4:S14)</f>
        <v>0</v>
      </c>
      <c r="T17" s="120">
        <f t="shared" si="7"/>
        <v>0</v>
      </c>
      <c r="U17" s="120">
        <f t="shared" si="7"/>
        <v>0</v>
      </c>
      <c r="V17" s="120">
        <f t="shared" si="7"/>
        <v>0</v>
      </c>
      <c r="W17" s="120">
        <f t="shared" si="7"/>
        <v>0</v>
      </c>
      <c r="X17" s="120">
        <f t="shared" si="7"/>
        <v>0</v>
      </c>
      <c r="Y17" s="120">
        <f t="shared" si="7"/>
        <v>0</v>
      </c>
      <c r="Z17" s="120">
        <f t="shared" si="7"/>
        <v>4.4408920985006262E-16</v>
      </c>
      <c r="AA17" s="120">
        <f t="shared" si="7"/>
        <v>0</v>
      </c>
      <c r="AB17" s="120">
        <f t="shared" si="7"/>
        <v>0</v>
      </c>
      <c r="AC17" s="120">
        <f t="shared" si="7"/>
        <v>0</v>
      </c>
      <c r="AD17" s="123">
        <f t="shared" si="7"/>
        <v>0</v>
      </c>
    </row>
    <row r="18" spans="2:30" ht="15.75" x14ac:dyDescent="0.25">
      <c r="B18" s="136"/>
      <c r="C18" s="136"/>
      <c r="D18" s="103"/>
      <c r="E18" s="103"/>
      <c r="F18" s="112"/>
      <c r="G18" s="135"/>
      <c r="J18" s="218"/>
      <c r="K18" s="221"/>
      <c r="R18" s="122" t="s">
        <v>106</v>
      </c>
      <c r="S18" s="120">
        <f t="shared" ref="S18:AD18" si="8">SUMPRODUCT($O$4:$O$14,S4:S14)</f>
        <v>0</v>
      </c>
      <c r="T18" s="120">
        <f t="shared" si="8"/>
        <v>0</v>
      </c>
      <c r="U18" s="120">
        <f t="shared" si="8"/>
        <v>0</v>
      </c>
      <c r="V18" s="120">
        <f t="shared" si="8"/>
        <v>-5.5511151231257827E-17</v>
      </c>
      <c r="W18" s="120">
        <f t="shared" si="8"/>
        <v>0</v>
      </c>
      <c r="X18" s="120">
        <f t="shared" si="8"/>
        <v>0</v>
      </c>
      <c r="Y18" s="120">
        <f t="shared" si="8"/>
        <v>0</v>
      </c>
      <c r="Z18" s="120">
        <f t="shared" si="8"/>
        <v>-1.6653345369377348E-16</v>
      </c>
      <c r="AA18" s="120">
        <f t="shared" si="8"/>
        <v>0</v>
      </c>
      <c r="AB18" s="120">
        <f t="shared" si="8"/>
        <v>0</v>
      </c>
      <c r="AC18" s="120">
        <f t="shared" si="8"/>
        <v>0</v>
      </c>
      <c r="AD18" s="123">
        <f t="shared" si="8"/>
        <v>-5.5511151231257827E-17</v>
      </c>
    </row>
    <row r="19" spans="2:30" ht="15.75" x14ac:dyDescent="0.25">
      <c r="B19" s="136"/>
      <c r="C19" s="136"/>
      <c r="D19" s="103"/>
      <c r="E19" s="103"/>
      <c r="F19" s="103"/>
      <c r="G19" s="137"/>
      <c r="J19" s="218"/>
      <c r="K19" s="221"/>
      <c r="R19" s="122" t="s">
        <v>107</v>
      </c>
      <c r="S19" s="120">
        <f t="shared" ref="S19:AD19" si="9">SUMPRODUCT($P$4:$P$14,S4:S14)</f>
        <v>0</v>
      </c>
      <c r="T19" s="120">
        <f t="shared" si="9"/>
        <v>0</v>
      </c>
      <c r="U19" s="120">
        <f t="shared" si="9"/>
        <v>0</v>
      </c>
      <c r="V19" s="120">
        <f t="shared" si="9"/>
        <v>0</v>
      </c>
      <c r="W19" s="120">
        <f t="shared" si="9"/>
        <v>0</v>
      </c>
      <c r="X19" s="120">
        <f t="shared" si="9"/>
        <v>0</v>
      </c>
      <c r="Y19" s="120">
        <f t="shared" si="9"/>
        <v>0</v>
      </c>
      <c r="Z19" s="120">
        <f t="shared" si="9"/>
        <v>0</v>
      </c>
      <c r="AA19" s="120">
        <f t="shared" si="9"/>
        <v>0</v>
      </c>
      <c r="AB19" s="120">
        <f t="shared" si="9"/>
        <v>0</v>
      </c>
      <c r="AC19" s="120">
        <f t="shared" si="9"/>
        <v>0</v>
      </c>
      <c r="AD19" s="123">
        <f t="shared" si="9"/>
        <v>0</v>
      </c>
    </row>
    <row r="20" spans="2:30" ht="15.75" x14ac:dyDescent="0.25">
      <c r="B20" s="136"/>
      <c r="C20" s="136"/>
      <c r="D20" s="103"/>
      <c r="E20" s="103"/>
      <c r="F20" s="103"/>
      <c r="G20" s="137"/>
      <c r="J20" s="218"/>
      <c r="K20" s="221"/>
      <c r="R20" s="122" t="s">
        <v>108</v>
      </c>
      <c r="S20" s="120">
        <f t="shared" ref="S20:AD20" si="10">SUMPRODUCT($Q$4:$Q$14,S4:S14)</f>
        <v>0</v>
      </c>
      <c r="T20" s="120">
        <f t="shared" si="10"/>
        <v>0</v>
      </c>
      <c r="U20" s="120">
        <f t="shared" si="10"/>
        <v>0</v>
      </c>
      <c r="V20" s="120">
        <f t="shared" si="10"/>
        <v>0</v>
      </c>
      <c r="W20" s="120">
        <f t="shared" si="10"/>
        <v>0</v>
      </c>
      <c r="X20" s="120">
        <f t="shared" si="10"/>
        <v>0</v>
      </c>
      <c r="Y20" s="120">
        <f t="shared" si="10"/>
        <v>0</v>
      </c>
      <c r="Z20" s="120">
        <f t="shared" si="10"/>
        <v>0</v>
      </c>
      <c r="AA20" s="120">
        <f t="shared" si="10"/>
        <v>0</v>
      </c>
      <c r="AB20" s="120">
        <f t="shared" si="10"/>
        <v>0</v>
      </c>
      <c r="AC20" s="120">
        <f t="shared" si="10"/>
        <v>0</v>
      </c>
      <c r="AD20" s="123">
        <f t="shared" si="10"/>
        <v>0</v>
      </c>
    </row>
    <row r="21" spans="2:30" ht="15.75" x14ac:dyDescent="0.25">
      <c r="B21" s="136"/>
      <c r="C21" s="136"/>
      <c r="D21" s="103"/>
      <c r="E21" s="103"/>
      <c r="F21" s="103"/>
      <c r="G21" s="137"/>
      <c r="J21" s="218"/>
      <c r="K21" s="221"/>
      <c r="R21" s="124" t="s">
        <v>83</v>
      </c>
      <c r="S21" s="125">
        <f t="shared" ref="S21:AD21" si="11">SUMPRODUCT($R$4:$R$14,S4:S14)</f>
        <v>0</v>
      </c>
      <c r="T21" s="125">
        <f t="shared" si="11"/>
        <v>0</v>
      </c>
      <c r="U21" s="125">
        <f t="shared" si="11"/>
        <v>0</v>
      </c>
      <c r="V21" s="125">
        <f t="shared" si="11"/>
        <v>1.1102230246251565E-16</v>
      </c>
      <c r="W21" s="125">
        <f t="shared" si="11"/>
        <v>0</v>
      </c>
      <c r="X21" s="125">
        <f t="shared" si="11"/>
        <v>8.8817841970012523E-16</v>
      </c>
      <c r="Y21" s="125">
        <f t="shared" si="11"/>
        <v>0</v>
      </c>
      <c r="Z21" s="125">
        <f t="shared" si="11"/>
        <v>8.8817841970012523E-16</v>
      </c>
      <c r="AA21" s="125">
        <f t="shared" si="11"/>
        <v>0</v>
      </c>
      <c r="AB21" s="125">
        <f t="shared" si="11"/>
        <v>0</v>
      </c>
      <c r="AC21" s="125">
        <f t="shared" si="11"/>
        <v>0</v>
      </c>
      <c r="AD21" s="126">
        <f t="shared" si="11"/>
        <v>3.3306690738754696E-16</v>
      </c>
    </row>
    <row r="22" spans="2:30" ht="15.75" x14ac:dyDescent="0.25">
      <c r="B22" s="136"/>
      <c r="C22" s="136"/>
      <c r="D22" s="103"/>
      <c r="E22" s="103"/>
      <c r="F22" s="103"/>
      <c r="G22" s="137"/>
      <c r="J22" s="218"/>
      <c r="K22" s="221"/>
      <c r="V22" s="127" t="s">
        <v>109</v>
      </c>
      <c r="Z22" s="127" t="s">
        <v>109</v>
      </c>
      <c r="AD22" s="127" t="s">
        <v>109</v>
      </c>
    </row>
    <row r="23" spans="2:30" ht="15.75" x14ac:dyDescent="0.25">
      <c r="B23" s="136"/>
      <c r="C23" s="136"/>
      <c r="D23" s="103"/>
      <c r="E23" s="103"/>
      <c r="F23" s="103"/>
      <c r="G23" s="137"/>
      <c r="J23" s="218"/>
      <c r="K23" s="221"/>
    </row>
    <row r="24" spans="2:30" ht="18" x14ac:dyDescent="0.25">
      <c r="B24" s="136"/>
      <c r="C24" s="136"/>
      <c r="D24" s="103"/>
      <c r="E24" s="103"/>
      <c r="F24" s="103"/>
      <c r="G24" s="137"/>
      <c r="J24" s="218"/>
      <c r="K24" s="221"/>
      <c r="N24" s="223" t="s">
        <v>110</v>
      </c>
      <c r="O24" s="224"/>
      <c r="P24" s="224"/>
      <c r="Q24" s="225"/>
      <c r="R24" s="128" t="s">
        <v>111</v>
      </c>
      <c r="S24" s="129">
        <f t="shared" ref="S24:AD24" si="12">SUMPRODUCT($J$4:$J$14,S4:S14)</f>
        <v>-267.41000000000003</v>
      </c>
      <c r="T24" s="129">
        <f t="shared" si="12"/>
        <v>-67.936000000000035</v>
      </c>
      <c r="U24" s="129">
        <f t="shared" si="12"/>
        <v>468.73</v>
      </c>
      <c r="V24" s="130">
        <f t="shared" si="12"/>
        <v>260.17500000000013</v>
      </c>
      <c r="W24" s="129">
        <f t="shared" si="12"/>
        <v>-87.34</v>
      </c>
      <c r="X24" s="129">
        <f t="shared" si="12"/>
        <v>-161.6819999999999</v>
      </c>
      <c r="Y24" s="129">
        <f t="shared" si="12"/>
        <v>158.04000000000002</v>
      </c>
      <c r="Z24" s="130">
        <f t="shared" si="12"/>
        <v>265.02600000000007</v>
      </c>
      <c r="AA24" s="129">
        <f t="shared" si="12"/>
        <v>-354.75</v>
      </c>
      <c r="AB24" s="129">
        <f t="shared" si="12"/>
        <v>-67.936000000000035</v>
      </c>
      <c r="AC24" s="129">
        <f t="shared" si="12"/>
        <v>626.77</v>
      </c>
      <c r="AD24" s="130">
        <f t="shared" si="12"/>
        <v>261.1182500000001</v>
      </c>
    </row>
    <row r="25" spans="2:30" ht="18.75" customHeight="1" x14ac:dyDescent="0.25">
      <c r="B25" s="136"/>
      <c r="C25" s="136"/>
      <c r="D25" s="103"/>
      <c r="E25" s="103"/>
      <c r="F25" s="103"/>
      <c r="G25" s="137"/>
      <c r="J25" s="218"/>
      <c r="K25" s="221"/>
      <c r="N25" s="223" t="s">
        <v>112</v>
      </c>
      <c r="O25" s="224"/>
      <c r="P25" s="224"/>
      <c r="Q25" s="225"/>
      <c r="R25" s="131" t="s">
        <v>113</v>
      </c>
      <c r="S25" s="132">
        <f>S24+$AH$4*$AH$5*LN(0.0000001^(S12))</f>
        <v>-307.36384335522246</v>
      </c>
      <c r="T25" s="132">
        <f t="shared" ref="T25:U25" si="13">T24+$AH$4*$AH$5*LN(0.0000001^(T12))</f>
        <v>139.82398544715653</v>
      </c>
      <c r="U25" s="132">
        <f t="shared" si="13"/>
        <v>189.05309651344311</v>
      </c>
      <c r="V25" s="133">
        <f>V24+$AH$4*$AH$5*LN(0.0000001^(V12))</f>
        <v>272.16115300656685</v>
      </c>
      <c r="W25" s="132">
        <f>W24+$AH$4*$AH$5*LN(0.0000001^(W12))</f>
        <v>-87.34</v>
      </c>
      <c r="X25" s="132">
        <f t="shared" ref="X25:Y25" si="14">X24+$AH$4*$AH$5*LN(0.0000001^(X12))</f>
        <v>102.01336614446802</v>
      </c>
      <c r="Y25" s="132">
        <f t="shared" si="14"/>
        <v>78.132313289555185</v>
      </c>
      <c r="Z25" s="133">
        <f>Z24+$AH$4*$AH$5*LN(0.0000001^(Z12))</f>
        <v>312.97061202626696</v>
      </c>
      <c r="AA25" s="132">
        <f>AA24+$AH$4*$AH$5*LN(0.0000001^(AA12))</f>
        <v>-394.70384335522243</v>
      </c>
      <c r="AB25" s="132">
        <f t="shared" ref="AB25:AC25" si="15">AB24+$AH$4*$AH$5*LN(0.0000001^(AB12))</f>
        <v>139.82398544715653</v>
      </c>
      <c r="AC25" s="132">
        <f t="shared" si="15"/>
        <v>267.18540980299827</v>
      </c>
      <c r="AD25" s="133">
        <f>AD24+$AH$4*$AH$5*LN(0.0000001^(AD12))</f>
        <v>280.09632559373074</v>
      </c>
    </row>
    <row r="26" spans="2:30" ht="15.75" x14ac:dyDescent="0.25">
      <c r="B26" s="136"/>
      <c r="C26" s="136"/>
      <c r="D26" s="103"/>
      <c r="E26" s="103"/>
      <c r="F26" s="103"/>
      <c r="G26" s="137"/>
      <c r="J26" s="218"/>
      <c r="K26" s="221"/>
      <c r="O26" s="105"/>
      <c r="P26" s="105"/>
      <c r="Q26" s="105"/>
    </row>
    <row r="27" spans="2:30" ht="15.75" x14ac:dyDescent="0.25">
      <c r="B27" s="136"/>
      <c r="C27" s="136"/>
      <c r="D27" s="103"/>
      <c r="E27" s="103"/>
      <c r="F27" s="103"/>
      <c r="G27" s="137"/>
      <c r="J27" s="218"/>
      <c r="K27" s="221"/>
    </row>
    <row r="28" spans="2:30" x14ac:dyDescent="0.25">
      <c r="B28" s="134"/>
      <c r="C28" s="134"/>
      <c r="D28" s="134"/>
      <c r="E28" s="134"/>
      <c r="F28" s="134"/>
      <c r="G28" s="135"/>
      <c r="J28" s="218"/>
      <c r="K28" s="221"/>
    </row>
    <row r="29" spans="2:30" x14ac:dyDescent="0.25">
      <c r="B29" s="134"/>
      <c r="C29" s="134"/>
      <c r="D29" s="134"/>
      <c r="E29" s="134"/>
      <c r="F29" s="134"/>
      <c r="G29" s="135"/>
      <c r="J29" s="218"/>
      <c r="K29" s="221"/>
    </row>
    <row r="30" spans="2:30" x14ac:dyDescent="0.25">
      <c r="B30" s="134"/>
      <c r="C30" s="134"/>
      <c r="D30" s="134"/>
      <c r="E30" s="134"/>
      <c r="F30" s="134"/>
      <c r="G30" s="135"/>
      <c r="J30" s="218"/>
      <c r="K30" s="221"/>
    </row>
    <row r="31" spans="2:30" x14ac:dyDescent="0.25">
      <c r="B31" s="134"/>
      <c r="C31" s="134"/>
      <c r="D31" s="134"/>
      <c r="E31" s="134"/>
      <c r="F31" s="134"/>
      <c r="G31" s="135"/>
      <c r="J31" s="219"/>
      <c r="K31" s="222"/>
    </row>
    <row r="32" spans="2:30" x14ac:dyDescent="0.25">
      <c r="B32" s="134"/>
      <c r="C32" s="134"/>
      <c r="D32" s="134"/>
      <c r="E32" s="134"/>
      <c r="F32" s="134"/>
      <c r="G32" s="135"/>
    </row>
    <row r="33" spans="2:7" x14ac:dyDescent="0.25">
      <c r="B33" s="134"/>
      <c r="C33" s="134"/>
      <c r="D33" s="134"/>
      <c r="E33" s="134"/>
      <c r="F33" s="134"/>
      <c r="G33" s="135"/>
    </row>
    <row r="34" spans="2:7" x14ac:dyDescent="0.25">
      <c r="B34" s="134"/>
      <c r="C34" s="134"/>
      <c r="D34" s="134"/>
      <c r="E34" s="134"/>
      <c r="F34" s="134"/>
      <c r="G34" s="135"/>
    </row>
  </sheetData>
  <mergeCells count="7">
    <mergeCell ref="S2:V2"/>
    <mergeCell ref="W2:Z2"/>
    <mergeCell ref="AA2:AD2"/>
    <mergeCell ref="J15:J31"/>
    <mergeCell ref="K15:K31"/>
    <mergeCell ref="N24:Q24"/>
    <mergeCell ref="N25:Q25"/>
  </mergeCells>
  <conditionalFormatting sqref="S4:AB6 S8:AB14 AD8:AD14 AD4:AD6">
    <cfRule type="cellIs" dxfId="32" priority="8" operator="equal">
      <formula>0</formula>
    </cfRule>
  </conditionalFormatting>
  <conditionalFormatting sqref="S15:AD21">
    <cfRule type="cellIs" dxfId="31" priority="9" operator="notBetween">
      <formula>0.0000000001</formula>
      <formula>-0.0000000001</formula>
    </cfRule>
    <cfRule type="cellIs" dxfId="30" priority="10" operator="between">
      <formula>0.0000000001</formula>
      <formula>-0.0000000001</formula>
    </cfRule>
  </conditionalFormatting>
  <conditionalFormatting sqref="S7:AB7 AD7">
    <cfRule type="cellIs" dxfId="29" priority="3" operator="equal">
      <formula>0</formula>
    </cfRule>
  </conditionalFormatting>
  <conditionalFormatting sqref="AC4:AC6 AC8:AC14">
    <cfRule type="cellIs" dxfId="28" priority="2" operator="equal">
      <formula>0</formula>
    </cfRule>
  </conditionalFormatting>
  <conditionalFormatting sqref="AC7">
    <cfRule type="cellIs" dxfId="27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7" sqref="E27"/>
    </sheetView>
  </sheetViews>
  <sheetFormatPr defaultColWidth="11.42578125" defaultRowHeight="12.75" x14ac:dyDescent="0.2"/>
  <cols>
    <col min="1" max="1" width="8.42578125" customWidth="1"/>
    <col min="2" max="2" width="13.7109375" customWidth="1"/>
    <col min="3" max="3" width="13" customWidth="1"/>
    <col min="4" max="4" width="13.7109375" customWidth="1"/>
    <col min="5" max="5" width="14.5703125" customWidth="1"/>
    <col min="6" max="6" width="14" customWidth="1"/>
    <col min="7" max="7" width="16.85546875" customWidth="1"/>
    <col min="8" max="8" width="13" customWidth="1"/>
    <col min="9" max="9" width="14.5703125" customWidth="1"/>
  </cols>
  <sheetData>
    <row r="1" spans="1:10" x14ac:dyDescent="0.2">
      <c r="B1" s="226" t="s">
        <v>58</v>
      </c>
      <c r="C1" s="227"/>
      <c r="D1" s="228"/>
      <c r="E1" s="226" t="s">
        <v>60</v>
      </c>
      <c r="F1" s="227"/>
      <c r="G1" s="228"/>
      <c r="H1" s="226" t="s">
        <v>59</v>
      </c>
      <c r="I1" s="227"/>
      <c r="J1" s="228"/>
    </row>
    <row r="2" spans="1:10" x14ac:dyDescent="0.2">
      <c r="B2" s="145" t="s">
        <v>4</v>
      </c>
      <c r="C2" s="146" t="s">
        <v>5</v>
      </c>
      <c r="D2" s="147" t="s">
        <v>46</v>
      </c>
      <c r="E2" s="145" t="s">
        <v>4</v>
      </c>
      <c r="F2" s="146" t="s">
        <v>5</v>
      </c>
      <c r="G2" s="147" t="s">
        <v>46</v>
      </c>
      <c r="H2" s="145" t="s">
        <v>4</v>
      </c>
      <c r="I2" s="146" t="s">
        <v>5</v>
      </c>
      <c r="J2" s="147" t="s">
        <v>46</v>
      </c>
    </row>
    <row r="3" spans="1:10" x14ac:dyDescent="0.2">
      <c r="A3" s="63" t="s">
        <v>62</v>
      </c>
      <c r="B3" s="139">
        <f>Reactions!S4</f>
        <v>-1</v>
      </c>
      <c r="C3" s="140">
        <f>Reactions!V4</f>
        <v>-0.90000000000000013</v>
      </c>
      <c r="D3" s="140">
        <f>Reactions!W4</f>
        <v>0</v>
      </c>
      <c r="E3" s="139">
        <f>Reactions!W4</f>
        <v>0</v>
      </c>
      <c r="F3" s="140">
        <f>Reactions!Z4</f>
        <v>0</v>
      </c>
      <c r="G3" s="140">
        <v>0</v>
      </c>
      <c r="H3" s="139">
        <f>Reactions!AA4</f>
        <v>-1</v>
      </c>
      <c r="I3" s="140">
        <f>Reactions!AD4</f>
        <v>-0.72500000000000009</v>
      </c>
      <c r="J3" s="141">
        <v>0</v>
      </c>
    </row>
    <row r="4" spans="1:10" x14ac:dyDescent="0.2">
      <c r="A4" s="51" t="s">
        <v>63</v>
      </c>
      <c r="B4" s="24">
        <f>Reactions!S5</f>
        <v>1</v>
      </c>
      <c r="C4" s="22">
        <f>Reactions!V5</f>
        <v>0.70000000000000007</v>
      </c>
      <c r="D4" s="22">
        <v>0</v>
      </c>
      <c r="E4" s="24">
        <f>Reactions!W5</f>
        <v>-1</v>
      </c>
      <c r="F4" s="22">
        <f>Reactions!Z5</f>
        <v>-2.9000000000000004</v>
      </c>
      <c r="G4" s="22">
        <v>0</v>
      </c>
      <c r="H4" s="24">
        <f>Reactions!AA5</f>
        <v>0</v>
      </c>
      <c r="I4" s="22">
        <f>Reactions!AD5</f>
        <v>0</v>
      </c>
      <c r="J4" s="25">
        <v>0</v>
      </c>
    </row>
    <row r="5" spans="1:10" x14ac:dyDescent="0.2">
      <c r="A5" s="51" t="s">
        <v>64</v>
      </c>
      <c r="B5" s="24">
        <f>Reactions!S6</f>
        <v>0</v>
      </c>
      <c r="C5" s="22">
        <f>Reactions!V6</f>
        <v>0</v>
      </c>
      <c r="D5" s="22">
        <v>0</v>
      </c>
      <c r="E5" s="24">
        <f>Reactions!W6</f>
        <v>1</v>
      </c>
      <c r="F5" s="22">
        <f>Reactions!Z6</f>
        <v>2.7</v>
      </c>
      <c r="G5" s="22">
        <v>0</v>
      </c>
      <c r="H5" s="24">
        <f>Reactions!AA6</f>
        <v>1</v>
      </c>
      <c r="I5" s="22">
        <f>Reactions!AD6</f>
        <v>0.52500000000000002</v>
      </c>
      <c r="J5" s="25">
        <v>0</v>
      </c>
    </row>
    <row r="6" spans="1:10" s="20" customFormat="1" x14ac:dyDescent="0.2">
      <c r="A6" s="51" t="s">
        <v>47</v>
      </c>
      <c r="B6" s="24">
        <f>Reactions!S7</f>
        <v>-1.5</v>
      </c>
      <c r="C6" s="22">
        <f>Reactions!V7</f>
        <v>0</v>
      </c>
      <c r="D6" s="22">
        <v>0</v>
      </c>
      <c r="E6" s="24">
        <f>Reactions!W7</f>
        <v>-0.5</v>
      </c>
      <c r="F6" s="22">
        <f>Reactions!Z7</f>
        <v>0</v>
      </c>
      <c r="G6" s="22">
        <v>0</v>
      </c>
      <c r="H6" s="24">
        <f>Reactions!AA7</f>
        <v>-2</v>
      </c>
      <c r="I6" s="22">
        <f>Reactions!AD7</f>
        <v>0</v>
      </c>
      <c r="J6" s="25">
        <v>0</v>
      </c>
    </row>
    <row r="7" spans="1:10" s="20" customFormat="1" x14ac:dyDescent="0.2">
      <c r="A7" s="51" t="s">
        <v>65</v>
      </c>
      <c r="B7" s="24">
        <f>Reactions!S8</f>
        <v>0</v>
      </c>
      <c r="C7" s="22">
        <f>Reactions!V8</f>
        <v>-1</v>
      </c>
      <c r="D7" s="22">
        <v>1</v>
      </c>
      <c r="E7" s="24">
        <f>Reactions!W8</f>
        <v>0</v>
      </c>
      <c r="F7" s="22">
        <f>Reactions!Z8</f>
        <v>-1</v>
      </c>
      <c r="G7" s="22">
        <v>1</v>
      </c>
      <c r="H7" s="24">
        <f>Reactions!AA8</f>
        <v>0</v>
      </c>
      <c r="I7" s="22">
        <f>Reactions!AD8</f>
        <v>-1</v>
      </c>
      <c r="J7" s="25">
        <v>1</v>
      </c>
    </row>
    <row r="8" spans="1:10" s="20" customFormat="1" x14ac:dyDescent="0.2">
      <c r="A8" s="51" t="s">
        <v>17</v>
      </c>
      <c r="B8" s="24">
        <v>0</v>
      </c>
      <c r="C8" s="22">
        <v>0</v>
      </c>
      <c r="D8" s="22">
        <v>0</v>
      </c>
      <c r="E8" s="24">
        <f>Reactions!W9</f>
        <v>0</v>
      </c>
      <c r="F8" s="22">
        <f>Reactions!Z9</f>
        <v>0</v>
      </c>
      <c r="G8" s="22">
        <v>0</v>
      </c>
      <c r="H8" s="24">
        <f>Reactions!AA9</f>
        <v>0</v>
      </c>
      <c r="I8" s="22">
        <f>Reactions!AD9</f>
        <v>0</v>
      </c>
      <c r="J8" s="25">
        <v>0</v>
      </c>
    </row>
    <row r="9" spans="1:10" s="20" customFormat="1" x14ac:dyDescent="0.2">
      <c r="A9" s="51" t="s">
        <v>66</v>
      </c>
      <c r="B9" s="24">
        <v>0</v>
      </c>
      <c r="C9" s="22">
        <v>0</v>
      </c>
      <c r="D9" s="22">
        <v>0</v>
      </c>
      <c r="E9" s="24">
        <f>Reactions!W10</f>
        <v>0</v>
      </c>
      <c r="F9" s="22">
        <f>Reactions!Z10</f>
        <v>0</v>
      </c>
      <c r="G9" s="22">
        <v>0</v>
      </c>
      <c r="H9" s="24">
        <f>Reactions!AA10</f>
        <v>0</v>
      </c>
      <c r="I9" s="22">
        <f>Reactions!AD10</f>
        <v>0</v>
      </c>
      <c r="J9" s="25">
        <v>0</v>
      </c>
    </row>
    <row r="10" spans="1:10" s="20" customFormat="1" x14ac:dyDescent="0.2">
      <c r="A10" s="50" t="s">
        <v>122</v>
      </c>
      <c r="B10" s="143">
        <v>0</v>
      </c>
      <c r="C10" s="36">
        <v>0</v>
      </c>
      <c r="D10" s="36">
        <v>0</v>
      </c>
      <c r="E10" s="143">
        <v>0</v>
      </c>
      <c r="F10" s="36">
        <v>0</v>
      </c>
      <c r="G10" s="36">
        <v>0</v>
      </c>
      <c r="H10" s="143">
        <v>0</v>
      </c>
      <c r="I10" s="36">
        <v>0</v>
      </c>
      <c r="J10" s="144">
        <v>0</v>
      </c>
    </row>
    <row r="11" spans="1:10" x14ac:dyDescent="0.2">
      <c r="A11" s="51" t="s">
        <v>19</v>
      </c>
      <c r="B11" s="1">
        <f>Reactions!S11</f>
        <v>1</v>
      </c>
      <c r="C11" s="22">
        <f>Reactions!V11</f>
        <v>1.0999999999999999</v>
      </c>
      <c r="D11" s="31">
        <v>0</v>
      </c>
      <c r="E11" s="24">
        <f>Reactions!W11</f>
        <v>0</v>
      </c>
      <c r="F11" s="22">
        <f>Reactions!Z11</f>
        <v>0.19999999999999973</v>
      </c>
      <c r="G11" s="31">
        <v>0</v>
      </c>
      <c r="H11" s="24">
        <f>Reactions!AA11</f>
        <v>1</v>
      </c>
      <c r="I11" s="22">
        <f>Reactions!AD11</f>
        <v>0.92499999999999982</v>
      </c>
      <c r="J11" s="25">
        <v>0</v>
      </c>
    </row>
    <row r="12" spans="1:10" x14ac:dyDescent="0.2">
      <c r="A12" s="50" t="s">
        <v>20</v>
      </c>
      <c r="B12" s="56">
        <f>Reactions!S12</f>
        <v>1</v>
      </c>
      <c r="C12" s="36">
        <f>Reactions!V12</f>
        <v>-0.29999999999999982</v>
      </c>
      <c r="D12" s="32">
        <v>0</v>
      </c>
      <c r="E12" s="143">
        <f>Reactions!W12</f>
        <v>0</v>
      </c>
      <c r="F12" s="36">
        <f>Reactions!Z12</f>
        <v>-1.1999999999999993</v>
      </c>
      <c r="G12" s="32">
        <v>0</v>
      </c>
      <c r="H12" s="143">
        <f>Reactions!AA12</f>
        <v>1</v>
      </c>
      <c r="I12" s="36">
        <f>Reactions!AD12</f>
        <v>-0.47499999999999964</v>
      </c>
      <c r="J12" s="144">
        <v>0</v>
      </c>
    </row>
    <row r="13" spans="1:10" x14ac:dyDescent="0.2">
      <c r="A13" s="63" t="s">
        <v>58</v>
      </c>
      <c r="B13" s="31">
        <v>0</v>
      </c>
      <c r="C13" s="31">
        <v>1</v>
      </c>
      <c r="D13" s="2">
        <v>-1</v>
      </c>
      <c r="E13" s="1">
        <v>0</v>
      </c>
      <c r="F13" s="31">
        <v>0</v>
      </c>
      <c r="G13" s="2">
        <v>0</v>
      </c>
      <c r="H13" s="1">
        <v>0</v>
      </c>
      <c r="I13" s="31">
        <v>0</v>
      </c>
      <c r="J13" s="2">
        <v>0</v>
      </c>
    </row>
    <row r="14" spans="1:10" x14ac:dyDescent="0.2">
      <c r="A14" s="51" t="s">
        <v>60</v>
      </c>
      <c r="B14" s="31">
        <v>0</v>
      </c>
      <c r="C14" s="31">
        <v>0</v>
      </c>
      <c r="D14" s="2">
        <v>0</v>
      </c>
      <c r="E14" s="1">
        <v>0</v>
      </c>
      <c r="F14" s="31">
        <v>1</v>
      </c>
      <c r="G14" s="2">
        <v>-1</v>
      </c>
      <c r="H14" s="1">
        <v>0</v>
      </c>
      <c r="I14" s="31">
        <v>0</v>
      </c>
      <c r="J14" s="2">
        <v>0</v>
      </c>
    </row>
    <row r="15" spans="1:10" x14ac:dyDescent="0.2">
      <c r="A15" s="50" t="s">
        <v>59</v>
      </c>
      <c r="B15" s="32">
        <v>0</v>
      </c>
      <c r="C15" s="32">
        <v>0</v>
      </c>
      <c r="D15" s="33">
        <v>0</v>
      </c>
      <c r="E15" s="56">
        <v>0</v>
      </c>
      <c r="F15" s="32">
        <v>0</v>
      </c>
      <c r="G15" s="33">
        <v>0</v>
      </c>
      <c r="H15" s="56">
        <v>0</v>
      </c>
      <c r="I15" s="32">
        <v>1</v>
      </c>
      <c r="J15" s="33">
        <v>-1</v>
      </c>
    </row>
  </sheetData>
  <mergeCells count="3">
    <mergeCell ref="B1:D1"/>
    <mergeCell ref="E1:G1"/>
    <mergeCell ref="H1:J1"/>
  </mergeCells>
  <conditionalFormatting sqref="B13:D13 B8:B12 D8:D12">
    <cfRule type="cellIs" dxfId="26" priority="24" operator="equal">
      <formula>0</formula>
    </cfRule>
  </conditionalFormatting>
  <conditionalFormatting sqref="B14:D14">
    <cfRule type="cellIs" dxfId="25" priority="21" operator="equal">
      <formula>0</formula>
    </cfRule>
  </conditionalFormatting>
  <conditionalFormatting sqref="E13:F13">
    <cfRule type="cellIs" dxfId="24" priority="20" operator="equal">
      <formula>0</formula>
    </cfRule>
  </conditionalFormatting>
  <conditionalFormatting sqref="E14:F14">
    <cfRule type="cellIs" dxfId="23" priority="19" operator="equal">
      <formula>0</formula>
    </cfRule>
  </conditionalFormatting>
  <conditionalFormatting sqref="B15:D15">
    <cfRule type="cellIs" dxfId="22" priority="18" operator="equal">
      <formula>0</formula>
    </cfRule>
  </conditionalFormatting>
  <conditionalFormatting sqref="E15:F15">
    <cfRule type="cellIs" dxfId="21" priority="17" operator="equal">
      <formula>0</formula>
    </cfRule>
  </conditionalFormatting>
  <conditionalFormatting sqref="H3:J13">
    <cfRule type="cellIs" dxfId="20" priority="16" operator="equal">
      <formula>0</formula>
    </cfRule>
  </conditionalFormatting>
  <conditionalFormatting sqref="H14:J14">
    <cfRule type="cellIs" dxfId="19" priority="15" operator="equal">
      <formula>0</formula>
    </cfRule>
  </conditionalFormatting>
  <conditionalFormatting sqref="H15:J15">
    <cfRule type="cellIs" dxfId="18" priority="14" operator="equal">
      <formula>0</formula>
    </cfRule>
  </conditionalFormatting>
  <conditionalFormatting sqref="B3:B7">
    <cfRule type="cellIs" dxfId="17" priority="13" operator="equal">
      <formula>0</formula>
    </cfRule>
  </conditionalFormatting>
  <conditionalFormatting sqref="D3 C3:C12">
    <cfRule type="cellIs" dxfId="16" priority="10" operator="equal">
      <formula>0</formula>
    </cfRule>
  </conditionalFormatting>
  <conditionalFormatting sqref="D4:D7">
    <cfRule type="cellIs" dxfId="15" priority="9" operator="equal">
      <formula>0</formula>
    </cfRule>
  </conditionalFormatting>
  <conditionalFormatting sqref="G4:G7">
    <cfRule type="cellIs" dxfId="14" priority="2" operator="equal">
      <formula>0</formula>
    </cfRule>
  </conditionalFormatting>
  <conditionalFormatting sqref="E3:E12">
    <cfRule type="cellIs" dxfId="13" priority="7" operator="equal">
      <formula>0</formula>
    </cfRule>
  </conditionalFormatting>
  <conditionalFormatting sqref="G8:G13">
    <cfRule type="cellIs" dxfId="12" priority="6" operator="equal">
      <formula>0</formula>
    </cfRule>
  </conditionalFormatting>
  <conditionalFormatting sqref="G14">
    <cfRule type="cellIs" dxfId="11" priority="5" operator="equal">
      <formula>0</formula>
    </cfRule>
  </conditionalFormatting>
  <conditionalFormatting sqref="G15">
    <cfRule type="cellIs" dxfId="10" priority="4" operator="equal">
      <formula>0</formula>
    </cfRule>
  </conditionalFormatting>
  <conditionalFormatting sqref="G3">
    <cfRule type="cellIs" dxfId="9" priority="3" operator="equal">
      <formula>0</formula>
    </cfRule>
  </conditionalFormatting>
  <conditionalFormatting sqref="F3:F12">
    <cfRule type="cellIs" dxfId="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5" sqref="F5"/>
    </sheetView>
  </sheetViews>
  <sheetFormatPr defaultColWidth="11.42578125" defaultRowHeight="12.75" x14ac:dyDescent="0.2"/>
  <cols>
    <col min="1" max="1" width="8.7109375" customWidth="1"/>
    <col min="2" max="3" width="12" style="6" customWidth="1"/>
    <col min="4" max="5" width="10.85546875" customWidth="1"/>
    <col min="6" max="6" width="14.42578125" customWidth="1"/>
  </cols>
  <sheetData>
    <row r="1" spans="1:9" x14ac:dyDescent="0.2">
      <c r="B1" s="9" t="s">
        <v>124</v>
      </c>
      <c r="C1" s="9" t="s">
        <v>123</v>
      </c>
      <c r="D1" s="8" t="s">
        <v>61</v>
      </c>
      <c r="E1" s="27" t="s">
        <v>44</v>
      </c>
      <c r="F1" s="27" t="s">
        <v>42</v>
      </c>
      <c r="G1" s="27" t="s">
        <v>51</v>
      </c>
      <c r="H1" s="27" t="s">
        <v>52</v>
      </c>
      <c r="I1" s="27" t="s">
        <v>121</v>
      </c>
    </row>
    <row r="2" spans="1:9" x14ac:dyDescent="0.2">
      <c r="A2" s="28" t="s">
        <v>58</v>
      </c>
      <c r="B2" s="60">
        <f>2*10^(-3)/1000</f>
        <v>1.9999999999999999E-6</v>
      </c>
      <c r="C2" s="60">
        <f>9.38*10^(-3)/1000</f>
        <v>9.3800000000000017E-6</v>
      </c>
      <c r="D2" s="29">
        <f>((13.4*0.147)/24)/G2</f>
        <v>0.98107142857142859</v>
      </c>
      <c r="E2" s="61">
        <v>0</v>
      </c>
      <c r="F2" s="62">
        <v>3500</v>
      </c>
      <c r="G2" s="30">
        <f>0.147*(14/24.6)</f>
        <v>8.3658536585365845E-2</v>
      </c>
      <c r="H2" s="30">
        <v>0</v>
      </c>
      <c r="I2" s="30" t="s">
        <v>62</v>
      </c>
    </row>
    <row r="3" spans="1:9" x14ac:dyDescent="0.2">
      <c r="A3" s="28" t="s">
        <v>60</v>
      </c>
      <c r="B3" s="60">
        <f>2.29*10^(-9)</f>
        <v>2.2900000000000002E-9</v>
      </c>
      <c r="C3" s="60">
        <f>3.44*10^(-2)/1000</f>
        <v>3.4400000000000003E-5</v>
      </c>
      <c r="D3" s="29">
        <f>((44.74*0.042)/24)/G3</f>
        <v>3.2756071428571434</v>
      </c>
      <c r="E3" s="61">
        <v>0</v>
      </c>
      <c r="F3" s="62">
        <v>3500</v>
      </c>
      <c r="G3" s="30">
        <f>0.042*(14/24.6)</f>
        <v>2.3902439024390244E-2</v>
      </c>
      <c r="H3" s="30">
        <v>0</v>
      </c>
      <c r="I3" s="30" t="s">
        <v>63</v>
      </c>
    </row>
    <row r="4" spans="1:9" x14ac:dyDescent="0.2">
      <c r="A4" s="28" t="s">
        <v>59</v>
      </c>
      <c r="B4" s="60">
        <f>2*10^(-3)/1000</f>
        <v>1.9999999999999999E-6</v>
      </c>
      <c r="C4" s="60">
        <f>C2</f>
        <v>9.3800000000000017E-6</v>
      </c>
      <c r="D4" s="29">
        <f>D2*(6/8)</f>
        <v>0.73580357142857145</v>
      </c>
      <c r="E4" s="61">
        <v>0</v>
      </c>
      <c r="F4" s="62">
        <v>3500</v>
      </c>
      <c r="G4" s="30">
        <f>G2+G3</f>
        <v>0.10756097560975608</v>
      </c>
      <c r="H4" s="30">
        <v>0</v>
      </c>
      <c r="I4" s="30" t="s">
        <v>62</v>
      </c>
    </row>
    <row r="5" spans="1:9" x14ac:dyDescent="0.2">
      <c r="B5" s="10"/>
      <c r="C5" s="10"/>
    </row>
    <row r="6" spans="1:9" x14ac:dyDescent="0.2">
      <c r="B6"/>
      <c r="C6"/>
    </row>
    <row r="7" spans="1:9" x14ac:dyDescent="0.2">
      <c r="B7"/>
      <c r="C7"/>
    </row>
    <row r="8" spans="1:9" x14ac:dyDescent="0.2">
      <c r="B8"/>
      <c r="C8"/>
    </row>
    <row r="9" spans="1:9" x14ac:dyDescent="0.2">
      <c r="B9"/>
      <c r="C9" s="10"/>
    </row>
    <row r="10" spans="1:9" x14ac:dyDescent="0.2">
      <c r="B10"/>
      <c r="C10" s="10"/>
    </row>
    <row r="11" spans="1:9" x14ac:dyDescent="0.2">
      <c r="B11"/>
      <c r="C11"/>
    </row>
    <row r="12" spans="1:9" x14ac:dyDescent="0.2">
      <c r="B12"/>
      <c r="C12"/>
    </row>
    <row r="13" spans="1:9" x14ac:dyDescent="0.2">
      <c r="B13"/>
      <c r="C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"/>
    </sheetView>
  </sheetViews>
  <sheetFormatPr defaultColWidth="11.42578125" defaultRowHeight="12.75" x14ac:dyDescent="0.2"/>
  <cols>
    <col min="3" max="3" width="7.5703125" customWidth="1"/>
    <col min="4" max="4" width="3" customWidth="1"/>
    <col min="8" max="8" width="12" bestFit="1" customWidth="1"/>
  </cols>
  <sheetData>
    <row r="1" spans="1:8" x14ac:dyDescent="0.2">
      <c r="A1" s="138" t="s">
        <v>62</v>
      </c>
      <c r="B1" s="39">
        <v>2E-3</v>
      </c>
      <c r="C1" s="150" t="s">
        <v>6</v>
      </c>
      <c r="D1" s="3" t="s">
        <v>8</v>
      </c>
    </row>
    <row r="2" spans="1:8" x14ac:dyDescent="0.2">
      <c r="A2" s="34" t="s">
        <v>63</v>
      </c>
      <c r="B2" s="38">
        <v>1E-4</v>
      </c>
      <c r="C2" s="151" t="s">
        <v>6</v>
      </c>
      <c r="D2" s="72" t="s">
        <v>8</v>
      </c>
    </row>
    <row r="3" spans="1:8" x14ac:dyDescent="0.2">
      <c r="A3" s="34" t="s">
        <v>64</v>
      </c>
      <c r="B3" s="38">
        <v>9.9999999999999995E-21</v>
      </c>
      <c r="C3" s="151" t="s">
        <v>6</v>
      </c>
      <c r="D3" s="72" t="s">
        <v>8</v>
      </c>
    </row>
    <row r="4" spans="1:8" x14ac:dyDescent="0.2">
      <c r="A4" s="34" t="s">
        <v>47</v>
      </c>
      <c r="B4" s="38">
        <f>9/(32*1000)</f>
        <v>2.8124999999999998E-4</v>
      </c>
      <c r="C4" s="151" t="s">
        <v>6</v>
      </c>
      <c r="D4" s="72" t="s">
        <v>8</v>
      </c>
    </row>
    <row r="5" spans="1:8" x14ac:dyDescent="0.2">
      <c r="A5" s="34" t="s">
        <v>65</v>
      </c>
      <c r="B5" s="13">
        <v>5.0000000000000001E-3</v>
      </c>
      <c r="C5" s="151" t="s">
        <v>6</v>
      </c>
      <c r="D5" s="72" t="s">
        <v>8</v>
      </c>
    </row>
    <row r="6" spans="1:8" x14ac:dyDescent="0.2">
      <c r="A6" s="138" t="s">
        <v>17</v>
      </c>
      <c r="B6" s="38">
        <f>B4/(1.34*10^(-3))</f>
        <v>0.20988805970149252</v>
      </c>
      <c r="C6" s="150" t="s">
        <v>15</v>
      </c>
      <c r="D6" s="3" t="s">
        <v>16</v>
      </c>
    </row>
    <row r="7" spans="1:8" x14ac:dyDescent="0.2">
      <c r="A7" s="34" t="s">
        <v>66</v>
      </c>
      <c r="B7" s="38">
        <f>0.021*B5/(3.4*10^(-2))</f>
        <v>3.0882352941176468E-3</v>
      </c>
      <c r="C7" s="151" t="s">
        <v>15</v>
      </c>
      <c r="D7" s="72" t="s">
        <v>16</v>
      </c>
    </row>
    <row r="8" spans="1:8" x14ac:dyDescent="0.2">
      <c r="A8" s="142" t="s">
        <v>122</v>
      </c>
      <c r="B8" s="13">
        <f>1-SUM(B6:B7)</f>
        <v>0.78702370500438978</v>
      </c>
      <c r="C8" s="57" t="s">
        <v>15</v>
      </c>
      <c r="D8" s="149" t="s">
        <v>16</v>
      </c>
    </row>
    <row r="9" spans="1:8" x14ac:dyDescent="0.2">
      <c r="A9" s="34" t="s">
        <v>58</v>
      </c>
      <c r="B9" s="38">
        <v>0</v>
      </c>
      <c r="C9" s="151" t="s">
        <v>6</v>
      </c>
      <c r="D9" s="72" t="s">
        <v>3</v>
      </c>
    </row>
    <row r="10" spans="1:8" x14ac:dyDescent="0.2">
      <c r="A10" s="34" t="s">
        <v>60</v>
      </c>
      <c r="B10" s="38">
        <v>0</v>
      </c>
      <c r="C10" s="151" t="s">
        <v>6</v>
      </c>
      <c r="D10" s="72" t="s">
        <v>3</v>
      </c>
    </row>
    <row r="11" spans="1:8" x14ac:dyDescent="0.2">
      <c r="A11" s="142" t="s">
        <v>59</v>
      </c>
      <c r="B11" s="13">
        <v>0</v>
      </c>
      <c r="C11" s="57" t="s">
        <v>6</v>
      </c>
      <c r="D11" s="148" t="s">
        <v>3</v>
      </c>
    </row>
    <row r="12" spans="1:8" x14ac:dyDescent="0.2">
      <c r="D12" s="4"/>
    </row>
    <row r="13" spans="1:8" x14ac:dyDescent="0.2">
      <c r="G13" s="4"/>
    </row>
    <row r="16" spans="1:8" x14ac:dyDescent="0.2">
      <c r="G16" s="4"/>
      <c r="H16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28" sqref="B28"/>
    </sheetView>
  </sheetViews>
  <sheetFormatPr defaultColWidth="11.42578125" defaultRowHeight="15" x14ac:dyDescent="0.2"/>
  <cols>
    <col min="1" max="2" width="11.42578125" customWidth="1"/>
    <col min="3" max="6" width="11.42578125" style="53"/>
    <col min="7" max="7" width="2.85546875" style="52" customWidth="1"/>
    <col min="8" max="8" width="3.5703125" style="12" customWidth="1"/>
  </cols>
  <sheetData>
    <row r="1" spans="1:8" ht="15.75" thickBot="1" x14ac:dyDescent="0.25">
      <c r="A1" s="54" t="s">
        <v>43</v>
      </c>
      <c r="B1" s="153">
        <v>0</v>
      </c>
      <c r="C1" s="55">
        <v>0</v>
      </c>
      <c r="D1" s="155">
        <v>-1</v>
      </c>
      <c r="E1" s="55">
        <v>-2</v>
      </c>
      <c r="F1" s="155">
        <v>-3</v>
      </c>
    </row>
    <row r="2" spans="1:8" x14ac:dyDescent="0.2">
      <c r="A2" s="154" t="s">
        <v>62</v>
      </c>
      <c r="B2" s="165" t="s">
        <v>40</v>
      </c>
      <c r="C2" s="165">
        <v>-79.37</v>
      </c>
      <c r="D2" s="165">
        <v>-26.57</v>
      </c>
      <c r="E2" s="165" t="s">
        <v>40</v>
      </c>
      <c r="F2" s="196" t="s">
        <v>40</v>
      </c>
      <c r="G2" s="200">
        <v>3</v>
      </c>
      <c r="H2" s="64" t="s">
        <v>8</v>
      </c>
    </row>
    <row r="3" spans="1:8" x14ac:dyDescent="0.2">
      <c r="A3" s="152" t="s">
        <v>63</v>
      </c>
      <c r="B3" s="166" t="s">
        <v>40</v>
      </c>
      <c r="C3" s="166">
        <v>-50.6</v>
      </c>
      <c r="D3" s="166">
        <v>-32.200000000000003</v>
      </c>
      <c r="E3" s="166" t="s">
        <v>40</v>
      </c>
      <c r="F3" s="191" t="s">
        <v>40</v>
      </c>
      <c r="G3" s="176">
        <v>3</v>
      </c>
      <c r="H3" s="26" t="s">
        <v>8</v>
      </c>
    </row>
    <row r="4" spans="1:8" x14ac:dyDescent="0.2">
      <c r="A4" s="152" t="s">
        <v>64</v>
      </c>
      <c r="B4" s="166" t="s">
        <v>40</v>
      </c>
      <c r="C4" s="166">
        <v>-103.7</v>
      </c>
      <c r="D4" s="166">
        <v>-111.3</v>
      </c>
      <c r="E4" s="166" t="s">
        <v>40</v>
      </c>
      <c r="F4" s="191" t="s">
        <v>40</v>
      </c>
      <c r="G4" s="176">
        <v>3</v>
      </c>
      <c r="H4" s="26" t="s">
        <v>8</v>
      </c>
    </row>
    <row r="5" spans="1:8" x14ac:dyDescent="0.2">
      <c r="A5" s="152" t="s">
        <v>47</v>
      </c>
      <c r="B5" s="166" t="s">
        <v>40</v>
      </c>
      <c r="C5" s="166">
        <v>16.399999999999999</v>
      </c>
      <c r="D5" s="166" t="s">
        <v>40</v>
      </c>
      <c r="E5" s="166" t="s">
        <v>40</v>
      </c>
      <c r="F5" s="191" t="s">
        <v>40</v>
      </c>
      <c r="G5" s="176">
        <v>2</v>
      </c>
      <c r="H5" s="26" t="s">
        <v>8</v>
      </c>
    </row>
    <row r="6" spans="1:8" x14ac:dyDescent="0.2">
      <c r="A6" s="152" t="s">
        <v>65</v>
      </c>
      <c r="B6" s="166">
        <v>-386</v>
      </c>
      <c r="C6" s="166">
        <v>-623.16</v>
      </c>
      <c r="D6" s="166">
        <v>-586.85</v>
      </c>
      <c r="E6" s="166">
        <v>-527.79999999999995</v>
      </c>
      <c r="F6" s="191" t="s">
        <v>40</v>
      </c>
      <c r="G6" s="176">
        <v>3</v>
      </c>
      <c r="H6" s="26" t="s">
        <v>8</v>
      </c>
    </row>
    <row r="7" spans="1:8" x14ac:dyDescent="0.2">
      <c r="A7" s="178" t="s">
        <v>17</v>
      </c>
      <c r="B7" s="195" t="s">
        <v>40</v>
      </c>
      <c r="C7" s="179">
        <v>0</v>
      </c>
      <c r="D7" s="179" t="s">
        <v>40</v>
      </c>
      <c r="E7" s="179" t="s">
        <v>40</v>
      </c>
      <c r="F7" s="193" t="s">
        <v>40</v>
      </c>
      <c r="G7" s="174">
        <v>2</v>
      </c>
      <c r="H7" s="201" t="s">
        <v>16</v>
      </c>
    </row>
    <row r="8" spans="1:8" x14ac:dyDescent="0.2">
      <c r="A8" s="152" t="s">
        <v>66</v>
      </c>
      <c r="B8" s="192" t="s">
        <v>40</v>
      </c>
      <c r="C8" s="166">
        <v>-394.35899999999998</v>
      </c>
      <c r="D8" s="166" t="s">
        <v>40</v>
      </c>
      <c r="E8" s="166" t="s">
        <v>40</v>
      </c>
      <c r="F8" s="191" t="s">
        <v>40</v>
      </c>
      <c r="G8" s="176">
        <v>2</v>
      </c>
      <c r="H8" s="202" t="s">
        <v>16</v>
      </c>
    </row>
    <row r="9" spans="1:8" x14ac:dyDescent="0.2">
      <c r="A9" s="152" t="s">
        <v>122</v>
      </c>
      <c r="B9" s="192" t="s">
        <v>40</v>
      </c>
      <c r="C9" s="166">
        <v>0</v>
      </c>
      <c r="D9" s="166" t="s">
        <v>40</v>
      </c>
      <c r="E9" s="166" t="s">
        <v>40</v>
      </c>
      <c r="F9" s="191" t="s">
        <v>40</v>
      </c>
      <c r="G9" s="176">
        <v>2</v>
      </c>
      <c r="H9" s="202" t="s">
        <v>16</v>
      </c>
    </row>
    <row r="10" spans="1:8" s="52" customFormat="1" x14ac:dyDescent="0.2">
      <c r="A10" s="211" t="s">
        <v>19</v>
      </c>
      <c r="B10" s="179" t="s">
        <v>40</v>
      </c>
      <c r="C10" s="179">
        <v>-237.18</v>
      </c>
      <c r="D10" s="179">
        <v>-157.30000000000001</v>
      </c>
      <c r="E10" s="179" t="s">
        <v>40</v>
      </c>
      <c r="F10" s="195" t="s">
        <v>40</v>
      </c>
      <c r="G10" s="174">
        <v>2</v>
      </c>
      <c r="H10" s="201" t="s">
        <v>8</v>
      </c>
    </row>
    <row r="11" spans="1:8" s="52" customFormat="1" x14ac:dyDescent="0.2">
      <c r="A11" s="194" t="s">
        <v>20</v>
      </c>
      <c r="B11" s="167" t="s">
        <v>40</v>
      </c>
      <c r="C11" s="167">
        <v>0</v>
      </c>
      <c r="D11" s="167" t="s">
        <v>40</v>
      </c>
      <c r="E11" s="210" t="s">
        <v>40</v>
      </c>
      <c r="F11" s="197" t="s">
        <v>40</v>
      </c>
      <c r="G11" s="203">
        <v>2</v>
      </c>
      <c r="H11" s="204" t="s">
        <v>8</v>
      </c>
    </row>
    <row r="12" spans="1:8" s="52" customFormat="1" x14ac:dyDescent="0.2">
      <c r="A12" s="68" t="s">
        <v>58</v>
      </c>
      <c r="B12" s="168" t="s">
        <v>40</v>
      </c>
      <c r="C12" s="169">
        <v>-67</v>
      </c>
      <c r="D12" s="168" t="s">
        <v>40</v>
      </c>
      <c r="E12" s="169" t="s">
        <v>40</v>
      </c>
      <c r="F12" s="198" t="s">
        <v>40</v>
      </c>
      <c r="G12" s="174">
        <v>2</v>
      </c>
      <c r="H12" s="175" t="s">
        <v>3</v>
      </c>
    </row>
    <row r="13" spans="1:8" s="52" customFormat="1" x14ac:dyDescent="0.2">
      <c r="A13" s="68" t="s">
        <v>60</v>
      </c>
      <c r="B13" s="168" t="s">
        <v>40</v>
      </c>
      <c r="C13" s="170">
        <v>-67</v>
      </c>
      <c r="D13" s="168" t="s">
        <v>40</v>
      </c>
      <c r="E13" s="169" t="s">
        <v>40</v>
      </c>
      <c r="F13" s="198" t="s">
        <v>40</v>
      </c>
      <c r="G13" s="176">
        <v>2</v>
      </c>
      <c r="H13" s="26" t="s">
        <v>3</v>
      </c>
    </row>
    <row r="14" spans="1:8" s="52" customFormat="1" ht="15.75" thickBot="1" x14ac:dyDescent="0.25">
      <c r="A14" s="58" t="s">
        <v>59</v>
      </c>
      <c r="B14" s="171" t="s">
        <v>40</v>
      </c>
      <c r="C14" s="172">
        <v>-67</v>
      </c>
      <c r="D14" s="171" t="s">
        <v>40</v>
      </c>
      <c r="E14" s="173" t="s">
        <v>40</v>
      </c>
      <c r="F14" s="199" t="s">
        <v>40</v>
      </c>
      <c r="G14" s="177">
        <v>2</v>
      </c>
      <c r="H14" s="67" t="s">
        <v>3</v>
      </c>
    </row>
    <row r="15" spans="1:8" s="52" customFormat="1" x14ac:dyDescent="0.2">
      <c r="A15" s="154" t="s">
        <v>62</v>
      </c>
      <c r="B15" s="162" t="s">
        <v>41</v>
      </c>
      <c r="C15" s="162">
        <v>1</v>
      </c>
      <c r="D15" s="162">
        <v>0</v>
      </c>
      <c r="E15" s="162" t="s">
        <v>41</v>
      </c>
      <c r="F15" s="161" t="s">
        <v>41</v>
      </c>
      <c r="H15" s="12"/>
    </row>
    <row r="16" spans="1:8" s="52" customFormat="1" x14ac:dyDescent="0.2">
      <c r="A16" s="152" t="s">
        <v>63</v>
      </c>
      <c r="B16" s="163" t="s">
        <v>41</v>
      </c>
      <c r="C16" s="163">
        <v>0</v>
      </c>
      <c r="D16" s="163">
        <v>-1</v>
      </c>
      <c r="E16" s="163" t="s">
        <v>41</v>
      </c>
      <c r="F16" s="160" t="s">
        <v>41</v>
      </c>
      <c r="H16" s="12"/>
    </row>
    <row r="17" spans="1:8" s="52" customFormat="1" x14ac:dyDescent="0.2">
      <c r="A17" s="152" t="s">
        <v>64</v>
      </c>
      <c r="B17" s="163" t="s">
        <v>41</v>
      </c>
      <c r="C17" s="163">
        <v>0</v>
      </c>
      <c r="D17" s="163">
        <v>-1</v>
      </c>
      <c r="E17" s="163" t="s">
        <v>41</v>
      </c>
      <c r="F17" s="160" t="s">
        <v>41</v>
      </c>
      <c r="H17" s="12"/>
    </row>
    <row r="18" spans="1:8" s="52" customFormat="1" x14ac:dyDescent="0.2">
      <c r="A18" s="152" t="s">
        <v>47</v>
      </c>
      <c r="B18" s="163" t="s">
        <v>41</v>
      </c>
      <c r="C18" s="163">
        <v>0</v>
      </c>
      <c r="D18" s="163" t="s">
        <v>41</v>
      </c>
      <c r="E18" s="163" t="s">
        <v>41</v>
      </c>
      <c r="F18" s="160" t="s">
        <v>41</v>
      </c>
      <c r="H18" s="12"/>
    </row>
    <row r="19" spans="1:8" s="52" customFormat="1" x14ac:dyDescent="0.2">
      <c r="A19" s="152" t="s">
        <v>65</v>
      </c>
      <c r="B19" s="163">
        <v>0</v>
      </c>
      <c r="C19" s="163">
        <v>0</v>
      </c>
      <c r="D19" s="163">
        <v>-1</v>
      </c>
      <c r="E19" s="163">
        <v>-2</v>
      </c>
      <c r="F19" s="160" t="s">
        <v>41</v>
      </c>
      <c r="H19" s="12"/>
    </row>
    <row r="20" spans="1:8" s="52" customFormat="1" x14ac:dyDescent="0.2">
      <c r="A20" s="178" t="s">
        <v>17</v>
      </c>
      <c r="B20" s="180" t="s">
        <v>41</v>
      </c>
      <c r="C20" s="180">
        <v>0</v>
      </c>
      <c r="D20" s="206" t="s">
        <v>41</v>
      </c>
      <c r="E20" s="180" t="s">
        <v>41</v>
      </c>
      <c r="F20" s="181" t="s">
        <v>41</v>
      </c>
      <c r="H20" s="12"/>
    </row>
    <row r="21" spans="1:8" s="52" customFormat="1" x14ac:dyDescent="0.2">
      <c r="A21" s="152" t="s">
        <v>66</v>
      </c>
      <c r="B21" s="163" t="s">
        <v>41</v>
      </c>
      <c r="C21" s="163">
        <v>0</v>
      </c>
      <c r="D21" s="205" t="s">
        <v>41</v>
      </c>
      <c r="E21" s="163" t="s">
        <v>41</v>
      </c>
      <c r="F21" s="160" t="s">
        <v>41</v>
      </c>
    </row>
    <row r="22" spans="1:8" s="52" customFormat="1" x14ac:dyDescent="0.2">
      <c r="A22" s="152" t="s">
        <v>122</v>
      </c>
      <c r="B22" s="163" t="s">
        <v>41</v>
      </c>
      <c r="C22" s="163">
        <v>0</v>
      </c>
      <c r="D22" s="205" t="s">
        <v>41</v>
      </c>
      <c r="E22" s="163" t="s">
        <v>41</v>
      </c>
      <c r="F22" s="160" t="s">
        <v>41</v>
      </c>
    </row>
    <row r="23" spans="1:8" s="52" customFormat="1" x14ac:dyDescent="0.2">
      <c r="A23" s="208" t="s">
        <v>19</v>
      </c>
      <c r="B23" s="180" t="s">
        <v>41</v>
      </c>
      <c r="C23" s="180">
        <v>0</v>
      </c>
      <c r="D23" s="180">
        <v>-1</v>
      </c>
      <c r="E23" s="180" t="s">
        <v>41</v>
      </c>
      <c r="F23" s="181" t="s">
        <v>41</v>
      </c>
    </row>
    <row r="24" spans="1:8" s="52" customFormat="1" x14ac:dyDescent="0.2">
      <c r="A24" s="209" t="s">
        <v>20</v>
      </c>
      <c r="B24" s="164" t="s">
        <v>41</v>
      </c>
      <c r="C24" s="164">
        <v>1</v>
      </c>
      <c r="D24" s="164" t="s">
        <v>41</v>
      </c>
      <c r="E24" s="164" t="s">
        <v>41</v>
      </c>
      <c r="F24" s="207" t="s">
        <v>41</v>
      </c>
    </row>
    <row r="25" spans="1:8" s="52" customFormat="1" x14ac:dyDescent="0.2">
      <c r="A25" s="68" t="s">
        <v>58</v>
      </c>
      <c r="B25" s="66" t="s">
        <v>41</v>
      </c>
      <c r="C25" s="156">
        <v>0</v>
      </c>
      <c r="D25" s="66" t="s">
        <v>41</v>
      </c>
      <c r="E25" s="156" t="s">
        <v>41</v>
      </c>
      <c r="F25" s="69" t="s">
        <v>41</v>
      </c>
    </row>
    <row r="26" spans="1:8" s="52" customFormat="1" x14ac:dyDescent="0.2">
      <c r="A26" s="68" t="s">
        <v>60</v>
      </c>
      <c r="B26" s="66" t="s">
        <v>41</v>
      </c>
      <c r="C26" s="157">
        <v>0</v>
      </c>
      <c r="D26" s="66" t="s">
        <v>41</v>
      </c>
      <c r="E26" s="156" t="s">
        <v>41</v>
      </c>
      <c r="F26" s="69" t="s">
        <v>41</v>
      </c>
    </row>
    <row r="27" spans="1:8" s="52" customFormat="1" ht="15.75" thickBot="1" x14ac:dyDescent="0.25">
      <c r="A27" s="58" t="s">
        <v>59</v>
      </c>
      <c r="B27" s="65" t="s">
        <v>41</v>
      </c>
      <c r="C27" s="158">
        <v>0</v>
      </c>
      <c r="D27" s="65" t="s">
        <v>41</v>
      </c>
      <c r="E27" s="159" t="s">
        <v>41</v>
      </c>
      <c r="F27" s="70" t="s">
        <v>41</v>
      </c>
    </row>
    <row r="28" spans="1:8" s="52" customFormat="1" ht="12.75" x14ac:dyDescent="0.2">
      <c r="C28" s="12"/>
    </row>
    <row r="29" spans="1:8" s="52" customFormat="1" ht="12.75" x14ac:dyDescent="0.2">
      <c r="C29" s="12"/>
    </row>
    <row r="30" spans="1:8" s="52" customFormat="1" ht="12.75" x14ac:dyDescent="0.2">
      <c r="C30" s="12"/>
    </row>
    <row r="31" spans="1:8" s="52" customFormat="1" ht="12.75" x14ac:dyDescent="0.2">
      <c r="C31" s="12"/>
    </row>
    <row r="32" spans="1:8" s="52" customFormat="1" ht="12.75" x14ac:dyDescent="0.2">
      <c r="C32" s="12"/>
    </row>
    <row r="33" spans="1:8" s="52" customFormat="1" ht="12.75" x14ac:dyDescent="0.2">
      <c r="C33" s="12"/>
    </row>
    <row r="34" spans="1:8" s="52" customFormat="1" ht="12.75" x14ac:dyDescent="0.2">
      <c r="C34" s="12"/>
    </row>
    <row r="35" spans="1:8" ht="12.75" x14ac:dyDescent="0.2">
      <c r="A35" s="52"/>
      <c r="B35" s="52"/>
      <c r="C35" s="12"/>
      <c r="D35" s="52"/>
      <c r="E35" s="52"/>
      <c r="F35" s="52"/>
      <c r="H35" s="52"/>
    </row>
    <row r="36" spans="1:8" ht="12.75" x14ac:dyDescent="0.2">
      <c r="A36" s="52"/>
      <c r="B36" s="52"/>
      <c r="C36" s="12"/>
      <c r="D36" s="52"/>
      <c r="E36" s="52"/>
      <c r="F36" s="52"/>
      <c r="H36" s="52"/>
    </row>
    <row r="37" spans="1:8" ht="12.75" x14ac:dyDescent="0.2">
      <c r="A37" s="52"/>
      <c r="B37" s="52"/>
      <c r="C37" s="12"/>
      <c r="D37" s="52"/>
      <c r="E37" s="52"/>
      <c r="F37" s="52"/>
      <c r="H37" s="52"/>
    </row>
    <row r="38" spans="1:8" ht="12.75" x14ac:dyDescent="0.2">
      <c r="A38" s="52"/>
      <c r="B38" s="52"/>
      <c r="C38" s="12"/>
      <c r="D38" s="52"/>
      <c r="E38" s="52"/>
      <c r="F38" s="52"/>
      <c r="H38" s="52"/>
    </row>
    <row r="39" spans="1:8" ht="12.75" x14ac:dyDescent="0.2">
      <c r="A39" s="52"/>
      <c r="B39" s="52"/>
      <c r="C39" s="12"/>
      <c r="D39" s="52"/>
      <c r="E39" s="52"/>
      <c r="F39" s="52"/>
      <c r="H39" s="52"/>
    </row>
    <row r="40" spans="1:8" ht="12.75" x14ac:dyDescent="0.2">
      <c r="A40" s="52"/>
      <c r="B40" s="52"/>
      <c r="C40" s="12"/>
      <c r="D40" s="52"/>
      <c r="E40" s="52"/>
      <c r="F40" s="52"/>
      <c r="H40" s="52"/>
    </row>
  </sheetData>
  <conditionalFormatting sqref="B10:F27 B8 D8:F8 B7:F7 B6 D6:F6 B2:F5">
    <cfRule type="containsText" dxfId="7" priority="7" operator="containsText" text="NA">
      <formula>NOT(ISERROR(SEARCH("NA",B2)))</formula>
    </cfRule>
    <cfRule type="containsText" dxfId="6" priority="8" operator="containsText" text="Inf">
      <formula>NOT(ISERROR(SEARCH("Inf",B2)))</formula>
    </cfRule>
  </conditionalFormatting>
  <conditionalFormatting sqref="C8">
    <cfRule type="containsText" dxfId="5" priority="5" operator="containsText" text="NA">
      <formula>NOT(ISERROR(SEARCH("NA",C8)))</formula>
    </cfRule>
    <cfRule type="containsText" dxfId="4" priority="6" operator="containsText" text="Inf">
      <formula>NOT(ISERROR(SEARCH("Inf",C8)))</formula>
    </cfRule>
  </conditionalFormatting>
  <conditionalFormatting sqref="C6">
    <cfRule type="containsText" dxfId="3" priority="3" operator="containsText" text="NA">
      <formula>NOT(ISERROR(SEARCH("NA",C6)))</formula>
    </cfRule>
    <cfRule type="containsText" dxfId="2" priority="4" operator="containsText" text="Inf">
      <formula>NOT(ISERROR(SEARCH("Inf",C6)))</formula>
    </cfRule>
  </conditionalFormatting>
  <conditionalFormatting sqref="B9:F9">
    <cfRule type="containsText" dxfId="1" priority="1" operator="containsText" text="NA">
      <formula>NOT(ISERROR(SEARCH("NA",B9)))</formula>
    </cfRule>
    <cfRule type="containsText" dxfId="0" priority="2" operator="containsText" text="Inf">
      <formula>NOT(ISERROR(SEARCH("Inf",B9)))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0" sqref="B20"/>
    </sheetView>
  </sheetViews>
  <sheetFormatPr defaultRowHeight="12.75" x14ac:dyDescent="0.2"/>
  <cols>
    <col min="1" max="1" width="14.85546875" customWidth="1"/>
    <col min="2" max="2" width="10.5703125" customWidth="1"/>
    <col min="4" max="4" width="12.42578125" bestFit="1" customWidth="1"/>
  </cols>
  <sheetData>
    <row r="1" spans="1:4" x14ac:dyDescent="0.2">
      <c r="A1" s="15" t="s">
        <v>21</v>
      </c>
      <c r="B1" s="39">
        <f>((4/3)*PI()*B3^3)*B4</f>
        <v>1.5184364492350665E-13</v>
      </c>
      <c r="C1" s="18" t="s">
        <v>22</v>
      </c>
    </row>
    <row r="2" spans="1:4" x14ac:dyDescent="0.2">
      <c r="A2" s="16" t="s">
        <v>45</v>
      </c>
      <c r="B2" s="38">
        <f>0.01*B1</f>
        <v>1.5184364492350666E-15</v>
      </c>
      <c r="C2" s="19" t="s">
        <v>22</v>
      </c>
    </row>
    <row r="3" spans="1:4" x14ac:dyDescent="0.2">
      <c r="A3" s="16" t="s">
        <v>31</v>
      </c>
      <c r="B3" s="38">
        <f>0.5*10^(-6)</f>
        <v>4.9999999999999998E-7</v>
      </c>
      <c r="C3" s="19" t="s">
        <v>23</v>
      </c>
    </row>
    <row r="4" spans="1:4" x14ac:dyDescent="0.2">
      <c r="A4" s="16" t="s">
        <v>24</v>
      </c>
      <c r="B4" s="38">
        <f>290*1000</f>
        <v>290000</v>
      </c>
      <c r="C4" s="19" t="s">
        <v>54</v>
      </c>
    </row>
    <row r="5" spans="1:4" x14ac:dyDescent="0.2">
      <c r="A5" s="16" t="s">
        <v>25</v>
      </c>
      <c r="B5" s="7">
        <v>24.6</v>
      </c>
      <c r="C5" s="19" t="s">
        <v>26</v>
      </c>
    </row>
    <row r="6" spans="1:4" x14ac:dyDescent="0.2">
      <c r="A6" s="16" t="s">
        <v>27</v>
      </c>
      <c r="B6" s="38">
        <f>ROUNDUP(((Discretization!B2/10^(-6))^2)/(B3*2/10^(-6)),0)</f>
        <v>40000</v>
      </c>
      <c r="C6" s="19" t="s">
        <v>9</v>
      </c>
    </row>
    <row r="7" spans="1:4" x14ac:dyDescent="0.2">
      <c r="A7" s="34" t="s">
        <v>28</v>
      </c>
      <c r="B7" s="7">
        <v>1.3</v>
      </c>
      <c r="C7" s="19" t="s">
        <v>9</v>
      </c>
    </row>
    <row r="8" spans="1:4" x14ac:dyDescent="0.2">
      <c r="A8" s="34" t="s">
        <v>29</v>
      </c>
      <c r="B8" s="38">
        <f>5*10^(-6)</f>
        <v>4.9999999999999996E-6</v>
      </c>
      <c r="C8" s="19" t="s">
        <v>23</v>
      </c>
    </row>
    <row r="9" spans="1:4" x14ac:dyDescent="0.2">
      <c r="A9" s="35" t="s">
        <v>30</v>
      </c>
      <c r="B9" s="36">
        <f>5*10^(-8)</f>
        <v>4.9999999999999998E-8</v>
      </c>
      <c r="C9" s="37" t="s">
        <v>23</v>
      </c>
    </row>
    <row r="13" spans="1:4" x14ac:dyDescent="0.2">
      <c r="B13" s="40"/>
    </row>
    <row r="14" spans="1:4" x14ac:dyDescent="0.2">
      <c r="B14" s="10"/>
    </row>
    <row r="16" spans="1:4" x14ac:dyDescent="0.2">
      <c r="C16" s="10"/>
      <c r="D16" s="59"/>
    </row>
    <row r="17" spans="4:5" x14ac:dyDescent="0.2">
      <c r="D17" s="10"/>
    </row>
    <row r="19" spans="4:5" x14ac:dyDescent="0.2">
      <c r="E19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44" sqref="F44"/>
    </sheetView>
  </sheetViews>
  <sheetFormatPr defaultColWidth="11.42578125" defaultRowHeight="12.75" x14ac:dyDescent="0.2"/>
  <cols>
    <col min="1" max="1" width="10.42578125" customWidth="1"/>
    <col min="3" max="3" width="12.140625" customWidth="1"/>
  </cols>
  <sheetData>
    <row r="1" spans="1:4" x14ac:dyDescent="0.2">
      <c r="A1" s="15" t="s">
        <v>1</v>
      </c>
      <c r="B1" s="11">
        <v>298.14999999999998</v>
      </c>
      <c r="C1" s="18" t="s">
        <v>2</v>
      </c>
    </row>
    <row r="2" spans="1:4" x14ac:dyDescent="0.2">
      <c r="A2" s="16" t="s">
        <v>11</v>
      </c>
      <c r="B2" s="7">
        <f>8.3144/1000</f>
        <v>8.3143999999999996E-3</v>
      </c>
      <c r="C2" s="19" t="s">
        <v>12</v>
      </c>
    </row>
    <row r="3" spans="1:4" x14ac:dyDescent="0.2">
      <c r="A3" s="16" t="s">
        <v>13</v>
      </c>
      <c r="B3" s="7">
        <v>8.2057459999999999E-2</v>
      </c>
      <c r="C3" s="19" t="s">
        <v>14</v>
      </c>
    </row>
    <row r="4" spans="1:4" x14ac:dyDescent="0.2">
      <c r="A4" s="16" t="s">
        <v>0</v>
      </c>
      <c r="B4" s="7">
        <v>1</v>
      </c>
      <c r="C4" s="19" t="s">
        <v>15</v>
      </c>
    </row>
    <row r="5" spans="1:4" x14ac:dyDescent="0.2">
      <c r="A5" s="5" t="s">
        <v>18</v>
      </c>
      <c r="B5" s="38">
        <f>Discretization!B2*Discretization!B2*Discretization!B4</f>
        <v>7.9999999999999987E-14</v>
      </c>
      <c r="C5" s="23" t="s">
        <v>120</v>
      </c>
    </row>
    <row r="6" spans="1:4" x14ac:dyDescent="0.2">
      <c r="A6" s="16" t="s">
        <v>7</v>
      </c>
      <c r="B6" s="38">
        <f>B5</f>
        <v>7.9999999999999987E-14</v>
      </c>
      <c r="C6" s="19" t="s">
        <v>120</v>
      </c>
    </row>
    <row r="7" spans="1:4" x14ac:dyDescent="0.2">
      <c r="A7" s="17" t="s">
        <v>10</v>
      </c>
      <c r="B7" s="13">
        <v>7</v>
      </c>
      <c r="C7" s="21" t="s">
        <v>9</v>
      </c>
    </row>
    <row r="8" spans="1:4" x14ac:dyDescent="0.2">
      <c r="A8" s="14"/>
    </row>
    <row r="16" spans="1:4" x14ac:dyDescent="0.2">
      <c r="D1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8" sqref="B8"/>
    </sheetView>
  </sheetViews>
  <sheetFormatPr defaultRowHeight="12.75" x14ac:dyDescent="0.2"/>
  <cols>
    <col min="1" max="1" width="15.42578125" customWidth="1"/>
  </cols>
  <sheetData>
    <row r="1" spans="1:5" x14ac:dyDescent="0.2">
      <c r="A1" s="47" t="s">
        <v>32</v>
      </c>
      <c r="B1" s="44">
        <v>50</v>
      </c>
      <c r="C1" s="45" t="s">
        <v>9</v>
      </c>
    </row>
    <row r="2" spans="1:5" x14ac:dyDescent="0.2">
      <c r="A2" s="48" t="s">
        <v>33</v>
      </c>
      <c r="B2" s="40">
        <f>200*10^(-6)</f>
        <v>1.9999999999999998E-4</v>
      </c>
      <c r="C2" s="46" t="s">
        <v>23</v>
      </c>
    </row>
    <row r="3" spans="1:5" x14ac:dyDescent="0.2">
      <c r="A3" s="48" t="s">
        <v>55</v>
      </c>
      <c r="B3" s="40">
        <f>B2/B1</f>
        <v>3.9999999999999998E-6</v>
      </c>
      <c r="C3" s="46" t="s">
        <v>23</v>
      </c>
    </row>
    <row r="4" spans="1:5" x14ac:dyDescent="0.2">
      <c r="A4" s="48" t="s">
        <v>57</v>
      </c>
      <c r="B4" s="40">
        <f>2*10^(-6)</f>
        <v>1.9999999999999999E-6</v>
      </c>
      <c r="C4" s="46" t="s">
        <v>23</v>
      </c>
    </row>
    <row r="5" spans="1:5" x14ac:dyDescent="0.2">
      <c r="A5" s="48" t="s">
        <v>56</v>
      </c>
      <c r="B5" s="40">
        <f>100*10^(-6)</f>
        <v>9.9999999999999991E-5</v>
      </c>
      <c r="C5" s="46" t="s">
        <v>23</v>
      </c>
    </row>
    <row r="6" spans="1:5" x14ac:dyDescent="0.2">
      <c r="A6" s="48" t="s">
        <v>35</v>
      </c>
      <c r="B6" s="31">
        <f>24*24</f>
        <v>576</v>
      </c>
      <c r="C6" s="46" t="s">
        <v>36</v>
      </c>
    </row>
    <row r="7" spans="1:5" x14ac:dyDescent="0.2">
      <c r="A7" s="48" t="s">
        <v>37</v>
      </c>
      <c r="B7" s="40">
        <v>9.9999999999999995E-8</v>
      </c>
      <c r="C7" s="46" t="s">
        <v>36</v>
      </c>
    </row>
    <row r="8" spans="1:5" x14ac:dyDescent="0.2">
      <c r="A8" s="48" t="s">
        <v>38</v>
      </c>
      <c r="B8" s="31">
        <v>1</v>
      </c>
      <c r="C8" s="46" t="s">
        <v>36</v>
      </c>
    </row>
    <row r="9" spans="1:5" x14ac:dyDescent="0.2">
      <c r="A9" s="48" t="s">
        <v>39</v>
      </c>
      <c r="B9" s="31">
        <f>B8*2</f>
        <v>2</v>
      </c>
      <c r="C9" s="46" t="s">
        <v>36</v>
      </c>
    </row>
    <row r="10" spans="1:5" ht="13.5" thickBot="1" x14ac:dyDescent="0.25">
      <c r="A10" s="49" t="s">
        <v>53</v>
      </c>
      <c r="B10" s="214">
        <v>1</v>
      </c>
      <c r="C10" s="215" t="s">
        <v>9</v>
      </c>
    </row>
    <row r="11" spans="1:5" x14ac:dyDescent="0.2">
      <c r="A11" s="42"/>
      <c r="B11" s="22"/>
      <c r="C11" s="41"/>
    </row>
    <row r="12" spans="1:5" x14ac:dyDescent="0.2">
      <c r="A12" s="43"/>
    </row>
    <row r="16" spans="1:5" x14ac:dyDescent="0.2">
      <c r="D16" s="10"/>
      <c r="E16" s="10"/>
    </row>
    <row r="24" spans="5:5" x14ac:dyDescent="0.2">
      <c r="E24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7" sqref="G17"/>
    </sheetView>
  </sheetViews>
  <sheetFormatPr defaultRowHeight="12.75" x14ac:dyDescent="0.2"/>
  <cols>
    <col min="2" max="2" width="12" bestFit="1" customWidth="1"/>
    <col min="7" max="7" width="11.42578125" bestFit="1" customWidth="1"/>
  </cols>
  <sheetData>
    <row r="1" spans="1:3" x14ac:dyDescent="0.2">
      <c r="A1" s="183" t="s">
        <v>116</v>
      </c>
      <c r="B1" s="184">
        <f>1.64*10^(-9)*3600</f>
        <v>5.9039999999999997E-6</v>
      </c>
      <c r="C1" s="185" t="s">
        <v>34</v>
      </c>
    </row>
    <row r="2" spans="1:3" x14ac:dyDescent="0.2">
      <c r="A2" s="68" t="s">
        <v>117</v>
      </c>
      <c r="B2" s="38">
        <f>1.7*10^(-9)*3600</f>
        <v>6.1200000000000007E-6</v>
      </c>
      <c r="C2" s="186" t="s">
        <v>34</v>
      </c>
    </row>
    <row r="3" spans="1:3" x14ac:dyDescent="0.2">
      <c r="A3" s="68" t="s">
        <v>118</v>
      </c>
      <c r="B3" s="38">
        <f>1.7*10^(-9)*3600</f>
        <v>6.1200000000000007E-6</v>
      </c>
      <c r="C3" s="186" t="s">
        <v>34</v>
      </c>
    </row>
    <row r="4" spans="1:3" x14ac:dyDescent="0.2">
      <c r="A4" s="68" t="s">
        <v>48</v>
      </c>
      <c r="B4" s="182">
        <f>2*10^(-9)*3600</f>
        <v>7.2000000000000005E-6</v>
      </c>
      <c r="C4" s="186" t="s">
        <v>34</v>
      </c>
    </row>
    <row r="5" spans="1:3" x14ac:dyDescent="0.2">
      <c r="A5" s="68" t="s">
        <v>119</v>
      </c>
      <c r="B5" s="182">
        <f>1.92*10^(-9)*3600</f>
        <v>6.9120000000000001E-6</v>
      </c>
      <c r="C5" s="186" t="s">
        <v>34</v>
      </c>
    </row>
    <row r="6" spans="1:3" ht="14.25" x14ac:dyDescent="0.2">
      <c r="A6" s="71" t="s">
        <v>49</v>
      </c>
      <c r="B6" s="189">
        <v>0</v>
      </c>
      <c r="C6" s="190" t="s">
        <v>50</v>
      </c>
    </row>
    <row r="7" spans="1:3" ht="15" thickBot="1" x14ac:dyDescent="0.25">
      <c r="A7" s="58" t="s">
        <v>115</v>
      </c>
      <c r="B7" s="187">
        <v>0</v>
      </c>
      <c r="C7" s="18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Reactions</vt:lpstr>
      <vt:lpstr>ReactionMatrix</vt:lpstr>
      <vt:lpstr>SpecParam</vt:lpstr>
      <vt:lpstr>States</vt:lpstr>
      <vt:lpstr>ThermoParam</vt:lpstr>
      <vt:lpstr>Bacteria</vt:lpstr>
      <vt:lpstr>Parameters</vt:lpstr>
      <vt:lpstr>Discretization</vt:lpstr>
      <vt:lpstr>Diffusion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Rebeca.Gonzalez-Cabaleiro@newcastle.ac.uk</dc:creator>
  <cp:lastModifiedBy>Rebeca Gonzalez-Cabaleiro</cp:lastModifiedBy>
  <dcterms:created xsi:type="dcterms:W3CDTF">2008-02-06T12:16:03Z</dcterms:created>
  <dcterms:modified xsi:type="dcterms:W3CDTF">2017-04-11T11:21:53Z</dcterms:modified>
</cp:coreProperties>
</file>