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/>
  <workbookProtection lockStructure="1"/>
  <bookViews>
    <workbookView xWindow="0" yWindow="0" windowWidth="19200" windowHeight="11595" tabRatio="504"/>
  </bookViews>
  <sheets>
    <sheet name="스펙계산기" sheetId="1" r:id="rId1"/>
    <sheet name="설명서" sheetId="2" r:id="rId2"/>
    <sheet name="계산" sheetId="3" state="hidden" r:id="rId3"/>
  </sheets>
  <definedNames>
    <definedName name="공마" localSheetId="0">계산!$D$49</definedName>
    <definedName name="공마">계산!$D$49</definedName>
    <definedName name="공마종류" localSheetId="0">계산!$B$6</definedName>
    <definedName name="공마종류">계산!$B$6</definedName>
    <definedName name="공마퍼" localSheetId="0">계산!$D$50</definedName>
    <definedName name="공마퍼">계산!$D$50</definedName>
    <definedName name="나이트로드">계산!$M$7</definedName>
    <definedName name="나이트워커">계산!$W$7</definedName>
    <definedName name="다크나이트">계산!$F$7:$F$8</definedName>
    <definedName name="데몬슬레이어">계산!$AE$7:$AE$8</definedName>
    <definedName name="데미지" localSheetId="0">계산!$D$51</definedName>
    <definedName name="데미지">계산!$D$51</definedName>
    <definedName name="듀얼블레이드">계산!$O$7</definedName>
    <definedName name="딜계산">계산!$A$44:$A$52</definedName>
    <definedName name="루미너스">계산!$AB$7</definedName>
    <definedName name="메르세데스">계산!$Y$7</definedName>
    <definedName name="메용스탯">계산!$D$33</definedName>
    <definedName name="메카닉">계산!$AI$7</definedName>
    <definedName name="몬스터종류">계산!$L$27:$L$28</definedName>
    <definedName name="미하일">계산!$S$7</definedName>
    <definedName name="바이퍼">계산!$Q$7</definedName>
    <definedName name="방무" localSheetId="0">계산!$D$54</definedName>
    <definedName name="방무">계산!$D$54</definedName>
    <definedName name="방어율">계산!$M$34</definedName>
    <definedName name="배틀메이지">계산!$AG$7</definedName>
    <definedName name="베틀메이지">계산!$AG$7</definedName>
    <definedName name="보공" localSheetId="0">계산!$D$52</definedName>
    <definedName name="보공">계산!$D$52</definedName>
    <definedName name="보스">계산!$M$35</definedName>
    <definedName name="보우마스터">계산!$J$7</definedName>
    <definedName name="부스탯" localSheetId="2">계산!$D$48</definedName>
    <definedName name="부스탯" localSheetId="0">계산!$D$48</definedName>
    <definedName name="부스탯">계산!$D$48</definedName>
    <definedName name="부스탯종류">계산!$B$3</definedName>
    <definedName name="불독">계산!$G$7:$G$8</definedName>
    <definedName name="블래스터">계산!$AF$7</definedName>
    <definedName name="비숍">계산!$I$7:$I$8</definedName>
    <definedName name="섀도어">계산!$N$7</definedName>
    <definedName name="소울마스터">계산!$T$7:$T$8</definedName>
    <definedName name="순스탯" localSheetId="0">계산!$D$46</definedName>
    <definedName name="순스탯">계산!$D$46</definedName>
    <definedName name="스탯퍼" localSheetId="2">계산!$D$47</definedName>
    <definedName name="스탯퍼" localSheetId="0">계산!$D$47</definedName>
    <definedName name="스탯퍼">계산!$D$47</definedName>
    <definedName name="스트라이커">계산!$X$7</definedName>
    <definedName name="신궁">계산!$K$7</definedName>
    <definedName name="썬콜">계산!$H$7:$H$8</definedName>
    <definedName name="쓸컴뱃">계산!$A$25:$A$26</definedName>
    <definedName name="아란">계산!$Z$7</definedName>
    <definedName name="아크">계산!$AO$7</definedName>
    <definedName name="에반">계산!$AC$7:$AC$8</definedName>
    <definedName name="엔젤릭버스터">계산!$AK$7</definedName>
    <definedName name="와일드헌터">계산!$AH$7</definedName>
    <definedName name="윈드브레이커">계산!$V$7</definedName>
    <definedName name="유니온엠">계산!$U$74:$U$78</definedName>
    <definedName name="유니온효과1">계산!$A$27:$A$32</definedName>
    <definedName name="유니온효과2">계산!$A$33:$A$38</definedName>
    <definedName name="은월">계산!$AD$7</definedName>
    <definedName name="일리움">계산!$AP$7</definedName>
    <definedName name="제로">계산!$AM$7:$AM$8</definedName>
    <definedName name="주스탯종류" localSheetId="0">계산!$B$2</definedName>
    <definedName name="주스탯종류">계산!$B$2</definedName>
    <definedName name="직업">계산!$D$1:$AP$1</definedName>
    <definedName name="최종뎀" localSheetId="0">계산!$D$53</definedName>
    <definedName name="최종뎀">계산!$D$53</definedName>
    <definedName name="카데나">계산!$AL$7</definedName>
    <definedName name="카이저">계산!$AJ$7</definedName>
    <definedName name="캐논슈터">계산!$R$7</definedName>
    <definedName name="캡틴">계산!$P$7</definedName>
    <definedName name="크뎀" localSheetId="0">계산!$D$56</definedName>
    <definedName name="크뎀">계산!$D$56</definedName>
    <definedName name="크리인">계산!$O$27</definedName>
    <definedName name="크리인뎀">계산!$O$30</definedName>
    <definedName name="크리인사용">계산!$N$28:$N$29</definedName>
    <definedName name="크확" localSheetId="0">계산!$D$55</definedName>
    <definedName name="크확">계산!$D$55</definedName>
    <definedName name="키네시스">계산!$AN$7</definedName>
    <definedName name="팔라딘">계산!$E$7:$E$10</definedName>
    <definedName name="패스파인더">계산!$L$7</definedName>
    <definedName name="팬텀">계산!$AA$7</definedName>
    <definedName name="포스스탯">계산!$D$57</definedName>
    <definedName name="플레임위자드">계산!$U$7:$U$8</definedName>
    <definedName name="효율계산">계산!$A$44:$A$50</definedName>
    <definedName name="히어로">계산!$D$7:$D$10</definedName>
  </definedNames>
  <calcPr calcId="162913"/>
</workbook>
</file>

<file path=xl/calcChain.xml><?xml version="1.0" encoding="utf-8"?>
<calcChain xmlns="http://schemas.openxmlformats.org/spreadsheetml/2006/main">
  <c r="T30" i="3" l="1"/>
  <c r="B24" i="3" l="1"/>
  <c r="T28" i="3"/>
  <c r="U28" i="3"/>
  <c r="V28" i="3"/>
  <c r="S28" i="3"/>
  <c r="S36" i="3"/>
  <c r="T36" i="3"/>
  <c r="U36" i="3"/>
  <c r="V62" i="3"/>
  <c r="G18" i="1"/>
  <c r="E18" i="1"/>
  <c r="D83" i="3"/>
  <c r="P67" i="3" l="1"/>
  <c r="M74" i="3" l="1"/>
  <c r="O76" i="3"/>
  <c r="O67" i="3"/>
  <c r="V37" i="3" l="1"/>
  <c r="W14" i="1" s="1"/>
  <c r="O30" i="3" l="1"/>
  <c r="O28" i="3"/>
  <c r="O27" i="3" l="1"/>
  <c r="M27" i="3"/>
  <c r="M35" i="3" s="1"/>
  <c r="M33" i="3"/>
  <c r="M32" i="3"/>
  <c r="M31" i="3"/>
  <c r="M30" i="3"/>
  <c r="M29" i="3"/>
  <c r="J22" i="1" l="1"/>
  <c r="V32" i="1"/>
  <c r="V15" i="1"/>
  <c r="J31" i="1"/>
  <c r="P69" i="3"/>
  <c r="M34" i="3"/>
  <c r="M70" i="3" s="1"/>
  <c r="AN44" i="3"/>
  <c r="AM44" i="3"/>
  <c r="O79" i="3"/>
  <c r="M79" i="3"/>
  <c r="O78" i="3"/>
  <c r="M78" i="3"/>
  <c r="K77" i="3"/>
  <c r="O77" i="3"/>
  <c r="M77" i="3"/>
  <c r="K76" i="3"/>
  <c r="R79" i="3"/>
  <c r="O75" i="3"/>
  <c r="M76" i="3"/>
  <c r="K75" i="3"/>
  <c r="R78" i="3"/>
  <c r="O74" i="3"/>
  <c r="M75" i="3"/>
  <c r="K74" i="3"/>
  <c r="R77" i="3"/>
  <c r="O73" i="3"/>
  <c r="M73" i="3"/>
  <c r="R76" i="3"/>
  <c r="R75" i="3"/>
  <c r="S75" i="3" s="1"/>
  <c r="K69" i="3"/>
  <c r="K68" i="3"/>
  <c r="K67" i="3"/>
  <c r="K66" i="3"/>
  <c r="K65" i="3"/>
  <c r="N63" i="3"/>
  <c r="K63" i="3"/>
  <c r="N62" i="3"/>
  <c r="K62" i="3"/>
  <c r="N61" i="3"/>
  <c r="K61" i="3"/>
  <c r="N60" i="3"/>
  <c r="K60" i="3"/>
  <c r="L58" i="3"/>
  <c r="U47" i="3"/>
  <c r="V47" i="3" s="1"/>
  <c r="L57" i="3"/>
  <c r="L56" i="3"/>
  <c r="L55" i="3"/>
  <c r="V54" i="3"/>
  <c r="X18" i="1" s="1"/>
  <c r="U54" i="3"/>
  <c r="V53" i="3"/>
  <c r="U53" i="3"/>
  <c r="O69" i="3"/>
  <c r="V52" i="3"/>
  <c r="U52" i="3"/>
  <c r="P68" i="3"/>
  <c r="O68" i="3"/>
  <c r="V51" i="3"/>
  <c r="U51" i="3"/>
  <c r="P66" i="3"/>
  <c r="F48" i="3"/>
  <c r="E48" i="3"/>
  <c r="V50" i="3"/>
  <c r="U50" i="3"/>
  <c r="P65" i="3"/>
  <c r="E47" i="3"/>
  <c r="V49" i="3"/>
  <c r="P64" i="3"/>
  <c r="L46" i="3"/>
  <c r="V48" i="3"/>
  <c r="D43" i="3"/>
  <c r="B42" i="3"/>
  <c r="D41" i="3"/>
  <c r="B41" i="3"/>
  <c r="D40" i="3"/>
  <c r="D55" i="3" s="1"/>
  <c r="B40" i="3"/>
  <c r="D39" i="3"/>
  <c r="D54" i="3" s="1"/>
  <c r="B39" i="3"/>
  <c r="D38" i="3"/>
  <c r="D37" i="3"/>
  <c r="D52" i="3" s="1"/>
  <c r="D36" i="3"/>
  <c r="D51" i="3" s="1"/>
  <c r="K4" i="1" s="1"/>
  <c r="D35" i="3"/>
  <c r="U35" i="3"/>
  <c r="T35" i="3"/>
  <c r="S35" i="3"/>
  <c r="D34" i="3"/>
  <c r="D48" i="3" s="1"/>
  <c r="V39" i="3" s="1"/>
  <c r="U34" i="3"/>
  <c r="T34" i="3"/>
  <c r="S34" i="3"/>
  <c r="D33" i="3"/>
  <c r="U33" i="3"/>
  <c r="T33" i="3"/>
  <c r="S33" i="3"/>
  <c r="D32" i="3"/>
  <c r="U32" i="3"/>
  <c r="T32" i="3"/>
  <c r="S32" i="3"/>
  <c r="U31" i="3"/>
  <c r="T31" i="3"/>
  <c r="S31" i="3"/>
  <c r="W7" i="1"/>
  <c r="U29" i="3"/>
  <c r="S29" i="3"/>
  <c r="R29" i="3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D27" i="3"/>
  <c r="A7" i="3"/>
  <c r="D29" i="3" s="1"/>
  <c r="A1" i="3"/>
  <c r="D28" i="3" s="1"/>
  <c r="D84" i="3" l="1"/>
  <c r="D86" i="3" s="1"/>
  <c r="N91" i="3" s="1"/>
  <c r="AZ26" i="3"/>
  <c r="N74" i="3"/>
  <c r="D53" i="3"/>
  <c r="K5" i="1" s="1"/>
  <c r="N78" i="3"/>
  <c r="N76" i="3"/>
  <c r="N77" i="3"/>
  <c r="R7" i="1" s="1"/>
  <c r="N75" i="3"/>
  <c r="N79" i="3"/>
  <c r="R9" i="1" s="1"/>
  <c r="F57" i="3"/>
  <c r="F56" i="3"/>
  <c r="V55" i="3"/>
  <c r="W19" i="1" s="1"/>
  <c r="D56" i="3"/>
  <c r="T44" i="3" s="1"/>
  <c r="BO27" i="3" s="1"/>
  <c r="H55" i="3"/>
  <c r="AV44" i="3"/>
  <c r="J55" i="3"/>
  <c r="J58" i="3"/>
  <c r="O36" i="3"/>
  <c r="H58" i="3"/>
  <c r="V61" i="3"/>
  <c r="T41" i="3"/>
  <c r="BL27" i="3" s="1"/>
  <c r="M4" i="1"/>
  <c r="AW44" i="3"/>
  <c r="T40" i="3"/>
  <c r="BK27" i="3" s="1"/>
  <c r="AX44" i="3"/>
  <c r="K6" i="1"/>
  <c r="S76" i="3"/>
  <c r="V56" i="3"/>
  <c r="M5" i="1"/>
  <c r="N46" i="3"/>
  <c r="V4" i="1"/>
  <c r="S27" i="3" s="1"/>
  <c r="T27" i="3" s="1"/>
  <c r="P46" i="3"/>
  <c r="A2" i="3"/>
  <c r="X4" i="1"/>
  <c r="U27" i="3" s="1"/>
  <c r="V27" i="3" s="1"/>
  <c r="N72" i="3"/>
  <c r="O70" i="3" s="1"/>
  <c r="P76" i="3" s="1"/>
  <c r="T6" i="1" s="1"/>
  <c r="J54" i="3"/>
  <c r="H54" i="3"/>
  <c r="T42" i="3"/>
  <c r="BM27" i="3" s="1"/>
  <c r="L72" i="3"/>
  <c r="H51" i="3"/>
  <c r="J51" i="3"/>
  <c r="V60" i="3"/>
  <c r="H48" i="3"/>
  <c r="J48" i="3"/>
  <c r="M72" i="3"/>
  <c r="J52" i="3"/>
  <c r="H52" i="3"/>
  <c r="T39" i="3"/>
  <c r="BI27" i="3" s="1"/>
  <c r="BI28" i="3" s="1"/>
  <c r="BI29" i="3" s="1"/>
  <c r="BI30" i="3" s="1"/>
  <c r="BI31" i="3" s="1"/>
  <c r="BI32" i="3" s="1"/>
  <c r="BI33" i="3" s="1"/>
  <c r="BI34" i="3" s="1"/>
  <c r="BI35" i="3" s="1"/>
  <c r="BI36" i="3" s="1"/>
  <c r="BI37" i="3" s="1"/>
  <c r="BI38" i="3" s="1"/>
  <c r="BI39" i="3" s="1"/>
  <c r="BI40" i="3" s="1"/>
  <c r="BI41" i="3" s="1"/>
  <c r="BI42" i="3" s="1"/>
  <c r="BI43" i="3" s="1"/>
  <c r="BI44" i="3" s="1"/>
  <c r="BI45" i="3" s="1"/>
  <c r="BI46" i="3" s="1"/>
  <c r="BI47" i="3" s="1"/>
  <c r="BI48" i="3" s="1"/>
  <c r="BI49" i="3" s="1"/>
  <c r="BI50" i="3" s="1"/>
  <c r="BI51" i="3" s="1"/>
  <c r="BI52" i="3" s="1"/>
  <c r="BI53" i="3" s="1"/>
  <c r="BI54" i="3" s="1"/>
  <c r="BI55" i="3" s="1"/>
  <c r="BI56" i="3" s="1"/>
  <c r="BI57" i="3" s="1"/>
  <c r="BI58" i="3" s="1"/>
  <c r="BI59" i="3" s="1"/>
  <c r="BI60" i="3" s="1"/>
  <c r="BI61" i="3" s="1"/>
  <c r="BI62" i="3" s="1"/>
  <c r="BI63" i="3" s="1"/>
  <c r="BI64" i="3" s="1"/>
  <c r="BI65" i="3" s="1"/>
  <c r="BI66" i="3" s="1"/>
  <c r="BI67" i="3" s="1"/>
  <c r="BI68" i="3" s="1"/>
  <c r="BI69" i="3" s="1"/>
  <c r="BI70" i="3" s="1"/>
  <c r="BI71" i="3" s="1"/>
  <c r="BI72" i="3" s="1"/>
  <c r="BI73" i="3" s="1"/>
  <c r="BI74" i="3" s="1"/>
  <c r="BI75" i="3" s="1"/>
  <c r="BI76" i="3" s="1"/>
  <c r="BI77" i="3" s="1"/>
  <c r="BI78" i="3" s="1"/>
  <c r="BI79" i="3" s="1"/>
  <c r="BI80" i="3" s="1"/>
  <c r="BI81" i="3" s="1"/>
  <c r="BI82" i="3" s="1"/>
  <c r="BI83" i="3" s="1"/>
  <c r="BI84" i="3" s="1"/>
  <c r="BI85" i="3" s="1"/>
  <c r="BI86" i="3" s="1"/>
  <c r="BI87" i="3" s="1"/>
  <c r="BI88" i="3" s="1"/>
  <c r="BI89" i="3" s="1"/>
  <c r="BI90" i="3" s="1"/>
  <c r="BI91" i="3" s="1"/>
  <c r="BI92" i="3" s="1"/>
  <c r="BI93" i="3" s="1"/>
  <c r="BI94" i="3" s="1"/>
  <c r="BI95" i="3" s="1"/>
  <c r="BI96" i="3" s="1"/>
  <c r="BI97" i="3" s="1"/>
  <c r="BI98" i="3" s="1"/>
  <c r="BI99" i="3" s="1"/>
  <c r="BI100" i="3" s="1"/>
  <c r="BI101" i="3" s="1"/>
  <c r="BI102" i="3" s="1"/>
  <c r="BI103" i="3" s="1"/>
  <c r="BI104" i="3" s="1"/>
  <c r="BI105" i="3" s="1"/>
  <c r="BI106" i="3" s="1"/>
  <c r="BI107" i="3" s="1"/>
  <c r="BI108" i="3" s="1"/>
  <c r="BI109" i="3" s="1"/>
  <c r="BI110" i="3" s="1"/>
  <c r="BI111" i="3" s="1"/>
  <c r="BI112" i="3" s="1"/>
  <c r="BI113" i="3" s="1"/>
  <c r="BI114" i="3" s="1"/>
  <c r="BI115" i="3" s="1"/>
  <c r="BI116" i="3" s="1"/>
  <c r="BI117" i="3" s="1"/>
  <c r="BI118" i="3" s="1"/>
  <c r="BI119" i="3" s="1"/>
  <c r="BI120" i="3" s="1"/>
  <c r="BI121" i="3" s="1"/>
  <c r="BI122" i="3" s="1"/>
  <c r="BI123" i="3" s="1"/>
  <c r="BI124" i="3" s="1"/>
  <c r="BI125" i="3" s="1"/>
  <c r="BI126" i="3" s="1"/>
  <c r="BI127" i="3" s="1"/>
  <c r="BI128" i="3" s="1"/>
  <c r="T43" i="3"/>
  <c r="BN27" i="3" s="1"/>
  <c r="R8" i="1" l="1"/>
  <c r="R6" i="1"/>
  <c r="R4" i="1"/>
  <c r="T37" i="3"/>
  <c r="BG27" i="3" s="1"/>
  <c r="R74" i="3"/>
  <c r="T75" i="3" s="1"/>
  <c r="J53" i="3"/>
  <c r="N69" i="3"/>
  <c r="S32" i="1" s="1"/>
  <c r="H53" i="3"/>
  <c r="R5" i="1"/>
  <c r="F58" i="3"/>
  <c r="J65" i="3"/>
  <c r="M6" i="1"/>
  <c r="AU44" i="3"/>
  <c r="H65" i="3"/>
  <c r="H56" i="3"/>
  <c r="H64" i="3" s="1"/>
  <c r="J56" i="3"/>
  <c r="J64" i="3" s="1"/>
  <c r="S77" i="3"/>
  <c r="S78" i="3" s="1"/>
  <c r="AQ44" i="3"/>
  <c r="AO44" i="3"/>
  <c r="AR44" i="3"/>
  <c r="AP44" i="3"/>
  <c r="P79" i="3"/>
  <c r="T9" i="1" s="1"/>
  <c r="P77" i="3"/>
  <c r="P75" i="3"/>
  <c r="T5" i="1" s="1"/>
  <c r="P74" i="3"/>
  <c r="T4" i="1" s="1"/>
  <c r="P78" i="3"/>
  <c r="T8" i="1" s="1"/>
  <c r="B14" i="3"/>
  <c r="B9" i="3"/>
  <c r="B21" i="3"/>
  <c r="B16" i="3"/>
  <c r="B11" i="3"/>
  <c r="B7" i="3"/>
  <c r="B2" i="3"/>
  <c r="B20" i="3"/>
  <c r="B15" i="3"/>
  <c r="B22" i="3"/>
  <c r="B12" i="3"/>
  <c r="B23" i="3"/>
  <c r="D42" i="3" s="1"/>
  <c r="B6" i="3"/>
  <c r="B19" i="3"/>
  <c r="B10" i="3"/>
  <c r="B3" i="3"/>
  <c r="B10" i="1" s="1"/>
  <c r="B18" i="3"/>
  <c r="B8" i="3"/>
  <c r="B17" i="3"/>
  <c r="B13" i="3"/>
  <c r="T76" i="3" l="1"/>
  <c r="AY28" i="3"/>
  <c r="AZ28" i="3"/>
  <c r="BA28" i="3"/>
  <c r="BC28" i="3"/>
  <c r="BB28" i="3"/>
  <c r="T7" i="1"/>
  <c r="E10" i="1"/>
  <c r="A46" i="3"/>
  <c r="A47" i="3"/>
  <c r="A45" i="3"/>
  <c r="A44" i="3"/>
  <c r="A8" i="3"/>
  <c r="A15" i="3" s="1"/>
  <c r="D31" i="3" s="1"/>
  <c r="T77" i="3"/>
  <c r="D50" i="3"/>
  <c r="T78" i="3"/>
  <c r="S79" i="3"/>
  <c r="T79" i="3" s="1"/>
  <c r="O15" i="1"/>
  <c r="O66" i="3" s="1"/>
  <c r="O12" i="1"/>
  <c r="K46" i="3" s="1"/>
  <c r="O3" i="1"/>
  <c r="K73" i="3" s="1"/>
  <c r="G14" i="1"/>
  <c r="X26" i="1"/>
  <c r="L27" i="1"/>
  <c r="E14" i="1"/>
  <c r="L8" i="1"/>
  <c r="E23" i="1"/>
  <c r="J18" i="1"/>
  <c r="E8" i="1"/>
  <c r="J27" i="1"/>
  <c r="L18" i="1"/>
  <c r="V26" i="1"/>
  <c r="U49" i="3" s="1"/>
  <c r="B17" i="1"/>
  <c r="E24" i="1"/>
  <c r="L7" i="1"/>
  <c r="B5" i="3"/>
  <c r="Q24" i="1"/>
  <c r="L52" i="3" s="1"/>
  <c r="J23" i="1"/>
  <c r="S17" i="1"/>
  <c r="R14" i="1"/>
  <c r="O65" i="3" s="1"/>
  <c r="E9" i="1"/>
  <c r="J8" i="1"/>
  <c r="S22" i="1"/>
  <c r="B15" i="1"/>
  <c r="G13" i="1"/>
  <c r="X7" i="1"/>
  <c r="U30" i="3" s="1"/>
  <c r="J7" i="1"/>
  <c r="B43" i="3"/>
  <c r="D44" i="3" s="1"/>
  <c r="D57" i="3" s="1"/>
  <c r="Q18" i="1"/>
  <c r="L47" i="3" s="1"/>
  <c r="B16" i="1"/>
  <c r="E13" i="1"/>
  <c r="B4" i="3"/>
  <c r="J32" i="1"/>
  <c r="S27" i="1"/>
  <c r="E21" i="1"/>
  <c r="Q25" i="1"/>
  <c r="L53" i="3" s="1"/>
  <c r="Q23" i="1"/>
  <c r="L51" i="3" s="1"/>
  <c r="E22" i="1"/>
  <c r="Q19" i="1"/>
  <c r="L48" i="3" s="1"/>
  <c r="B8" i="1"/>
  <c r="Q26" i="1"/>
  <c r="L54" i="3" s="1"/>
  <c r="L17" i="1"/>
  <c r="V7" i="1"/>
  <c r="S30" i="3" s="1"/>
  <c r="J26" i="1"/>
  <c r="Q20" i="1"/>
  <c r="L49" i="3" s="1"/>
  <c r="J17" i="1"/>
  <c r="X25" i="1"/>
  <c r="B9" i="1"/>
  <c r="V25" i="1"/>
  <c r="U48" i="3" s="1"/>
  <c r="Q21" i="1"/>
  <c r="L50" i="3" s="1"/>
  <c r="L26" i="1"/>
  <c r="O14" i="1"/>
  <c r="O64" i="3" s="1"/>
  <c r="F49" i="3" l="1"/>
  <c r="E68" i="3" s="1"/>
  <c r="E49" i="3"/>
  <c r="L74" i="3"/>
  <c r="L75" i="3"/>
  <c r="L76" i="3"/>
  <c r="L77" i="3"/>
  <c r="D81" i="3"/>
  <c r="D82" i="3"/>
  <c r="A19" i="3"/>
  <c r="A11" i="3"/>
  <c r="D30" i="3" s="1"/>
  <c r="C6" i="1" s="1"/>
  <c r="V57" i="3"/>
  <c r="AF44" i="3" s="1"/>
  <c r="AC45" i="3" s="1"/>
  <c r="B11" i="1"/>
  <c r="J57" i="3"/>
  <c r="H57" i="3"/>
  <c r="V59" i="3"/>
  <c r="H50" i="3"/>
  <c r="K72" i="3"/>
  <c r="J50" i="3"/>
  <c r="M8" i="1"/>
  <c r="D85" i="3" l="1"/>
  <c r="J81" i="3" s="1"/>
  <c r="M90" i="3" s="1"/>
  <c r="AB45" i="3"/>
  <c r="AA45" i="3"/>
  <c r="F43" i="3"/>
  <c r="Y19" i="1"/>
  <c r="E59" i="3"/>
  <c r="E41" i="3" l="1"/>
  <c r="F41" i="3" s="1"/>
  <c r="M88" i="3"/>
  <c r="M89" i="3"/>
  <c r="J90" i="3"/>
  <c r="N90" i="3" s="1"/>
  <c r="J86" i="3"/>
  <c r="N89" i="3" s="1"/>
  <c r="J82" i="3"/>
  <c r="N88" i="3" s="1"/>
  <c r="F81" i="3"/>
  <c r="H81" i="3"/>
  <c r="M87" i="3" s="1"/>
  <c r="E40" i="3"/>
  <c r="F40" i="3" s="1"/>
  <c r="AD45" i="3"/>
  <c r="AF45" i="3"/>
  <c r="AF46" i="3" s="1"/>
  <c r="AF47" i="3" s="1"/>
  <c r="AF48" i="3" s="1"/>
  <c r="AF49" i="3" s="1"/>
  <c r="AF50" i="3" s="1"/>
  <c r="AF51" i="3" s="1"/>
  <c r="AF52" i="3" s="1"/>
  <c r="AF53" i="3" s="1"/>
  <c r="M85" i="3" l="1"/>
  <c r="M86" i="3"/>
  <c r="M83" i="3"/>
  <c r="M84" i="3"/>
  <c r="F90" i="3"/>
  <c r="M82" i="3"/>
  <c r="J91" i="3"/>
  <c r="J92" i="3"/>
  <c r="J87" i="3"/>
  <c r="J88" i="3"/>
  <c r="J83" i="3"/>
  <c r="J84" i="3"/>
  <c r="H86" i="3"/>
  <c r="H82" i="3"/>
  <c r="N85" i="3" s="1"/>
  <c r="H90" i="3"/>
  <c r="N87" i="3" s="1"/>
  <c r="F82" i="3"/>
  <c r="N82" i="3" s="1"/>
  <c r="F86" i="3"/>
  <c r="N83" i="3" s="1"/>
  <c r="F42" i="3"/>
  <c r="F44" i="3" s="1"/>
  <c r="AF54" i="3"/>
  <c r="D49" i="3" l="1"/>
  <c r="N86" i="3"/>
  <c r="F91" i="3"/>
  <c r="N84" i="3"/>
  <c r="F92" i="3"/>
  <c r="J93" i="3"/>
  <c r="L90" i="3" s="1"/>
  <c r="J89" i="3"/>
  <c r="L89" i="3" s="1"/>
  <c r="J85" i="3"/>
  <c r="L88" i="3" s="1"/>
  <c r="H91" i="3"/>
  <c r="H92" i="3"/>
  <c r="H87" i="3"/>
  <c r="H88" i="3"/>
  <c r="H83" i="3"/>
  <c r="H84" i="3"/>
  <c r="F87" i="3"/>
  <c r="F88" i="3"/>
  <c r="F83" i="3"/>
  <c r="F84" i="3"/>
  <c r="AF55" i="3"/>
  <c r="F54" i="3" l="1"/>
  <c r="F55" i="3"/>
  <c r="T45" i="3"/>
  <c r="AT44" i="3"/>
  <c r="F93" i="3"/>
  <c r="L84" i="3" s="1"/>
  <c r="H93" i="3"/>
  <c r="L87" i="3" s="1"/>
  <c r="H89" i="3"/>
  <c r="L86" i="3" s="1"/>
  <c r="H85" i="3"/>
  <c r="L85" i="3" s="1"/>
  <c r="F89" i="3"/>
  <c r="L83" i="3" s="1"/>
  <c r="F85" i="3"/>
  <c r="L82" i="3" s="1"/>
  <c r="C17" i="1"/>
  <c r="AF56" i="3"/>
  <c r="P6" i="1"/>
  <c r="P5" i="1"/>
  <c r="P7" i="1"/>
  <c r="C69" i="3"/>
  <c r="P4" i="1"/>
  <c r="J49" i="3"/>
  <c r="M7" i="1"/>
  <c r="H49" i="3"/>
  <c r="C75" i="3"/>
  <c r="C76" i="3" s="1"/>
  <c r="BJ27" i="3" l="1"/>
  <c r="BE28" i="3" s="1"/>
  <c r="M92" i="3"/>
  <c r="M93" i="3" s="1"/>
  <c r="N92" i="3"/>
  <c r="AF57" i="3"/>
  <c r="Z45" i="3"/>
  <c r="C70" i="3"/>
  <c r="G24" i="1" s="1"/>
  <c r="N93" i="3" l="1"/>
  <c r="D88" i="3" s="1"/>
  <c r="C91" i="3"/>
  <c r="D89" i="3"/>
  <c r="AF58" i="3"/>
  <c r="D93" i="3" l="1"/>
  <c r="D47" i="3"/>
  <c r="C16" i="1"/>
  <c r="C93" i="3"/>
  <c r="D92" i="3"/>
  <c r="C92" i="3"/>
  <c r="D46" i="3"/>
  <c r="C15" i="1"/>
  <c r="AF59" i="3"/>
  <c r="F52" i="3" l="1"/>
  <c r="F53" i="3"/>
  <c r="C66" i="3"/>
  <c r="C67" i="3" s="1"/>
  <c r="T38" i="3"/>
  <c r="O47" i="3"/>
  <c r="AF60" i="3"/>
  <c r="O37" i="3" l="1"/>
  <c r="AF61" i="3"/>
  <c r="AF62" i="3" l="1"/>
  <c r="L67" i="3" l="1"/>
  <c r="L68" i="3"/>
  <c r="L65" i="3"/>
  <c r="L66" i="3"/>
  <c r="O62" i="3"/>
  <c r="O63" i="3"/>
  <c r="O61" i="3"/>
  <c r="L63" i="3"/>
  <c r="O60" i="3"/>
  <c r="L61" i="3"/>
  <c r="L62" i="3"/>
  <c r="L60" i="3"/>
  <c r="M58" i="3"/>
  <c r="M56" i="3"/>
  <c r="M57" i="3"/>
  <c r="M54" i="3"/>
  <c r="M55" i="3"/>
  <c r="M52" i="3"/>
  <c r="M53" i="3"/>
  <c r="M51" i="3"/>
  <c r="M50" i="3"/>
  <c r="M49" i="3"/>
  <c r="M47" i="3"/>
  <c r="M48" i="3"/>
  <c r="N45" i="3"/>
  <c r="V71" i="3"/>
  <c r="J59" i="3"/>
  <c r="H59" i="3"/>
  <c r="AS44" i="3"/>
  <c r="V58" i="3"/>
  <c r="H47" i="3"/>
  <c r="J47" i="3"/>
  <c r="K8" i="1"/>
  <c r="L69" i="3"/>
  <c r="M69" i="3" s="1"/>
  <c r="P32" i="1" s="1"/>
  <c r="O56" i="3"/>
  <c r="P56" i="3" s="1"/>
  <c r="K7" i="1"/>
  <c r="O55" i="3"/>
  <c r="P55" i="3" s="1"/>
  <c r="O48" i="3"/>
  <c r="P48" i="3" s="1"/>
  <c r="H46" i="3"/>
  <c r="O49" i="3"/>
  <c r="P49" i="3" s="1"/>
  <c r="J46" i="3"/>
  <c r="O50" i="3"/>
  <c r="P50" i="3" s="1"/>
  <c r="F59" i="3"/>
  <c r="F66" i="3" s="1"/>
  <c r="K3" i="1"/>
  <c r="C63" i="3"/>
  <c r="C60" i="3"/>
  <c r="F50" i="3"/>
  <c r="O58" i="3"/>
  <c r="P58" i="3" s="1"/>
  <c r="O57" i="3"/>
  <c r="P57" i="3" s="1"/>
  <c r="O52" i="3"/>
  <c r="P52" i="3" s="1"/>
  <c r="O51" i="3"/>
  <c r="P51" i="3" s="1"/>
  <c r="O53" i="3"/>
  <c r="P53" i="3" s="1"/>
  <c r="C72" i="3"/>
  <c r="C73" i="3" s="1"/>
  <c r="G25" i="1" s="1"/>
  <c r="P47" i="3"/>
  <c r="O54" i="3"/>
  <c r="P54" i="3" s="1"/>
  <c r="AF63" i="3"/>
  <c r="M66" i="3" l="1"/>
  <c r="P29" i="1" s="1"/>
  <c r="M68" i="3"/>
  <c r="P31" i="1" s="1"/>
  <c r="M67" i="3"/>
  <c r="P30" i="1" s="1"/>
  <c r="M65" i="3"/>
  <c r="P28" i="1" s="1"/>
  <c r="F65" i="3"/>
  <c r="F67" i="3"/>
  <c r="F63" i="3"/>
  <c r="F64" i="3"/>
  <c r="F61" i="3"/>
  <c r="F62" i="3"/>
  <c r="J60" i="3"/>
  <c r="J61" i="3" s="1"/>
  <c r="L31" i="1" s="1"/>
  <c r="H60" i="3"/>
  <c r="H61" i="3" s="1"/>
  <c r="L22" i="1" s="1"/>
  <c r="P61" i="3"/>
  <c r="P24" i="1" s="1"/>
  <c r="M60" i="3"/>
  <c r="P18" i="1" s="1"/>
  <c r="BH27" i="3"/>
  <c r="BD28" i="3" s="1"/>
  <c r="N57" i="3"/>
  <c r="R30" i="1" s="1"/>
  <c r="S30" i="1" s="1"/>
  <c r="P62" i="3"/>
  <c r="P25" i="1" s="1"/>
  <c r="N49" i="3"/>
  <c r="R20" i="1" s="1"/>
  <c r="S20" i="1" s="1"/>
  <c r="N51" i="3"/>
  <c r="R23" i="1" s="1"/>
  <c r="S23" i="1" s="1"/>
  <c r="C64" i="3"/>
  <c r="G22" i="1" s="1"/>
  <c r="J62" i="3"/>
  <c r="J63" i="3"/>
  <c r="H62" i="3"/>
  <c r="H63" i="3"/>
  <c r="N54" i="3"/>
  <c r="R26" i="1" s="1"/>
  <c r="S26" i="1" s="1"/>
  <c r="N52" i="3"/>
  <c r="R24" i="1" s="1"/>
  <c r="S24" i="1" s="1"/>
  <c r="N47" i="3"/>
  <c r="R18" i="1" s="1"/>
  <c r="S18" i="1" s="1"/>
  <c r="N56" i="3"/>
  <c r="R29" i="1" s="1"/>
  <c r="S29" i="1" s="1"/>
  <c r="M63" i="3"/>
  <c r="P21" i="1" s="1"/>
  <c r="N53" i="3"/>
  <c r="R25" i="1" s="1"/>
  <c r="S25" i="1" s="1"/>
  <c r="N48" i="3"/>
  <c r="R19" i="1" s="1"/>
  <c r="S19" i="1" s="1"/>
  <c r="P60" i="3"/>
  <c r="P23" i="1" s="1"/>
  <c r="N50" i="3"/>
  <c r="R21" i="1" s="1"/>
  <c r="S21" i="1" s="1"/>
  <c r="M61" i="3"/>
  <c r="P19" i="1" s="1"/>
  <c r="G23" i="1"/>
  <c r="N55" i="3"/>
  <c r="R28" i="1" s="1"/>
  <c r="S28" i="1" s="1"/>
  <c r="N58" i="3"/>
  <c r="R31" i="1" s="1"/>
  <c r="S31" i="1" s="1"/>
  <c r="M62" i="3"/>
  <c r="P20" i="1" s="1"/>
  <c r="C61" i="3"/>
  <c r="G21" i="1" s="1"/>
  <c r="Y45" i="3"/>
  <c r="AE45" i="3" s="1"/>
  <c r="AU45" i="3" s="1"/>
  <c r="P63" i="3"/>
  <c r="P26" i="1" s="1"/>
  <c r="AF64" i="3"/>
  <c r="F68" i="3" l="1"/>
  <c r="F47" i="3" s="1"/>
  <c r="E32" i="1" s="1"/>
  <c r="M23" i="1"/>
  <c r="M32" i="1"/>
  <c r="K32" i="1"/>
  <c r="K23" i="1"/>
  <c r="AS45" i="3"/>
  <c r="AL45" i="3"/>
  <c r="AX45" i="3" s="1"/>
  <c r="AP45" i="3"/>
  <c r="AN45" i="3"/>
  <c r="AH45" i="3"/>
  <c r="AO45" i="3"/>
  <c r="AI45" i="3"/>
  <c r="AR45" i="3"/>
  <c r="AM45" i="3"/>
  <c r="AG45" i="3"/>
  <c r="AV45" i="3"/>
  <c r="AJ45" i="3"/>
  <c r="AW45" i="3"/>
  <c r="AQ45" i="3"/>
  <c r="AK45" i="3"/>
  <c r="AT45" i="3"/>
  <c r="AF65" i="3"/>
  <c r="BF28" i="3" l="1"/>
  <c r="BO28" i="3" s="1"/>
  <c r="AC46" i="3"/>
  <c r="AA46" i="3"/>
  <c r="AB46" i="3"/>
  <c r="Y46" i="3"/>
  <c r="AD46" i="3"/>
  <c r="Z46" i="3"/>
  <c r="AF66" i="3"/>
  <c r="BM28" i="3" l="1"/>
  <c r="BN28" i="3"/>
  <c r="BJ28" i="3"/>
  <c r="BL28" i="3"/>
  <c r="BP28" i="3"/>
  <c r="BR28" i="3"/>
  <c r="BT28" i="3"/>
  <c r="BK28" i="3"/>
  <c r="BS28" i="3"/>
  <c r="BU28" i="3"/>
  <c r="BG28" i="3"/>
  <c r="BV28" i="3"/>
  <c r="BH28" i="3"/>
  <c r="BQ28" i="3"/>
  <c r="AE46" i="3"/>
  <c r="AU46" i="3" s="1"/>
  <c r="AF67" i="3"/>
  <c r="AZ29" i="3" l="1"/>
  <c r="BA29" i="3"/>
  <c r="AY29" i="3"/>
  <c r="BE29" i="3"/>
  <c r="BD29" i="3"/>
  <c r="BB29" i="3"/>
  <c r="BC29" i="3"/>
  <c r="AR46" i="3"/>
  <c r="AQ46" i="3"/>
  <c r="AV46" i="3"/>
  <c r="AS46" i="3"/>
  <c r="AP46" i="3"/>
  <c r="AO46" i="3"/>
  <c r="AW46" i="3"/>
  <c r="AM46" i="3"/>
  <c r="AH46" i="3"/>
  <c r="AN46" i="3"/>
  <c r="AG46" i="3"/>
  <c r="AT46" i="3"/>
  <c r="AK46" i="3"/>
  <c r="AJ46" i="3"/>
  <c r="AI46" i="3"/>
  <c r="AL46" i="3"/>
  <c r="AX46" i="3" s="1"/>
  <c r="AF68" i="3"/>
  <c r="BF29" i="3" l="1"/>
  <c r="AC47" i="3"/>
  <c r="AA47" i="3"/>
  <c r="AB47" i="3"/>
  <c r="Y47" i="3"/>
  <c r="AD47" i="3"/>
  <c r="Z47" i="3"/>
  <c r="AF69" i="3"/>
  <c r="BM29" i="3" l="1"/>
  <c r="BO29" i="3"/>
  <c r="BT29" i="3"/>
  <c r="BJ29" i="3"/>
  <c r="BN29" i="3"/>
  <c r="BL29" i="3"/>
  <c r="BS29" i="3"/>
  <c r="BQ29" i="3"/>
  <c r="BV29" i="3"/>
  <c r="BG29" i="3"/>
  <c r="BR29" i="3"/>
  <c r="BK29" i="3"/>
  <c r="BU29" i="3"/>
  <c r="BP29" i="3"/>
  <c r="BH29" i="3"/>
  <c r="AE47" i="3"/>
  <c r="AU47" i="3" s="1"/>
  <c r="AF70" i="3"/>
  <c r="AZ30" i="3" l="1"/>
  <c r="BC30" i="3"/>
  <c r="BB30" i="3"/>
  <c r="AY30" i="3"/>
  <c r="BD30" i="3"/>
  <c r="BA30" i="3"/>
  <c r="BE30" i="3"/>
  <c r="AR47" i="3"/>
  <c r="AS47" i="3"/>
  <c r="AL47" i="3"/>
  <c r="AX47" i="3" s="1"/>
  <c r="AG47" i="3"/>
  <c r="AK47" i="3"/>
  <c r="AQ47" i="3"/>
  <c r="AH47" i="3"/>
  <c r="AO47" i="3"/>
  <c r="AI47" i="3"/>
  <c r="AN47" i="3"/>
  <c r="AW47" i="3"/>
  <c r="AJ47" i="3"/>
  <c r="AM47" i="3"/>
  <c r="AP47" i="3"/>
  <c r="AT47" i="3"/>
  <c r="AV47" i="3"/>
  <c r="AF71" i="3"/>
  <c r="BF30" i="3" l="1"/>
  <c r="AC48" i="3"/>
  <c r="AA48" i="3"/>
  <c r="AB48" i="3"/>
  <c r="AD48" i="3"/>
  <c r="Y48" i="3"/>
  <c r="Z48" i="3"/>
  <c r="AF72" i="3"/>
  <c r="BM30" i="3" l="1"/>
  <c r="BJ30" i="3"/>
  <c r="BU30" i="3"/>
  <c r="BQ30" i="3"/>
  <c r="BO30" i="3"/>
  <c r="BR30" i="3"/>
  <c r="BL30" i="3"/>
  <c r="BN30" i="3"/>
  <c r="BH30" i="3"/>
  <c r="BG30" i="3"/>
  <c r="BS30" i="3"/>
  <c r="BK30" i="3"/>
  <c r="BT30" i="3"/>
  <c r="BP30" i="3"/>
  <c r="BV30" i="3"/>
  <c r="AE48" i="3"/>
  <c r="AU48" i="3" s="1"/>
  <c r="AF73" i="3"/>
  <c r="BE31" i="3" l="1"/>
  <c r="AY31" i="3"/>
  <c r="BA31" i="3"/>
  <c r="BC31" i="3"/>
  <c r="BB31" i="3"/>
  <c r="BD31" i="3"/>
  <c r="AZ31" i="3"/>
  <c r="AS48" i="3"/>
  <c r="AR48" i="3"/>
  <c r="AN48" i="3"/>
  <c r="AQ48" i="3"/>
  <c r="AT48" i="3"/>
  <c r="AH48" i="3"/>
  <c r="AL48" i="3"/>
  <c r="AX48" i="3" s="1"/>
  <c r="AJ48" i="3"/>
  <c r="AP48" i="3"/>
  <c r="AK48" i="3"/>
  <c r="AG48" i="3"/>
  <c r="AM48" i="3"/>
  <c r="AI48" i="3"/>
  <c r="AW48" i="3"/>
  <c r="AO48" i="3"/>
  <c r="AV48" i="3"/>
  <c r="AF74" i="3"/>
  <c r="BF31" i="3" l="1"/>
  <c r="AC49" i="3"/>
  <c r="AA49" i="3"/>
  <c r="AB49" i="3"/>
  <c r="Y49" i="3"/>
  <c r="Z49" i="3"/>
  <c r="AD49" i="3"/>
  <c r="AF75" i="3"/>
  <c r="BM31" i="3" l="1"/>
  <c r="BV31" i="3"/>
  <c r="BK31" i="3"/>
  <c r="BO31" i="3"/>
  <c r="BS31" i="3"/>
  <c r="BQ31" i="3"/>
  <c r="BJ31" i="3"/>
  <c r="BN31" i="3"/>
  <c r="BP31" i="3"/>
  <c r="BG31" i="3"/>
  <c r="BH31" i="3"/>
  <c r="BU31" i="3"/>
  <c r="BL31" i="3"/>
  <c r="BR31" i="3"/>
  <c r="BT31" i="3"/>
  <c r="AE49" i="3"/>
  <c r="AU49" i="3" s="1"/>
  <c r="AF76" i="3"/>
  <c r="BB32" i="3" l="1"/>
  <c r="BD32" i="3"/>
  <c r="BE32" i="3"/>
  <c r="BC32" i="3"/>
  <c r="BA32" i="3"/>
  <c r="AZ32" i="3"/>
  <c r="AY32" i="3"/>
  <c r="AH49" i="3"/>
  <c r="AV49" i="3"/>
  <c r="AT49" i="3"/>
  <c r="AM49" i="3"/>
  <c r="AR49" i="3"/>
  <c r="AQ49" i="3"/>
  <c r="AJ49" i="3"/>
  <c r="AN49" i="3"/>
  <c r="AS49" i="3"/>
  <c r="AG49" i="3"/>
  <c r="AP49" i="3"/>
  <c r="AK49" i="3"/>
  <c r="AI49" i="3"/>
  <c r="AW49" i="3"/>
  <c r="AO49" i="3"/>
  <c r="AL49" i="3"/>
  <c r="AX49" i="3" s="1"/>
  <c r="AF77" i="3"/>
  <c r="BF32" i="3" l="1"/>
  <c r="AC50" i="3"/>
  <c r="AA50" i="3"/>
  <c r="AB50" i="3"/>
  <c r="Y50" i="3"/>
  <c r="Z50" i="3"/>
  <c r="AD50" i="3"/>
  <c r="AF78" i="3"/>
  <c r="BM32" i="3" l="1"/>
  <c r="BN32" i="3"/>
  <c r="BK32" i="3"/>
  <c r="BQ32" i="3"/>
  <c r="BL32" i="3"/>
  <c r="BJ32" i="3"/>
  <c r="BV32" i="3"/>
  <c r="BO32" i="3"/>
  <c r="BG32" i="3"/>
  <c r="BH32" i="3"/>
  <c r="BR32" i="3"/>
  <c r="BS32" i="3"/>
  <c r="BT32" i="3"/>
  <c r="BP32" i="3"/>
  <c r="BU32" i="3"/>
  <c r="AE50" i="3"/>
  <c r="AU50" i="3" s="1"/>
  <c r="AF79" i="3"/>
  <c r="BD33" i="3" l="1"/>
  <c r="AY33" i="3"/>
  <c r="BC33" i="3"/>
  <c r="BB33" i="3"/>
  <c r="BE33" i="3"/>
  <c r="AZ33" i="3"/>
  <c r="BA33" i="3"/>
  <c r="AN50" i="3"/>
  <c r="AW50" i="3"/>
  <c r="AJ50" i="3"/>
  <c r="AQ50" i="3"/>
  <c r="AG50" i="3"/>
  <c r="AI50" i="3"/>
  <c r="AR50" i="3"/>
  <c r="AS50" i="3"/>
  <c r="AK50" i="3"/>
  <c r="AV50" i="3"/>
  <c r="AP50" i="3"/>
  <c r="AT50" i="3"/>
  <c r="AL50" i="3"/>
  <c r="AX50" i="3" s="1"/>
  <c r="AM50" i="3"/>
  <c r="AH50" i="3"/>
  <c r="AO50" i="3"/>
  <c r="AF80" i="3"/>
  <c r="BF33" i="3" l="1"/>
  <c r="AC51" i="3"/>
  <c r="AA51" i="3"/>
  <c r="AB51" i="3"/>
  <c r="Z51" i="3"/>
  <c r="AD51" i="3"/>
  <c r="Y51" i="3"/>
  <c r="AF81" i="3"/>
  <c r="BM33" i="3" l="1"/>
  <c r="BK33" i="3"/>
  <c r="BQ33" i="3"/>
  <c r="BN33" i="3"/>
  <c r="BR33" i="3"/>
  <c r="BO33" i="3"/>
  <c r="BV33" i="3"/>
  <c r="BU33" i="3"/>
  <c r="BJ33" i="3"/>
  <c r="BP33" i="3"/>
  <c r="BH33" i="3"/>
  <c r="BG33" i="3"/>
  <c r="BT33" i="3"/>
  <c r="BL33" i="3"/>
  <c r="BS33" i="3"/>
  <c r="AE51" i="3"/>
  <c r="AU51" i="3" s="1"/>
  <c r="AF82" i="3"/>
  <c r="BE34" i="3" l="1"/>
  <c r="BC34" i="3"/>
  <c r="BA34" i="3"/>
  <c r="AY34" i="3"/>
  <c r="BD34" i="3"/>
  <c r="BB34" i="3"/>
  <c r="AZ34" i="3"/>
  <c r="AR51" i="3"/>
  <c r="AP51" i="3"/>
  <c r="AO51" i="3"/>
  <c r="AI51" i="3"/>
  <c r="AG51" i="3"/>
  <c r="AT51" i="3"/>
  <c r="AH51" i="3"/>
  <c r="AM51" i="3"/>
  <c r="AK51" i="3"/>
  <c r="AJ51" i="3"/>
  <c r="AQ51" i="3"/>
  <c r="AN51" i="3"/>
  <c r="AW51" i="3"/>
  <c r="AV51" i="3"/>
  <c r="AS51" i="3"/>
  <c r="AL51" i="3"/>
  <c r="AX51" i="3" s="1"/>
  <c r="AF83" i="3"/>
  <c r="BF34" i="3" l="1"/>
  <c r="AC52" i="3"/>
  <c r="AA52" i="3"/>
  <c r="AB52" i="3"/>
  <c r="AD52" i="3"/>
  <c r="Y52" i="3"/>
  <c r="Z52" i="3"/>
  <c r="AF84" i="3"/>
  <c r="BM34" i="3" l="1"/>
  <c r="BV34" i="3"/>
  <c r="BH34" i="3"/>
  <c r="BR34" i="3"/>
  <c r="BL34" i="3"/>
  <c r="BN34" i="3"/>
  <c r="BG34" i="3"/>
  <c r="BP34" i="3"/>
  <c r="BU34" i="3"/>
  <c r="BJ34" i="3"/>
  <c r="BO34" i="3"/>
  <c r="BQ34" i="3"/>
  <c r="BK34" i="3"/>
  <c r="BS34" i="3"/>
  <c r="BT34" i="3"/>
  <c r="AE52" i="3"/>
  <c r="AU52" i="3" s="1"/>
  <c r="AF85" i="3"/>
  <c r="AY35" i="3" l="1"/>
  <c r="BC35" i="3"/>
  <c r="BB35" i="3"/>
  <c r="AZ35" i="3"/>
  <c r="BA35" i="3"/>
  <c r="BE35" i="3"/>
  <c r="BD35" i="3"/>
  <c r="AG52" i="3"/>
  <c r="AM52" i="3"/>
  <c r="AR52" i="3"/>
  <c r="AO52" i="3"/>
  <c r="AQ52" i="3"/>
  <c r="AS52" i="3"/>
  <c r="AK52" i="3"/>
  <c r="AL52" i="3"/>
  <c r="AX52" i="3" s="1"/>
  <c r="AH52" i="3"/>
  <c r="AN52" i="3"/>
  <c r="AP52" i="3"/>
  <c r="AT52" i="3"/>
  <c r="AI52" i="3"/>
  <c r="AJ52" i="3"/>
  <c r="AW52" i="3"/>
  <c r="AV52" i="3"/>
  <c r="AF86" i="3"/>
  <c r="BF35" i="3" l="1"/>
  <c r="AC53" i="3"/>
  <c r="AA53" i="3"/>
  <c r="AB53" i="3"/>
  <c r="Y53" i="3"/>
  <c r="Z53" i="3"/>
  <c r="AD53" i="3"/>
  <c r="AF87" i="3"/>
  <c r="BM35" i="3" l="1"/>
  <c r="BG35" i="3"/>
  <c r="BT35" i="3"/>
  <c r="BH35" i="3"/>
  <c r="BV35" i="3"/>
  <c r="BL35" i="3"/>
  <c r="BK35" i="3"/>
  <c r="BO35" i="3"/>
  <c r="BJ35" i="3"/>
  <c r="BU35" i="3"/>
  <c r="BQ35" i="3"/>
  <c r="BN35" i="3"/>
  <c r="BS35" i="3"/>
  <c r="BR35" i="3"/>
  <c r="BP35" i="3"/>
  <c r="AE53" i="3"/>
  <c r="AU53" i="3" s="1"/>
  <c r="AF88" i="3"/>
  <c r="AY36" i="3" l="1"/>
  <c r="BE36" i="3"/>
  <c r="BA36" i="3"/>
  <c r="BB36" i="3"/>
  <c r="AZ36" i="3"/>
  <c r="BC36" i="3"/>
  <c r="BD36" i="3"/>
  <c r="AI53" i="3"/>
  <c r="AN53" i="3"/>
  <c r="AR53" i="3"/>
  <c r="AW53" i="3"/>
  <c r="AV53" i="3"/>
  <c r="AK53" i="3"/>
  <c r="AO53" i="3"/>
  <c r="AL53" i="3"/>
  <c r="AX53" i="3" s="1"/>
  <c r="AH53" i="3"/>
  <c r="AQ53" i="3"/>
  <c r="AT53" i="3"/>
  <c r="AP53" i="3"/>
  <c r="AM53" i="3"/>
  <c r="AJ53" i="3"/>
  <c r="AS53" i="3"/>
  <c r="AG53" i="3"/>
  <c r="AF89" i="3"/>
  <c r="BF36" i="3" l="1"/>
  <c r="AC54" i="3"/>
  <c r="AB54" i="3"/>
  <c r="AA54" i="3"/>
  <c r="AD54" i="3"/>
  <c r="Z54" i="3"/>
  <c r="Y54" i="3"/>
  <c r="AF90" i="3"/>
  <c r="BM36" i="3" l="1"/>
  <c r="BO36" i="3"/>
  <c r="BP36" i="3"/>
  <c r="BS36" i="3"/>
  <c r="BR36" i="3"/>
  <c r="BT36" i="3"/>
  <c r="BL36" i="3"/>
  <c r="BU36" i="3"/>
  <c r="BK36" i="3"/>
  <c r="BQ36" i="3"/>
  <c r="BN36" i="3"/>
  <c r="BJ36" i="3"/>
  <c r="BV36" i="3"/>
  <c r="BH36" i="3"/>
  <c r="BG36" i="3"/>
  <c r="AE54" i="3"/>
  <c r="AU54" i="3" s="1"/>
  <c r="AF91" i="3"/>
  <c r="BA37" i="3" l="1"/>
  <c r="BE37" i="3"/>
  <c r="AZ37" i="3"/>
  <c r="BD37" i="3"/>
  <c r="BC37" i="3"/>
  <c r="BB37" i="3"/>
  <c r="AY37" i="3"/>
  <c r="AM54" i="3"/>
  <c r="AG54" i="3"/>
  <c r="AK54" i="3"/>
  <c r="AP54" i="3"/>
  <c r="AH54" i="3"/>
  <c r="AL54" i="3"/>
  <c r="AX54" i="3" s="1"/>
  <c r="AO54" i="3"/>
  <c r="AS54" i="3"/>
  <c r="AN54" i="3"/>
  <c r="AR54" i="3"/>
  <c r="AQ54" i="3"/>
  <c r="AI54" i="3"/>
  <c r="AJ54" i="3"/>
  <c r="AV54" i="3"/>
  <c r="AT54" i="3"/>
  <c r="AW54" i="3"/>
  <c r="AF92" i="3"/>
  <c r="BF37" i="3" l="1"/>
  <c r="AC55" i="3"/>
  <c r="AB55" i="3"/>
  <c r="AA55" i="3"/>
  <c r="Y55" i="3"/>
  <c r="AD55" i="3"/>
  <c r="Z55" i="3"/>
  <c r="AF93" i="3"/>
  <c r="BM37" i="3" l="1"/>
  <c r="BQ37" i="3"/>
  <c r="BS37" i="3"/>
  <c r="BR37" i="3"/>
  <c r="BG37" i="3"/>
  <c r="BU37" i="3"/>
  <c r="BP37" i="3"/>
  <c r="BH37" i="3"/>
  <c r="BL37" i="3"/>
  <c r="BO37" i="3"/>
  <c r="BK37" i="3"/>
  <c r="BV37" i="3"/>
  <c r="BT37" i="3"/>
  <c r="BJ37" i="3"/>
  <c r="BN37" i="3"/>
  <c r="AE55" i="3"/>
  <c r="AU55" i="3" s="1"/>
  <c r="AF94" i="3"/>
  <c r="BD38" i="3" l="1"/>
  <c r="AY38" i="3"/>
  <c r="BC38" i="3"/>
  <c r="BE38" i="3"/>
  <c r="BA38" i="3"/>
  <c r="BB38" i="3"/>
  <c r="AZ38" i="3"/>
  <c r="AW55" i="3"/>
  <c r="AT55" i="3"/>
  <c r="AP55" i="3"/>
  <c r="AK55" i="3"/>
  <c r="AH55" i="3"/>
  <c r="AQ55" i="3"/>
  <c r="AI55" i="3"/>
  <c r="AR55" i="3"/>
  <c r="AL55" i="3"/>
  <c r="AX55" i="3" s="1"/>
  <c r="AM55" i="3"/>
  <c r="AV55" i="3"/>
  <c r="AO55" i="3"/>
  <c r="AJ55" i="3"/>
  <c r="AS55" i="3"/>
  <c r="AN55" i="3"/>
  <c r="AG55" i="3"/>
  <c r="AF95" i="3"/>
  <c r="BF38" i="3" l="1"/>
  <c r="BM38" i="3" s="1"/>
  <c r="AC56" i="3"/>
  <c r="AA56" i="3"/>
  <c r="AB56" i="3"/>
  <c r="Y56" i="3"/>
  <c r="AD56" i="3"/>
  <c r="Z56" i="3"/>
  <c r="AF96" i="3"/>
  <c r="BR38" i="3" l="1"/>
  <c r="BN38" i="3"/>
  <c r="BJ38" i="3"/>
  <c r="BU38" i="3"/>
  <c r="BG38" i="3"/>
  <c r="BQ38" i="3"/>
  <c r="BT38" i="3"/>
  <c r="BV38" i="3"/>
  <c r="BK38" i="3"/>
  <c r="BS38" i="3"/>
  <c r="BO38" i="3"/>
  <c r="BL38" i="3"/>
  <c r="BP38" i="3"/>
  <c r="BH38" i="3"/>
  <c r="AE56" i="3"/>
  <c r="AU56" i="3" s="1"/>
  <c r="AF97" i="3"/>
  <c r="BE39" i="3" l="1"/>
  <c r="BA39" i="3"/>
  <c r="BD39" i="3"/>
  <c r="BC39" i="3"/>
  <c r="AY39" i="3"/>
  <c r="BB39" i="3"/>
  <c r="AZ39" i="3"/>
  <c r="AH56" i="3"/>
  <c r="AR56" i="3"/>
  <c r="AJ56" i="3"/>
  <c r="AW56" i="3"/>
  <c r="AO56" i="3"/>
  <c r="AL56" i="3"/>
  <c r="AX56" i="3" s="1"/>
  <c r="AK56" i="3"/>
  <c r="AP56" i="3"/>
  <c r="AG56" i="3"/>
  <c r="AN56" i="3"/>
  <c r="AT56" i="3"/>
  <c r="AV56" i="3"/>
  <c r="AI56" i="3"/>
  <c r="AM56" i="3"/>
  <c r="AS56" i="3"/>
  <c r="AQ56" i="3"/>
  <c r="AF98" i="3"/>
  <c r="BF39" i="3" l="1"/>
  <c r="BM39" i="3" s="1"/>
  <c r="AC57" i="3"/>
  <c r="AB57" i="3"/>
  <c r="AA57" i="3"/>
  <c r="AD57" i="3"/>
  <c r="Y57" i="3"/>
  <c r="Z57" i="3"/>
  <c r="AF99" i="3"/>
  <c r="BT39" i="3" l="1"/>
  <c r="BR39" i="3"/>
  <c r="BP39" i="3"/>
  <c r="BL39" i="3"/>
  <c r="BK39" i="3"/>
  <c r="BU39" i="3"/>
  <c r="BJ39" i="3"/>
  <c r="BQ39" i="3"/>
  <c r="BG39" i="3"/>
  <c r="BV39" i="3"/>
  <c r="BH39" i="3"/>
  <c r="BN39" i="3"/>
  <c r="BS39" i="3"/>
  <c r="BO39" i="3"/>
  <c r="AE57" i="3"/>
  <c r="AU57" i="3" s="1"/>
  <c r="AF100" i="3"/>
  <c r="BA40" i="3" l="1"/>
  <c r="AY40" i="3"/>
  <c r="BD40" i="3"/>
  <c r="BC40" i="3"/>
  <c r="AZ40" i="3"/>
  <c r="BB40" i="3"/>
  <c r="BE40" i="3"/>
  <c r="AN57" i="3"/>
  <c r="AH57" i="3"/>
  <c r="AO57" i="3"/>
  <c r="AK57" i="3"/>
  <c r="AG57" i="3"/>
  <c r="AJ57" i="3"/>
  <c r="AM57" i="3"/>
  <c r="AS57" i="3"/>
  <c r="AI57" i="3"/>
  <c r="AL57" i="3"/>
  <c r="AX57" i="3" s="1"/>
  <c r="AV57" i="3"/>
  <c r="AP57" i="3"/>
  <c r="AQ57" i="3"/>
  <c r="AW57" i="3"/>
  <c r="AR57" i="3"/>
  <c r="AT57" i="3"/>
  <c r="AF101" i="3"/>
  <c r="BF40" i="3" l="1"/>
  <c r="BM40" i="3" s="1"/>
  <c r="AC58" i="3"/>
  <c r="AB58" i="3"/>
  <c r="AA58" i="3"/>
  <c r="Z58" i="3"/>
  <c r="AD58" i="3"/>
  <c r="Y58" i="3"/>
  <c r="AF102" i="3"/>
  <c r="BS40" i="3" l="1"/>
  <c r="BK40" i="3"/>
  <c r="BO40" i="3"/>
  <c r="BU40" i="3"/>
  <c r="BT40" i="3"/>
  <c r="BH40" i="3"/>
  <c r="BP40" i="3"/>
  <c r="BG40" i="3"/>
  <c r="BJ40" i="3"/>
  <c r="BQ40" i="3"/>
  <c r="BN40" i="3"/>
  <c r="BV40" i="3"/>
  <c r="BR40" i="3"/>
  <c r="BL40" i="3"/>
  <c r="AE58" i="3"/>
  <c r="AU58" i="3" s="1"/>
  <c r="AF103" i="3"/>
  <c r="AZ41" i="3" l="1"/>
  <c r="BD41" i="3"/>
  <c r="BB41" i="3"/>
  <c r="BC41" i="3"/>
  <c r="BA41" i="3"/>
  <c r="AY41" i="3"/>
  <c r="BE41" i="3"/>
  <c r="AG58" i="3"/>
  <c r="AJ58" i="3"/>
  <c r="AT58" i="3"/>
  <c r="AO58" i="3"/>
  <c r="AK58" i="3"/>
  <c r="AH58" i="3"/>
  <c r="AN58" i="3"/>
  <c r="AV58" i="3"/>
  <c r="AP58" i="3"/>
  <c r="AL58" i="3"/>
  <c r="AX58" i="3" s="1"/>
  <c r="AS58" i="3"/>
  <c r="AI58" i="3"/>
  <c r="AQ58" i="3"/>
  <c r="AR58" i="3"/>
  <c r="AW58" i="3"/>
  <c r="AM58" i="3"/>
  <c r="AF104" i="3"/>
  <c r="BF41" i="3" l="1"/>
  <c r="BM41" i="3" s="1"/>
  <c r="AC59" i="3"/>
  <c r="AA59" i="3"/>
  <c r="AB59" i="3"/>
  <c r="Z59" i="3"/>
  <c r="AD59" i="3"/>
  <c r="Y59" i="3"/>
  <c r="AF105" i="3"/>
  <c r="BU41" i="3" l="1"/>
  <c r="BT41" i="3"/>
  <c r="BK41" i="3"/>
  <c r="BP41" i="3"/>
  <c r="BR41" i="3"/>
  <c r="BO41" i="3"/>
  <c r="BH41" i="3"/>
  <c r="BQ41" i="3"/>
  <c r="BN41" i="3"/>
  <c r="BV41" i="3"/>
  <c r="BS41" i="3"/>
  <c r="BJ41" i="3"/>
  <c r="BG41" i="3"/>
  <c r="BL41" i="3"/>
  <c r="AE59" i="3"/>
  <c r="AU59" i="3" s="1"/>
  <c r="AF106" i="3"/>
  <c r="BA42" i="3" l="1"/>
  <c r="AY42" i="3"/>
  <c r="BE42" i="3"/>
  <c r="BB42" i="3"/>
  <c r="AZ42" i="3"/>
  <c r="BC42" i="3"/>
  <c r="BD42" i="3"/>
  <c r="AK59" i="3"/>
  <c r="AJ59" i="3"/>
  <c r="AS59" i="3"/>
  <c r="AP59" i="3"/>
  <c r="AV59" i="3"/>
  <c r="AG59" i="3"/>
  <c r="AT59" i="3"/>
  <c r="AQ59" i="3"/>
  <c r="AN59" i="3"/>
  <c r="AH59" i="3"/>
  <c r="AW59" i="3"/>
  <c r="AR59" i="3"/>
  <c r="AI59" i="3"/>
  <c r="AM59" i="3"/>
  <c r="AL59" i="3"/>
  <c r="AX59" i="3" s="1"/>
  <c r="AO59" i="3"/>
  <c r="AF107" i="3"/>
  <c r="BF42" i="3" l="1"/>
  <c r="BM42" i="3" s="1"/>
  <c r="AC60" i="3"/>
  <c r="AA60" i="3"/>
  <c r="AB60" i="3"/>
  <c r="AD60" i="3"/>
  <c r="Y60" i="3"/>
  <c r="Z60" i="3"/>
  <c r="AF108" i="3"/>
  <c r="BR42" i="3" l="1"/>
  <c r="BN42" i="3"/>
  <c r="BQ42" i="3"/>
  <c r="BG42" i="3"/>
  <c r="BH42" i="3"/>
  <c r="BK42" i="3"/>
  <c r="BP42" i="3"/>
  <c r="BL42" i="3"/>
  <c r="BU42" i="3"/>
  <c r="BS42" i="3"/>
  <c r="BJ42" i="3"/>
  <c r="BT42" i="3"/>
  <c r="BO42" i="3"/>
  <c r="BV42" i="3"/>
  <c r="AE60" i="3"/>
  <c r="AU60" i="3" s="1"/>
  <c r="AF109" i="3"/>
  <c r="BC43" i="3" l="1"/>
  <c r="AY43" i="3"/>
  <c r="BE43" i="3"/>
  <c r="AZ43" i="3"/>
  <c r="BB43" i="3"/>
  <c r="BD43" i="3"/>
  <c r="BA43" i="3"/>
  <c r="AP60" i="3"/>
  <c r="AR60" i="3"/>
  <c r="AO60" i="3"/>
  <c r="AM60" i="3"/>
  <c r="AT60" i="3"/>
  <c r="AS60" i="3"/>
  <c r="AK60" i="3"/>
  <c r="AQ60" i="3"/>
  <c r="AI60" i="3"/>
  <c r="AH60" i="3"/>
  <c r="AG60" i="3"/>
  <c r="AW60" i="3"/>
  <c r="AJ60" i="3"/>
  <c r="AV60" i="3"/>
  <c r="AN60" i="3"/>
  <c r="AL60" i="3"/>
  <c r="AX60" i="3" s="1"/>
  <c r="AF110" i="3"/>
  <c r="BF43" i="3" l="1"/>
  <c r="BM43" i="3" s="1"/>
  <c r="AC61" i="3"/>
  <c r="AA61" i="3"/>
  <c r="AB61" i="3"/>
  <c r="Y61" i="3"/>
  <c r="Z61" i="3"/>
  <c r="AD61" i="3"/>
  <c r="AF111" i="3"/>
  <c r="BJ43" i="3" l="1"/>
  <c r="BR43" i="3"/>
  <c r="BH43" i="3"/>
  <c r="BS43" i="3"/>
  <c r="BL43" i="3"/>
  <c r="BP43" i="3"/>
  <c r="BN43" i="3"/>
  <c r="BK43" i="3"/>
  <c r="BT43" i="3"/>
  <c r="BU43" i="3"/>
  <c r="BV43" i="3"/>
  <c r="BQ43" i="3"/>
  <c r="BG43" i="3"/>
  <c r="BO43" i="3"/>
  <c r="AE61" i="3"/>
  <c r="AU61" i="3" s="1"/>
  <c r="AF112" i="3"/>
  <c r="BA44" i="3" l="1"/>
  <c r="BD44" i="3"/>
  <c r="AZ44" i="3"/>
  <c r="BE44" i="3"/>
  <c r="BC44" i="3"/>
  <c r="AY44" i="3"/>
  <c r="BB44" i="3"/>
  <c r="AN61" i="3"/>
  <c r="AI61" i="3"/>
  <c r="AS61" i="3"/>
  <c r="AO61" i="3"/>
  <c r="AJ61" i="3"/>
  <c r="AT61" i="3"/>
  <c r="AK61" i="3"/>
  <c r="AR61" i="3"/>
  <c r="AQ61" i="3"/>
  <c r="AH61" i="3"/>
  <c r="AL61" i="3"/>
  <c r="AX61" i="3" s="1"/>
  <c r="AV61" i="3"/>
  <c r="AP61" i="3"/>
  <c r="AW61" i="3"/>
  <c r="AG61" i="3"/>
  <c r="AM61" i="3"/>
  <c r="AF113" i="3"/>
  <c r="BF44" i="3" l="1"/>
  <c r="BM44" i="3" s="1"/>
  <c r="AC62" i="3"/>
  <c r="AA62" i="3"/>
  <c r="AB62" i="3"/>
  <c r="Z62" i="3"/>
  <c r="Y62" i="3"/>
  <c r="AD62" i="3"/>
  <c r="AF114" i="3"/>
  <c r="BP44" i="3" l="1"/>
  <c r="BN44" i="3"/>
  <c r="BL44" i="3"/>
  <c r="BQ44" i="3"/>
  <c r="BR44" i="3"/>
  <c r="BU44" i="3"/>
  <c r="BH44" i="3"/>
  <c r="BK44" i="3"/>
  <c r="BT44" i="3"/>
  <c r="BO44" i="3"/>
  <c r="BV44" i="3"/>
  <c r="BS44" i="3"/>
  <c r="BJ44" i="3"/>
  <c r="BG44" i="3"/>
  <c r="AE62" i="3"/>
  <c r="AU62" i="3" s="1"/>
  <c r="AF115" i="3"/>
  <c r="AY45" i="3" l="1"/>
  <c r="BE45" i="3"/>
  <c r="BD45" i="3"/>
  <c r="BA45" i="3"/>
  <c r="AZ45" i="3"/>
  <c r="BB45" i="3"/>
  <c r="BC45" i="3"/>
  <c r="AM62" i="3"/>
  <c r="AK62" i="3"/>
  <c r="AV62" i="3"/>
  <c r="AT62" i="3"/>
  <c r="AO62" i="3"/>
  <c r="AH62" i="3"/>
  <c r="AL62" i="3"/>
  <c r="AX62" i="3" s="1"/>
  <c r="AN62" i="3"/>
  <c r="AP62" i="3"/>
  <c r="AI62" i="3"/>
  <c r="AW62" i="3"/>
  <c r="AR62" i="3"/>
  <c r="AJ62" i="3"/>
  <c r="AG62" i="3"/>
  <c r="AS62" i="3"/>
  <c r="AQ62" i="3"/>
  <c r="AF116" i="3"/>
  <c r="BF45" i="3" l="1"/>
  <c r="BM45" i="3" s="1"/>
  <c r="AC63" i="3"/>
  <c r="AA63" i="3"/>
  <c r="AB63" i="3"/>
  <c r="Y63" i="3"/>
  <c r="AD63" i="3"/>
  <c r="Z63" i="3"/>
  <c r="AF117" i="3"/>
  <c r="BR45" i="3" l="1"/>
  <c r="BV45" i="3"/>
  <c r="BU45" i="3"/>
  <c r="BT45" i="3"/>
  <c r="BN45" i="3"/>
  <c r="BG45" i="3"/>
  <c r="BO45" i="3"/>
  <c r="BQ45" i="3"/>
  <c r="BL45" i="3"/>
  <c r="BP45" i="3"/>
  <c r="BK45" i="3"/>
  <c r="BJ45" i="3"/>
  <c r="BH45" i="3"/>
  <c r="BS45" i="3"/>
  <c r="AE63" i="3"/>
  <c r="AU63" i="3" s="1"/>
  <c r="AF118" i="3"/>
  <c r="BB46" i="3" l="1"/>
  <c r="AZ46" i="3"/>
  <c r="AY46" i="3"/>
  <c r="BE46" i="3"/>
  <c r="BC46" i="3"/>
  <c r="BA46" i="3"/>
  <c r="BD46" i="3"/>
  <c r="AG63" i="3"/>
  <c r="AV63" i="3"/>
  <c r="AW63" i="3"/>
  <c r="AP63" i="3"/>
  <c r="AS63" i="3"/>
  <c r="AO63" i="3"/>
  <c r="AL63" i="3"/>
  <c r="AX63" i="3" s="1"/>
  <c r="AR63" i="3"/>
  <c r="AJ63" i="3"/>
  <c r="AT63" i="3"/>
  <c r="AI63" i="3"/>
  <c r="AQ63" i="3"/>
  <c r="AN63" i="3"/>
  <c r="AK63" i="3"/>
  <c r="AM63" i="3"/>
  <c r="AH63" i="3"/>
  <c r="AF119" i="3"/>
  <c r="BF46" i="3" l="1"/>
  <c r="BM46" i="3" s="1"/>
  <c r="AC64" i="3"/>
  <c r="AA64" i="3"/>
  <c r="AB64" i="3"/>
  <c r="AD64" i="3"/>
  <c r="Y64" i="3"/>
  <c r="Z64" i="3"/>
  <c r="AF120" i="3"/>
  <c r="BL46" i="3" l="1"/>
  <c r="BG46" i="3"/>
  <c r="BQ46" i="3"/>
  <c r="BU46" i="3"/>
  <c r="BJ46" i="3"/>
  <c r="BT46" i="3"/>
  <c r="BS46" i="3"/>
  <c r="BH46" i="3"/>
  <c r="BV46" i="3"/>
  <c r="BK46" i="3"/>
  <c r="BN46" i="3"/>
  <c r="BO46" i="3"/>
  <c r="BP46" i="3"/>
  <c r="BR46" i="3"/>
  <c r="AE64" i="3"/>
  <c r="AU64" i="3" s="1"/>
  <c r="AF121" i="3"/>
  <c r="BD47" i="3" l="1"/>
  <c r="BA47" i="3"/>
  <c r="AY47" i="3"/>
  <c r="BC47" i="3"/>
  <c r="BB47" i="3"/>
  <c r="AZ47" i="3"/>
  <c r="BE47" i="3"/>
  <c r="AW64" i="3"/>
  <c r="AS64" i="3"/>
  <c r="AJ64" i="3"/>
  <c r="AI64" i="3"/>
  <c r="AH64" i="3"/>
  <c r="AM64" i="3"/>
  <c r="AP64" i="3"/>
  <c r="AV64" i="3"/>
  <c r="AO64" i="3"/>
  <c r="AT64" i="3"/>
  <c r="AK64" i="3"/>
  <c r="AL64" i="3"/>
  <c r="AX64" i="3" s="1"/>
  <c r="AR64" i="3"/>
  <c r="AG64" i="3"/>
  <c r="AQ64" i="3"/>
  <c r="AN64" i="3"/>
  <c r="AF122" i="3"/>
  <c r="BF47" i="3" l="1"/>
  <c r="BM47" i="3" s="1"/>
  <c r="AC65" i="3"/>
  <c r="AA65" i="3"/>
  <c r="AB65" i="3"/>
  <c r="Y65" i="3"/>
  <c r="Z65" i="3"/>
  <c r="AD65" i="3"/>
  <c r="AF123" i="3"/>
  <c r="BL47" i="3" l="1"/>
  <c r="BK47" i="3"/>
  <c r="BT47" i="3"/>
  <c r="BR47" i="3"/>
  <c r="BJ47" i="3"/>
  <c r="BO47" i="3"/>
  <c r="BQ47" i="3"/>
  <c r="BG47" i="3"/>
  <c r="BV47" i="3"/>
  <c r="BH47" i="3"/>
  <c r="BN47" i="3"/>
  <c r="BP47" i="3"/>
  <c r="BS47" i="3"/>
  <c r="BU47" i="3"/>
  <c r="AE65" i="3"/>
  <c r="AU65" i="3" s="1"/>
  <c r="AF124" i="3"/>
  <c r="AY48" i="3" l="1"/>
  <c r="AZ48" i="3"/>
  <c r="BD48" i="3"/>
  <c r="BE48" i="3"/>
  <c r="BB48" i="3"/>
  <c r="BA48" i="3"/>
  <c r="BC48" i="3"/>
  <c r="AS65" i="3"/>
  <c r="AQ65" i="3"/>
  <c r="AN65" i="3"/>
  <c r="AW65" i="3"/>
  <c r="AJ65" i="3"/>
  <c r="AI65" i="3"/>
  <c r="AV65" i="3"/>
  <c r="AM65" i="3"/>
  <c r="AG65" i="3"/>
  <c r="AL65" i="3"/>
  <c r="AX65" i="3" s="1"/>
  <c r="AO65" i="3"/>
  <c r="AR65" i="3"/>
  <c r="AH65" i="3"/>
  <c r="AT65" i="3"/>
  <c r="AK65" i="3"/>
  <c r="AP65" i="3"/>
  <c r="AF125" i="3"/>
  <c r="BF48" i="3" l="1"/>
  <c r="BG48" i="3" s="1"/>
  <c r="AA66" i="3"/>
  <c r="AC66" i="3"/>
  <c r="AB66" i="3"/>
  <c r="Y66" i="3"/>
  <c r="AD66" i="3"/>
  <c r="Z66" i="3"/>
  <c r="AF126" i="3"/>
  <c r="BU48" i="3" l="1"/>
  <c r="BQ48" i="3"/>
  <c r="BM48" i="3"/>
  <c r="BV48" i="3"/>
  <c r="BH48" i="3"/>
  <c r="BJ48" i="3"/>
  <c r="BR48" i="3"/>
  <c r="BL48" i="3"/>
  <c r="BN48" i="3"/>
  <c r="BT48" i="3"/>
  <c r="BP48" i="3"/>
  <c r="BO48" i="3"/>
  <c r="BK48" i="3"/>
  <c r="BS48" i="3"/>
  <c r="AE66" i="3"/>
  <c r="AU66" i="3" s="1"/>
  <c r="AF127" i="3"/>
  <c r="BA49" i="3" l="1"/>
  <c r="BB49" i="3"/>
  <c r="AZ49" i="3"/>
  <c r="BE49" i="3"/>
  <c r="BC49" i="3"/>
  <c r="AY49" i="3"/>
  <c r="BD49" i="3"/>
  <c r="AH66" i="3"/>
  <c r="AV66" i="3"/>
  <c r="AW66" i="3"/>
  <c r="AG66" i="3"/>
  <c r="AT66" i="3"/>
  <c r="AN66" i="3"/>
  <c r="AS66" i="3"/>
  <c r="AM66" i="3"/>
  <c r="AO66" i="3"/>
  <c r="AI66" i="3"/>
  <c r="AR66" i="3"/>
  <c r="AL66" i="3"/>
  <c r="AX66" i="3" s="1"/>
  <c r="AP66" i="3"/>
  <c r="AJ66" i="3"/>
  <c r="AK66" i="3"/>
  <c r="AQ66" i="3"/>
  <c r="AF128" i="3"/>
  <c r="BF49" i="3" l="1"/>
  <c r="BM49" i="3" s="1"/>
  <c r="AC67" i="3"/>
  <c r="AB67" i="3"/>
  <c r="AA67" i="3"/>
  <c r="Y67" i="3"/>
  <c r="Z67" i="3"/>
  <c r="AD67" i="3"/>
  <c r="AF129" i="3"/>
  <c r="BS49" i="3" l="1"/>
  <c r="BP49" i="3"/>
  <c r="BK49" i="3"/>
  <c r="BG49" i="3"/>
  <c r="BU49" i="3"/>
  <c r="BR49" i="3"/>
  <c r="BL49" i="3"/>
  <c r="BV49" i="3"/>
  <c r="BJ49" i="3"/>
  <c r="BH49" i="3"/>
  <c r="BQ49" i="3"/>
  <c r="BT49" i="3"/>
  <c r="BN49" i="3"/>
  <c r="BO49" i="3"/>
  <c r="AE67" i="3"/>
  <c r="AU67" i="3" s="1"/>
  <c r="AF130" i="3"/>
  <c r="BC50" i="3" l="1"/>
  <c r="BA50" i="3"/>
  <c r="AY50" i="3"/>
  <c r="BD50" i="3"/>
  <c r="AZ50" i="3"/>
  <c r="BE50" i="3"/>
  <c r="BB50" i="3"/>
  <c r="AM67" i="3"/>
  <c r="AK67" i="3"/>
  <c r="AP67" i="3"/>
  <c r="AS67" i="3"/>
  <c r="AW67" i="3"/>
  <c r="AV67" i="3"/>
  <c r="AG67" i="3"/>
  <c r="AI67" i="3"/>
  <c r="AH67" i="3"/>
  <c r="AL67" i="3"/>
  <c r="AX67" i="3" s="1"/>
  <c r="AO67" i="3"/>
  <c r="AQ67" i="3"/>
  <c r="AR67" i="3"/>
  <c r="AT67" i="3"/>
  <c r="AJ67" i="3"/>
  <c r="AN67" i="3"/>
  <c r="AF131" i="3"/>
  <c r="BF50" i="3" l="1"/>
  <c r="BM50" i="3" s="1"/>
  <c r="AC68" i="3"/>
  <c r="AA68" i="3"/>
  <c r="AB68" i="3"/>
  <c r="Y68" i="3"/>
  <c r="AD68" i="3"/>
  <c r="Z68" i="3"/>
  <c r="AF132" i="3"/>
  <c r="BO50" i="3" l="1"/>
  <c r="BL50" i="3"/>
  <c r="BR50" i="3"/>
  <c r="BH50" i="3"/>
  <c r="BJ50" i="3"/>
  <c r="BV50" i="3"/>
  <c r="BS50" i="3"/>
  <c r="BP50" i="3"/>
  <c r="BU50" i="3"/>
  <c r="BT50" i="3"/>
  <c r="BQ50" i="3"/>
  <c r="BN50" i="3"/>
  <c r="BK50" i="3"/>
  <c r="BG50" i="3"/>
  <c r="AE68" i="3"/>
  <c r="AU68" i="3" s="1"/>
  <c r="AF133" i="3"/>
  <c r="BA51" i="3" l="1"/>
  <c r="BC51" i="3"/>
  <c r="AY51" i="3"/>
  <c r="BD51" i="3"/>
  <c r="BE51" i="3"/>
  <c r="BB51" i="3"/>
  <c r="AZ51" i="3"/>
  <c r="AI68" i="3"/>
  <c r="AP68" i="3"/>
  <c r="AQ68" i="3"/>
  <c r="AN68" i="3"/>
  <c r="AK68" i="3"/>
  <c r="AS68" i="3"/>
  <c r="AW68" i="3"/>
  <c r="AT68" i="3"/>
  <c r="AV68" i="3"/>
  <c r="AG68" i="3"/>
  <c r="AJ68" i="3"/>
  <c r="AL68" i="3"/>
  <c r="AX68" i="3" s="1"/>
  <c r="AH68" i="3"/>
  <c r="AM68" i="3"/>
  <c r="AO68" i="3"/>
  <c r="AR68" i="3"/>
  <c r="AF134" i="3"/>
  <c r="BF51" i="3" l="1"/>
  <c r="BL51" i="3" s="1"/>
  <c r="Y69" i="3"/>
  <c r="AC69" i="3"/>
  <c r="AA69" i="3"/>
  <c r="AB69" i="3"/>
  <c r="AD69" i="3"/>
  <c r="Z69" i="3"/>
  <c r="AF135" i="3"/>
  <c r="BG51" i="3" l="1"/>
  <c r="BR51" i="3"/>
  <c r="BS51" i="3"/>
  <c r="BM51" i="3"/>
  <c r="BU51" i="3"/>
  <c r="BQ51" i="3"/>
  <c r="BP51" i="3"/>
  <c r="BJ51" i="3"/>
  <c r="BT51" i="3"/>
  <c r="BK51" i="3"/>
  <c r="BN51" i="3"/>
  <c r="BO51" i="3"/>
  <c r="BH51" i="3"/>
  <c r="BV51" i="3"/>
  <c r="AE69" i="3"/>
  <c r="AU69" i="3" s="1"/>
  <c r="AF136" i="3"/>
  <c r="AZ52" i="3" l="1"/>
  <c r="BE52" i="3"/>
  <c r="AY52" i="3"/>
  <c r="BD52" i="3"/>
  <c r="BC52" i="3"/>
  <c r="BA52" i="3"/>
  <c r="BB52" i="3"/>
  <c r="AQ69" i="3"/>
  <c r="AR69" i="3"/>
  <c r="AS69" i="3"/>
  <c r="AV69" i="3"/>
  <c r="AJ69" i="3"/>
  <c r="AL69" i="3"/>
  <c r="AX69" i="3" s="1"/>
  <c r="AI69" i="3"/>
  <c r="AG69" i="3"/>
  <c r="AK69" i="3"/>
  <c r="AM69" i="3"/>
  <c r="AT69" i="3"/>
  <c r="AW69" i="3"/>
  <c r="AH69" i="3"/>
  <c r="AO69" i="3"/>
  <c r="AN69" i="3"/>
  <c r="AP69" i="3"/>
  <c r="AF137" i="3"/>
  <c r="BF52" i="3" l="1"/>
  <c r="BM52" i="3" s="1"/>
  <c r="AB70" i="3"/>
  <c r="AC70" i="3"/>
  <c r="AA70" i="3"/>
  <c r="Z70" i="3"/>
  <c r="AD70" i="3"/>
  <c r="Y70" i="3"/>
  <c r="AF138" i="3"/>
  <c r="BO52" i="3" l="1"/>
  <c r="BQ52" i="3"/>
  <c r="BR52" i="3"/>
  <c r="BK52" i="3"/>
  <c r="BT52" i="3"/>
  <c r="BP52" i="3"/>
  <c r="BU52" i="3"/>
  <c r="BH52" i="3"/>
  <c r="BS52" i="3"/>
  <c r="BJ52" i="3"/>
  <c r="BN52" i="3"/>
  <c r="BG52" i="3"/>
  <c r="BL52" i="3"/>
  <c r="BV52" i="3"/>
  <c r="AE70" i="3"/>
  <c r="AU70" i="3" s="1"/>
  <c r="AF139" i="3"/>
  <c r="BA53" i="3" l="1"/>
  <c r="BB53" i="3"/>
  <c r="AZ53" i="3"/>
  <c r="BC53" i="3"/>
  <c r="AY53" i="3"/>
  <c r="BD53" i="3"/>
  <c r="BE53" i="3"/>
  <c r="AN70" i="3"/>
  <c r="AH70" i="3"/>
  <c r="AW70" i="3"/>
  <c r="AI70" i="3"/>
  <c r="AQ70" i="3"/>
  <c r="AM70" i="3"/>
  <c r="AL70" i="3"/>
  <c r="AX70" i="3" s="1"/>
  <c r="AJ70" i="3"/>
  <c r="AV70" i="3"/>
  <c r="AS70" i="3"/>
  <c r="AK70" i="3"/>
  <c r="AG70" i="3"/>
  <c r="AR70" i="3"/>
  <c r="AT70" i="3"/>
  <c r="AO70" i="3"/>
  <c r="AP70" i="3"/>
  <c r="AF140" i="3"/>
  <c r="BF53" i="3" l="1"/>
  <c r="BM53" i="3" s="1"/>
  <c r="AC71" i="3"/>
  <c r="AA71" i="3"/>
  <c r="AB71" i="3"/>
  <c r="Z71" i="3"/>
  <c r="Y71" i="3"/>
  <c r="AD71" i="3"/>
  <c r="AF141" i="3"/>
  <c r="BP53" i="3" l="1"/>
  <c r="BK53" i="3"/>
  <c r="BO53" i="3"/>
  <c r="BS53" i="3"/>
  <c r="BQ53" i="3"/>
  <c r="BV53" i="3"/>
  <c r="BN53" i="3"/>
  <c r="BR53" i="3"/>
  <c r="BG53" i="3"/>
  <c r="BJ53" i="3"/>
  <c r="BH53" i="3"/>
  <c r="BT53" i="3"/>
  <c r="BU53" i="3"/>
  <c r="BL53" i="3"/>
  <c r="AE71" i="3"/>
  <c r="AU71" i="3" s="1"/>
  <c r="AF142" i="3"/>
  <c r="BD54" i="3" l="1"/>
  <c r="BA54" i="3"/>
  <c r="AZ54" i="3"/>
  <c r="BE54" i="3"/>
  <c r="AY54" i="3"/>
  <c r="BC54" i="3"/>
  <c r="BB54" i="3"/>
  <c r="AT71" i="3"/>
  <c r="AR71" i="3"/>
  <c r="AV71" i="3"/>
  <c r="AK71" i="3"/>
  <c r="AW71" i="3"/>
  <c r="AO71" i="3"/>
  <c r="AP71" i="3"/>
  <c r="AI71" i="3"/>
  <c r="AG71" i="3"/>
  <c r="AH71" i="3"/>
  <c r="AN71" i="3"/>
  <c r="AM71" i="3"/>
  <c r="AS71" i="3"/>
  <c r="AL71" i="3"/>
  <c r="AX71" i="3" s="1"/>
  <c r="AJ71" i="3"/>
  <c r="AQ71" i="3"/>
  <c r="AF143" i="3"/>
  <c r="BF54" i="3" l="1"/>
  <c r="BK54" i="3" s="1"/>
  <c r="AB72" i="3"/>
  <c r="AC72" i="3"/>
  <c r="AA72" i="3"/>
  <c r="Z72" i="3"/>
  <c r="AD72" i="3"/>
  <c r="Y72" i="3"/>
  <c r="AF144" i="3"/>
  <c r="BP54" i="3" l="1"/>
  <c r="BL54" i="3"/>
  <c r="BR54" i="3"/>
  <c r="BT54" i="3"/>
  <c r="BM54" i="3"/>
  <c r="BN54" i="3"/>
  <c r="BV54" i="3"/>
  <c r="BO54" i="3"/>
  <c r="BG54" i="3"/>
  <c r="BH54" i="3"/>
  <c r="BS54" i="3"/>
  <c r="BU54" i="3"/>
  <c r="BJ54" i="3"/>
  <c r="BQ54" i="3"/>
  <c r="AE72" i="3"/>
  <c r="AU72" i="3" s="1"/>
  <c r="AF145" i="3"/>
  <c r="BE55" i="3" l="1"/>
  <c r="AY55" i="3"/>
  <c r="BA55" i="3"/>
  <c r="BD55" i="3"/>
  <c r="BB55" i="3"/>
  <c r="AZ55" i="3"/>
  <c r="BC55" i="3"/>
  <c r="AM72" i="3"/>
  <c r="AR72" i="3"/>
  <c r="AI72" i="3"/>
  <c r="AO72" i="3"/>
  <c r="AN72" i="3"/>
  <c r="AH72" i="3"/>
  <c r="AP72" i="3"/>
  <c r="AG72" i="3"/>
  <c r="AV72" i="3"/>
  <c r="AJ72" i="3"/>
  <c r="AS72" i="3"/>
  <c r="AL72" i="3"/>
  <c r="AX72" i="3" s="1"/>
  <c r="AW72" i="3"/>
  <c r="AK72" i="3"/>
  <c r="AQ72" i="3"/>
  <c r="AT72" i="3"/>
  <c r="AF146" i="3"/>
  <c r="BF55" i="3" l="1"/>
  <c r="BM55" i="3" s="1"/>
  <c r="AC73" i="3"/>
  <c r="AA73" i="3"/>
  <c r="AB73" i="3"/>
  <c r="Y73" i="3"/>
  <c r="Z73" i="3"/>
  <c r="AD73" i="3"/>
  <c r="AF147" i="3"/>
  <c r="BL55" i="3" l="1"/>
  <c r="BS55" i="3"/>
  <c r="BU55" i="3"/>
  <c r="BR55" i="3"/>
  <c r="BP55" i="3"/>
  <c r="BO55" i="3"/>
  <c r="BJ55" i="3"/>
  <c r="BH55" i="3"/>
  <c r="BT55" i="3"/>
  <c r="BN55" i="3"/>
  <c r="BQ55" i="3"/>
  <c r="BK55" i="3"/>
  <c r="BG55" i="3"/>
  <c r="BA56" i="3" s="1"/>
  <c r="BV55" i="3"/>
  <c r="AE73" i="3"/>
  <c r="AU73" i="3" s="1"/>
  <c r="AF148" i="3"/>
  <c r="BB56" i="3" l="1"/>
  <c r="BE56" i="3"/>
  <c r="AZ56" i="3"/>
  <c r="BD56" i="3"/>
  <c r="AY56" i="3"/>
  <c r="BC56" i="3"/>
  <c r="AQ73" i="3"/>
  <c r="AH73" i="3"/>
  <c r="AL73" i="3"/>
  <c r="AX73" i="3" s="1"/>
  <c r="AV73" i="3"/>
  <c r="AO73" i="3"/>
  <c r="AN73" i="3"/>
  <c r="AS73" i="3"/>
  <c r="AJ73" i="3"/>
  <c r="AK73" i="3"/>
  <c r="AW73" i="3"/>
  <c r="AG73" i="3"/>
  <c r="AI73" i="3"/>
  <c r="AP73" i="3"/>
  <c r="AT73" i="3"/>
  <c r="AR73" i="3"/>
  <c r="AM73" i="3"/>
  <c r="AF149" i="3"/>
  <c r="BF56" i="3" l="1"/>
  <c r="BG56" i="3" s="1"/>
  <c r="AC74" i="3"/>
  <c r="AA74" i="3"/>
  <c r="AB74" i="3"/>
  <c r="Y74" i="3"/>
  <c r="AD74" i="3"/>
  <c r="Z74" i="3"/>
  <c r="AF150" i="3"/>
  <c r="BM56" i="3" l="1"/>
  <c r="BH56" i="3"/>
  <c r="BL56" i="3"/>
  <c r="BS56" i="3"/>
  <c r="BO56" i="3"/>
  <c r="BR56" i="3"/>
  <c r="BP56" i="3"/>
  <c r="BN56" i="3"/>
  <c r="BJ56" i="3"/>
  <c r="BU56" i="3"/>
  <c r="BK56" i="3"/>
  <c r="BT56" i="3"/>
  <c r="BV56" i="3"/>
  <c r="BQ56" i="3"/>
  <c r="AE74" i="3"/>
  <c r="AU74" i="3" s="1"/>
  <c r="AF151" i="3"/>
  <c r="AZ57" i="3" l="1"/>
  <c r="BD57" i="3"/>
  <c r="BC57" i="3"/>
  <c r="BB57" i="3"/>
  <c r="BE57" i="3"/>
  <c r="AY57" i="3"/>
  <c r="BA57" i="3"/>
  <c r="AS74" i="3"/>
  <c r="AT74" i="3"/>
  <c r="AL74" i="3"/>
  <c r="AX74" i="3" s="1"/>
  <c r="AP74" i="3"/>
  <c r="AV74" i="3"/>
  <c r="AJ74" i="3"/>
  <c r="AM74" i="3"/>
  <c r="AK74" i="3"/>
  <c r="AW74" i="3"/>
  <c r="AI74" i="3"/>
  <c r="AH74" i="3"/>
  <c r="AN74" i="3"/>
  <c r="AQ74" i="3"/>
  <c r="AR74" i="3"/>
  <c r="AG74" i="3"/>
  <c r="AO74" i="3"/>
  <c r="AF152" i="3"/>
  <c r="BF57" i="3" l="1"/>
  <c r="BM57" i="3" s="1"/>
  <c r="AC75" i="3"/>
  <c r="AB75" i="3"/>
  <c r="AA75" i="3"/>
  <c r="Y75" i="3"/>
  <c r="Z75" i="3"/>
  <c r="AD75" i="3"/>
  <c r="AF153" i="3"/>
  <c r="BK57" i="3" l="1"/>
  <c r="BV57" i="3"/>
  <c r="BS57" i="3"/>
  <c r="BR57" i="3"/>
  <c r="BO57" i="3"/>
  <c r="BP57" i="3"/>
  <c r="BU57" i="3"/>
  <c r="BH57" i="3"/>
  <c r="BQ57" i="3"/>
  <c r="BJ57" i="3"/>
  <c r="BG57" i="3"/>
  <c r="BN57" i="3"/>
  <c r="BL57" i="3"/>
  <c r="BT57" i="3"/>
  <c r="AE75" i="3"/>
  <c r="AU75" i="3" s="1"/>
  <c r="AF154" i="3"/>
  <c r="BC58" i="3" l="1"/>
  <c r="BB58" i="3"/>
  <c r="BE58" i="3"/>
  <c r="BA58" i="3"/>
  <c r="AZ58" i="3"/>
  <c r="AY58" i="3"/>
  <c r="BD58" i="3"/>
  <c r="AM75" i="3"/>
  <c r="AW75" i="3"/>
  <c r="AO75" i="3"/>
  <c r="AP75" i="3"/>
  <c r="AT75" i="3"/>
  <c r="AJ75" i="3"/>
  <c r="AH75" i="3"/>
  <c r="AV75" i="3"/>
  <c r="AI75" i="3"/>
  <c r="AQ75" i="3"/>
  <c r="AK75" i="3"/>
  <c r="AL75" i="3"/>
  <c r="AX75" i="3" s="1"/>
  <c r="AG75" i="3"/>
  <c r="AS75" i="3"/>
  <c r="AN75" i="3"/>
  <c r="AR75" i="3"/>
  <c r="AF155" i="3"/>
  <c r="BF58" i="3" l="1"/>
  <c r="BM58" i="3" s="1"/>
  <c r="AC76" i="3"/>
  <c r="AB76" i="3"/>
  <c r="AA76" i="3"/>
  <c r="Y76" i="3"/>
  <c r="AD76" i="3"/>
  <c r="Z76" i="3"/>
  <c r="AF156" i="3"/>
  <c r="BG58" i="3" l="1"/>
  <c r="BH58" i="3"/>
  <c r="BK58" i="3"/>
  <c r="BJ58" i="3"/>
  <c r="BR58" i="3"/>
  <c r="BT58" i="3"/>
  <c r="BS58" i="3"/>
  <c r="BN58" i="3"/>
  <c r="BQ58" i="3"/>
  <c r="BL58" i="3"/>
  <c r="BP58" i="3"/>
  <c r="BV58" i="3"/>
  <c r="BU58" i="3"/>
  <c r="BO58" i="3"/>
  <c r="AE76" i="3"/>
  <c r="AU76" i="3" s="1"/>
  <c r="AF157" i="3"/>
  <c r="BE59" i="3" l="1"/>
  <c r="AZ59" i="3"/>
  <c r="BD59" i="3"/>
  <c r="BB59" i="3"/>
  <c r="BC59" i="3"/>
  <c r="BA59" i="3"/>
  <c r="AY59" i="3"/>
  <c r="AW76" i="3"/>
  <c r="AP76" i="3"/>
  <c r="AH76" i="3"/>
  <c r="AV76" i="3"/>
  <c r="AI76" i="3"/>
  <c r="AT76" i="3"/>
  <c r="AG76" i="3"/>
  <c r="AJ76" i="3"/>
  <c r="AO76" i="3"/>
  <c r="AK76" i="3"/>
  <c r="AM76" i="3"/>
  <c r="AL76" i="3"/>
  <c r="AX76" i="3" s="1"/>
  <c r="AN76" i="3"/>
  <c r="AQ76" i="3"/>
  <c r="AS76" i="3"/>
  <c r="AR76" i="3"/>
  <c r="AF158" i="3"/>
  <c r="BF59" i="3" l="1"/>
  <c r="BG59" i="3" s="1"/>
  <c r="AC77" i="3"/>
  <c r="AA77" i="3"/>
  <c r="AB77" i="3"/>
  <c r="Z77" i="3"/>
  <c r="Y77" i="3"/>
  <c r="AD77" i="3"/>
  <c r="AF159" i="3"/>
  <c r="BT59" i="3" l="1"/>
  <c r="BV59" i="3"/>
  <c r="BM59" i="3"/>
  <c r="BR59" i="3"/>
  <c r="BN59" i="3"/>
  <c r="BU59" i="3"/>
  <c r="BH59" i="3"/>
  <c r="BS59" i="3"/>
  <c r="BP59" i="3"/>
  <c r="BO59" i="3"/>
  <c r="BJ59" i="3"/>
  <c r="BK59" i="3"/>
  <c r="BL59" i="3"/>
  <c r="BQ59" i="3"/>
  <c r="AE77" i="3"/>
  <c r="AU77" i="3" s="1"/>
  <c r="AF160" i="3"/>
  <c r="BA60" i="3" l="1"/>
  <c r="BE60" i="3"/>
  <c r="BD60" i="3"/>
  <c r="AY60" i="3"/>
  <c r="BB60" i="3"/>
  <c r="AZ60" i="3"/>
  <c r="BC60" i="3"/>
  <c r="AP77" i="3"/>
  <c r="AT77" i="3"/>
  <c r="AV77" i="3"/>
  <c r="AG77" i="3"/>
  <c r="AL77" i="3"/>
  <c r="AX77" i="3" s="1"/>
  <c r="AR77" i="3"/>
  <c r="AO77" i="3"/>
  <c r="AW77" i="3"/>
  <c r="AJ77" i="3"/>
  <c r="AQ77" i="3"/>
  <c r="AK77" i="3"/>
  <c r="AS77" i="3"/>
  <c r="AI77" i="3"/>
  <c r="AH77" i="3"/>
  <c r="AM77" i="3"/>
  <c r="AN77" i="3"/>
  <c r="AF161" i="3"/>
  <c r="BF60" i="3" l="1"/>
  <c r="BQ60" i="3" s="1"/>
  <c r="AC78" i="3"/>
  <c r="AA78" i="3"/>
  <c r="AB78" i="3"/>
  <c r="Z78" i="3"/>
  <c r="AD78" i="3"/>
  <c r="Y78" i="3"/>
  <c r="AF162" i="3"/>
  <c r="BH60" i="3" l="1"/>
  <c r="BG60" i="3"/>
  <c r="BO60" i="3"/>
  <c r="BN60" i="3"/>
  <c r="BV60" i="3"/>
  <c r="BT60" i="3"/>
  <c r="BU60" i="3"/>
  <c r="BR60" i="3"/>
  <c r="BP60" i="3"/>
  <c r="BJ60" i="3"/>
  <c r="BS60" i="3"/>
  <c r="BL60" i="3"/>
  <c r="BM60" i="3"/>
  <c r="BK60" i="3"/>
  <c r="AE78" i="3"/>
  <c r="AU78" i="3" s="1"/>
  <c r="AF163" i="3"/>
  <c r="AZ61" i="3" l="1"/>
  <c r="BC61" i="3"/>
  <c r="BD61" i="3"/>
  <c r="BA61" i="3"/>
  <c r="BE61" i="3"/>
  <c r="AY61" i="3"/>
  <c r="BB61" i="3"/>
  <c r="AP78" i="3"/>
  <c r="AV78" i="3"/>
  <c r="AO78" i="3"/>
  <c r="AN78" i="3"/>
  <c r="AI78" i="3"/>
  <c r="AR78" i="3"/>
  <c r="AT78" i="3"/>
  <c r="AJ78" i="3"/>
  <c r="AG78" i="3"/>
  <c r="AQ78" i="3"/>
  <c r="AM78" i="3"/>
  <c r="AK78" i="3"/>
  <c r="AL78" i="3"/>
  <c r="AX78" i="3" s="1"/>
  <c r="AH78" i="3"/>
  <c r="AW78" i="3"/>
  <c r="AS78" i="3"/>
  <c r="AF164" i="3"/>
  <c r="BF61" i="3" l="1"/>
  <c r="BM61" i="3" s="1"/>
  <c r="AC79" i="3"/>
  <c r="AA79" i="3"/>
  <c r="AB79" i="3"/>
  <c r="Y79" i="3"/>
  <c r="Z79" i="3"/>
  <c r="AD79" i="3"/>
  <c r="AF165" i="3"/>
  <c r="BG61" i="3" l="1"/>
  <c r="BT61" i="3"/>
  <c r="BL61" i="3"/>
  <c r="BJ61" i="3"/>
  <c r="BP61" i="3"/>
  <c r="BO61" i="3"/>
  <c r="BS61" i="3"/>
  <c r="BV61" i="3"/>
  <c r="BR61" i="3"/>
  <c r="BN61" i="3"/>
  <c r="BU61" i="3"/>
  <c r="BK61" i="3"/>
  <c r="BQ61" i="3"/>
  <c r="BH61" i="3"/>
  <c r="AE79" i="3"/>
  <c r="AU79" i="3" s="1"/>
  <c r="AF166" i="3"/>
  <c r="BA62" i="3" l="1"/>
  <c r="BE62" i="3"/>
  <c r="AY62" i="3"/>
  <c r="AZ62" i="3"/>
  <c r="BB62" i="3"/>
  <c r="BC62" i="3"/>
  <c r="BD62" i="3"/>
  <c r="AP79" i="3"/>
  <c r="AN79" i="3"/>
  <c r="AV79" i="3"/>
  <c r="AI79" i="3"/>
  <c r="AJ79" i="3"/>
  <c r="AK79" i="3"/>
  <c r="AT79" i="3"/>
  <c r="AW79" i="3"/>
  <c r="AM79" i="3"/>
  <c r="AL79" i="3"/>
  <c r="AX79" i="3" s="1"/>
  <c r="AQ79" i="3"/>
  <c r="AR79" i="3"/>
  <c r="AS79" i="3"/>
  <c r="AH79" i="3"/>
  <c r="AG79" i="3"/>
  <c r="AO79" i="3"/>
  <c r="AF167" i="3"/>
  <c r="BF62" i="3" l="1"/>
  <c r="BO62" i="3" s="1"/>
  <c r="AC80" i="3"/>
  <c r="AA80" i="3"/>
  <c r="AB80" i="3"/>
  <c r="Y80" i="3"/>
  <c r="AD80" i="3"/>
  <c r="Z80" i="3"/>
  <c r="AF168" i="3"/>
  <c r="BS62" i="3" l="1"/>
  <c r="BH62" i="3"/>
  <c r="BM62" i="3"/>
  <c r="BG62" i="3"/>
  <c r="BP62" i="3"/>
  <c r="BL62" i="3"/>
  <c r="BT62" i="3"/>
  <c r="BQ62" i="3"/>
  <c r="BV62" i="3"/>
  <c r="BK62" i="3"/>
  <c r="BR62" i="3"/>
  <c r="BJ62" i="3"/>
  <c r="BN62" i="3"/>
  <c r="BU62" i="3"/>
  <c r="AE80" i="3"/>
  <c r="AU80" i="3" s="1"/>
  <c r="AF169" i="3"/>
  <c r="AZ63" i="3" l="1"/>
  <c r="BC63" i="3"/>
  <c r="BD63" i="3"/>
  <c r="BB63" i="3"/>
  <c r="AY63" i="3"/>
  <c r="BA63" i="3"/>
  <c r="BE63" i="3"/>
  <c r="AJ80" i="3"/>
  <c r="AG80" i="3"/>
  <c r="AH80" i="3"/>
  <c r="AI80" i="3"/>
  <c r="AN80" i="3"/>
  <c r="AM80" i="3"/>
  <c r="AQ80" i="3"/>
  <c r="AK80" i="3"/>
  <c r="AW80" i="3"/>
  <c r="AO80" i="3"/>
  <c r="AS80" i="3"/>
  <c r="AR80" i="3"/>
  <c r="AV80" i="3"/>
  <c r="AP80" i="3"/>
  <c r="AT80" i="3"/>
  <c r="AL80" i="3"/>
  <c r="AX80" i="3" s="1"/>
  <c r="AF170" i="3"/>
  <c r="BF63" i="3" l="1"/>
  <c r="BP63" i="3" s="1"/>
  <c r="AC81" i="3"/>
  <c r="AB81" i="3"/>
  <c r="AA81" i="3"/>
  <c r="Y81" i="3"/>
  <c r="AD81" i="3"/>
  <c r="Z81" i="3"/>
  <c r="AF171" i="3"/>
  <c r="BQ63" i="3" l="1"/>
  <c r="BG63" i="3"/>
  <c r="BR63" i="3"/>
  <c r="BS63" i="3"/>
  <c r="BK63" i="3"/>
  <c r="BJ63" i="3"/>
  <c r="BN63" i="3"/>
  <c r="BO63" i="3"/>
  <c r="BM63" i="3"/>
  <c r="BU63" i="3"/>
  <c r="BL63" i="3"/>
  <c r="BH63" i="3"/>
  <c r="BV63" i="3"/>
  <c r="BT63" i="3"/>
  <c r="AE81" i="3"/>
  <c r="AU81" i="3" s="1"/>
  <c r="AF172" i="3"/>
  <c r="BB64" i="3" l="1"/>
  <c r="BC64" i="3"/>
  <c r="BE64" i="3"/>
  <c r="BA64" i="3"/>
  <c r="AZ64" i="3"/>
  <c r="AY64" i="3"/>
  <c r="BD64" i="3"/>
  <c r="AJ81" i="3"/>
  <c r="AW81" i="3"/>
  <c r="AH81" i="3"/>
  <c r="AO81" i="3"/>
  <c r="AR81" i="3"/>
  <c r="AI81" i="3"/>
  <c r="AP81" i="3"/>
  <c r="AL81" i="3"/>
  <c r="AX81" i="3" s="1"/>
  <c r="AK81" i="3"/>
  <c r="AT81" i="3"/>
  <c r="AQ81" i="3"/>
  <c r="AN81" i="3"/>
  <c r="AS81" i="3"/>
  <c r="AG81" i="3"/>
  <c r="AM81" i="3"/>
  <c r="AV81" i="3"/>
  <c r="AF173" i="3"/>
  <c r="BF64" i="3" l="1"/>
  <c r="BJ64" i="3" s="1"/>
  <c r="AC82" i="3"/>
  <c r="AA82" i="3"/>
  <c r="AB82" i="3"/>
  <c r="Z82" i="3"/>
  <c r="AD82" i="3"/>
  <c r="Y82" i="3"/>
  <c r="AF174" i="3"/>
  <c r="BU64" i="3" l="1"/>
  <c r="BH64" i="3"/>
  <c r="BQ64" i="3"/>
  <c r="BV64" i="3"/>
  <c r="BN64" i="3"/>
  <c r="BT64" i="3"/>
  <c r="BM64" i="3"/>
  <c r="BP64" i="3"/>
  <c r="BS64" i="3"/>
  <c r="BL64" i="3"/>
  <c r="BO64" i="3"/>
  <c r="BG64" i="3"/>
  <c r="BR64" i="3"/>
  <c r="BK64" i="3"/>
  <c r="AE82" i="3"/>
  <c r="AU82" i="3" s="1"/>
  <c r="AF175" i="3"/>
  <c r="AY65" i="3" l="1"/>
  <c r="BD65" i="3"/>
  <c r="BC65" i="3"/>
  <c r="BA65" i="3"/>
  <c r="BB65" i="3"/>
  <c r="BE65" i="3"/>
  <c r="AZ65" i="3"/>
  <c r="AM82" i="3"/>
  <c r="AS82" i="3"/>
  <c r="AG82" i="3"/>
  <c r="AQ82" i="3"/>
  <c r="AJ82" i="3"/>
  <c r="AK82" i="3"/>
  <c r="AV82" i="3"/>
  <c r="AH82" i="3"/>
  <c r="AO82" i="3"/>
  <c r="AI82" i="3"/>
  <c r="AP82" i="3"/>
  <c r="AL82" i="3"/>
  <c r="AX82" i="3" s="1"/>
  <c r="AR82" i="3"/>
  <c r="AN82" i="3"/>
  <c r="AT82" i="3"/>
  <c r="AW82" i="3"/>
  <c r="AF176" i="3"/>
  <c r="BF65" i="3" l="1"/>
  <c r="BK65" i="3" s="1"/>
  <c r="AB83" i="3"/>
  <c r="AC83" i="3"/>
  <c r="AA83" i="3"/>
  <c r="Y83" i="3"/>
  <c r="AD83" i="3"/>
  <c r="Z83" i="3"/>
  <c r="AF177" i="3"/>
  <c r="BJ65" i="3" l="1"/>
  <c r="BT65" i="3"/>
  <c r="BG65" i="3"/>
  <c r="BV65" i="3"/>
  <c r="BS65" i="3"/>
  <c r="BL65" i="3"/>
  <c r="BN65" i="3"/>
  <c r="BQ65" i="3"/>
  <c r="BU65" i="3"/>
  <c r="BM65" i="3"/>
  <c r="BH65" i="3"/>
  <c r="BP65" i="3"/>
  <c r="BR65" i="3"/>
  <c r="BO65" i="3"/>
  <c r="AE83" i="3"/>
  <c r="AU83" i="3" s="1"/>
  <c r="AF178" i="3"/>
  <c r="BB66" i="3" l="1"/>
  <c r="BA66" i="3"/>
  <c r="BE66" i="3"/>
  <c r="BC66" i="3"/>
  <c r="AZ66" i="3"/>
  <c r="BD66" i="3"/>
  <c r="AY66" i="3"/>
  <c r="AJ83" i="3"/>
  <c r="AQ83" i="3"/>
  <c r="AM83" i="3"/>
  <c r="AL83" i="3"/>
  <c r="AX83" i="3" s="1"/>
  <c r="AW83" i="3"/>
  <c r="AS83" i="3"/>
  <c r="AO83" i="3"/>
  <c r="AH83" i="3"/>
  <c r="AT83" i="3"/>
  <c r="AR83" i="3"/>
  <c r="AK83" i="3"/>
  <c r="AV83" i="3"/>
  <c r="AP83" i="3"/>
  <c r="AN83" i="3"/>
  <c r="AI83" i="3"/>
  <c r="AG83" i="3"/>
  <c r="AF179" i="3"/>
  <c r="BF66" i="3" l="1"/>
  <c r="BN66" i="3" s="1"/>
  <c r="AC84" i="3"/>
  <c r="AA84" i="3"/>
  <c r="AB84" i="3"/>
  <c r="Y84" i="3"/>
  <c r="AD84" i="3"/>
  <c r="Z84" i="3"/>
  <c r="AF180" i="3"/>
  <c r="BK66" i="3" l="1"/>
  <c r="BP66" i="3"/>
  <c r="BV66" i="3"/>
  <c r="BJ66" i="3"/>
  <c r="BR66" i="3"/>
  <c r="BS66" i="3"/>
  <c r="BG66" i="3"/>
  <c r="BA67" i="3" s="1"/>
  <c r="BO66" i="3"/>
  <c r="BT66" i="3"/>
  <c r="BU66" i="3"/>
  <c r="BQ66" i="3"/>
  <c r="BH66" i="3"/>
  <c r="BL66" i="3"/>
  <c r="BM66" i="3"/>
  <c r="AE84" i="3"/>
  <c r="AU84" i="3" s="1"/>
  <c r="AF181" i="3"/>
  <c r="BC67" i="3" l="1"/>
  <c r="BD67" i="3"/>
  <c r="BE67" i="3"/>
  <c r="AY67" i="3"/>
  <c r="BB67" i="3"/>
  <c r="AZ67" i="3"/>
  <c r="AQ84" i="3"/>
  <c r="AO84" i="3"/>
  <c r="AM84" i="3"/>
  <c r="AL84" i="3"/>
  <c r="AX84" i="3" s="1"/>
  <c r="AH84" i="3"/>
  <c r="AI84" i="3"/>
  <c r="AJ84" i="3"/>
  <c r="AK84" i="3"/>
  <c r="AP84" i="3"/>
  <c r="AR84" i="3"/>
  <c r="AG84" i="3"/>
  <c r="AV84" i="3"/>
  <c r="AN84" i="3"/>
  <c r="AW84" i="3"/>
  <c r="AS84" i="3"/>
  <c r="AT84" i="3"/>
  <c r="AF182" i="3"/>
  <c r="BF67" i="3" l="1"/>
  <c r="BG67" i="3" s="1"/>
  <c r="AA85" i="3"/>
  <c r="AC85" i="3"/>
  <c r="AB85" i="3"/>
  <c r="AD85" i="3"/>
  <c r="Y85" i="3"/>
  <c r="Z85" i="3"/>
  <c r="AF183" i="3"/>
  <c r="BT67" i="3" l="1"/>
  <c r="BV67" i="3"/>
  <c r="BJ67" i="3"/>
  <c r="BQ67" i="3"/>
  <c r="BK67" i="3"/>
  <c r="BR67" i="3"/>
  <c r="BH67" i="3"/>
  <c r="BP67" i="3"/>
  <c r="BM67" i="3"/>
  <c r="BO67" i="3"/>
  <c r="BS67" i="3"/>
  <c r="BL67" i="3"/>
  <c r="BU67" i="3"/>
  <c r="BN67" i="3"/>
  <c r="AE85" i="3"/>
  <c r="AU85" i="3" s="1"/>
  <c r="AF184" i="3"/>
  <c r="BB68" i="3" l="1"/>
  <c r="BE68" i="3"/>
  <c r="BC68" i="3"/>
  <c r="BD68" i="3"/>
  <c r="AY68" i="3"/>
  <c r="AZ68" i="3"/>
  <c r="BA68" i="3"/>
  <c r="AV85" i="3"/>
  <c r="AT85" i="3"/>
  <c r="AH85" i="3"/>
  <c r="AR85" i="3"/>
  <c r="AS85" i="3"/>
  <c r="AK85" i="3"/>
  <c r="AO85" i="3"/>
  <c r="AL85" i="3"/>
  <c r="AX85" i="3" s="1"/>
  <c r="AQ85" i="3"/>
  <c r="AI85" i="3"/>
  <c r="AP85" i="3"/>
  <c r="AJ85" i="3"/>
  <c r="AW85" i="3"/>
  <c r="AG85" i="3"/>
  <c r="AN85" i="3"/>
  <c r="AM85" i="3"/>
  <c r="AF185" i="3"/>
  <c r="BF68" i="3" l="1"/>
  <c r="BL68" i="3" s="1"/>
  <c r="AA86" i="3"/>
  <c r="AC86" i="3"/>
  <c r="AB86" i="3"/>
  <c r="Y86" i="3"/>
  <c r="Z86" i="3"/>
  <c r="AD86" i="3"/>
  <c r="AF186" i="3"/>
  <c r="BH68" i="3" l="1"/>
  <c r="BU68" i="3"/>
  <c r="BS68" i="3"/>
  <c r="BM68" i="3"/>
  <c r="BV68" i="3"/>
  <c r="BT68" i="3"/>
  <c r="BO68" i="3"/>
  <c r="BQ68" i="3"/>
  <c r="BN68" i="3"/>
  <c r="BG68" i="3"/>
  <c r="BR68" i="3"/>
  <c r="BJ68" i="3"/>
  <c r="BP68" i="3"/>
  <c r="BK68" i="3"/>
  <c r="AE86" i="3"/>
  <c r="AU86" i="3" s="1"/>
  <c r="AF187" i="3"/>
  <c r="BA69" i="3" l="1"/>
  <c r="BE69" i="3"/>
  <c r="BC69" i="3"/>
  <c r="BD69" i="3"/>
  <c r="BB69" i="3"/>
  <c r="AZ69" i="3"/>
  <c r="AY69" i="3"/>
  <c r="AS86" i="3"/>
  <c r="AN86" i="3"/>
  <c r="AP86" i="3"/>
  <c r="AH86" i="3"/>
  <c r="AG86" i="3"/>
  <c r="AQ86" i="3"/>
  <c r="AJ86" i="3"/>
  <c r="AI86" i="3"/>
  <c r="AM86" i="3"/>
  <c r="AW86" i="3"/>
  <c r="AR86" i="3"/>
  <c r="AO86" i="3"/>
  <c r="AK86" i="3"/>
  <c r="AT86" i="3"/>
  <c r="AL86" i="3"/>
  <c r="AX86" i="3" s="1"/>
  <c r="AV86" i="3"/>
  <c r="AF188" i="3"/>
  <c r="BF69" i="3" l="1"/>
  <c r="BM69" i="3" s="1"/>
  <c r="AD87" i="3"/>
  <c r="AA87" i="3"/>
  <c r="AC87" i="3"/>
  <c r="AB87" i="3"/>
  <c r="Y87" i="3"/>
  <c r="Z87" i="3"/>
  <c r="AF189" i="3"/>
  <c r="BP69" i="3" l="1"/>
  <c r="BK69" i="3"/>
  <c r="BU69" i="3"/>
  <c r="BL69" i="3"/>
  <c r="BT69" i="3"/>
  <c r="BN69" i="3"/>
  <c r="BV69" i="3"/>
  <c r="BG69" i="3"/>
  <c r="BQ69" i="3"/>
  <c r="BJ69" i="3"/>
  <c r="BH69" i="3"/>
  <c r="BO69" i="3"/>
  <c r="BS69" i="3"/>
  <c r="BR69" i="3"/>
  <c r="AE87" i="3"/>
  <c r="AU87" i="3" s="1"/>
  <c r="AF190" i="3"/>
  <c r="AZ70" i="3" l="1"/>
  <c r="BE70" i="3"/>
  <c r="BA70" i="3"/>
  <c r="BD70" i="3"/>
  <c r="BC70" i="3"/>
  <c r="AY70" i="3"/>
  <c r="BB70" i="3"/>
  <c r="AH87" i="3"/>
  <c r="AI87" i="3"/>
  <c r="AG87" i="3"/>
  <c r="AS87" i="3"/>
  <c r="AO87" i="3"/>
  <c r="AW87" i="3"/>
  <c r="AT87" i="3"/>
  <c r="AQ87" i="3"/>
  <c r="AP87" i="3"/>
  <c r="AR87" i="3"/>
  <c r="AN87" i="3"/>
  <c r="AJ87" i="3"/>
  <c r="AV87" i="3"/>
  <c r="AL87" i="3"/>
  <c r="AX87" i="3" s="1"/>
  <c r="AK87" i="3"/>
  <c r="AM87" i="3"/>
  <c r="AF191" i="3"/>
  <c r="BF70" i="3" l="1"/>
  <c r="BM70" i="3" s="1"/>
  <c r="Z88" i="3"/>
  <c r="AA88" i="3"/>
  <c r="AC88" i="3"/>
  <c r="AB88" i="3"/>
  <c r="AD88" i="3"/>
  <c r="Y88" i="3"/>
  <c r="AF192" i="3"/>
  <c r="BR70" i="3" l="1"/>
  <c r="BH70" i="3"/>
  <c r="BN70" i="3"/>
  <c r="BS70" i="3"/>
  <c r="BV70" i="3"/>
  <c r="BU70" i="3"/>
  <c r="BO70" i="3"/>
  <c r="BK70" i="3"/>
  <c r="BP70" i="3"/>
  <c r="BT70" i="3"/>
  <c r="BJ70" i="3"/>
  <c r="BG70" i="3"/>
  <c r="BQ70" i="3"/>
  <c r="BL70" i="3"/>
  <c r="AE88" i="3"/>
  <c r="AU88" i="3" s="1"/>
  <c r="AF193" i="3"/>
  <c r="BD71" i="3" l="1"/>
  <c r="AZ71" i="3"/>
  <c r="AY71" i="3"/>
  <c r="BE71" i="3"/>
  <c r="BC71" i="3"/>
  <c r="BB71" i="3"/>
  <c r="BA71" i="3"/>
  <c r="AO88" i="3"/>
  <c r="AQ88" i="3"/>
  <c r="AW88" i="3"/>
  <c r="AL88" i="3"/>
  <c r="AX88" i="3" s="1"/>
  <c r="AR88" i="3"/>
  <c r="AM88" i="3"/>
  <c r="AV88" i="3"/>
  <c r="AJ88" i="3"/>
  <c r="AK88" i="3"/>
  <c r="AS88" i="3"/>
  <c r="AI88" i="3"/>
  <c r="AG88" i="3"/>
  <c r="AH88" i="3"/>
  <c r="AT88" i="3"/>
  <c r="AN88" i="3"/>
  <c r="AP88" i="3"/>
  <c r="AF194" i="3"/>
  <c r="BF71" i="3" l="1"/>
  <c r="BM71" i="3" s="1"/>
  <c r="AA89" i="3"/>
  <c r="AC89" i="3"/>
  <c r="AB89" i="3"/>
  <c r="AD89" i="3"/>
  <c r="Y89" i="3"/>
  <c r="Z89" i="3"/>
  <c r="AF195" i="3"/>
  <c r="BJ71" i="3" l="1"/>
  <c r="BK71" i="3"/>
  <c r="BU71" i="3"/>
  <c r="BH71" i="3"/>
  <c r="BL71" i="3"/>
  <c r="BP71" i="3"/>
  <c r="BN71" i="3"/>
  <c r="BQ71" i="3"/>
  <c r="BS71" i="3"/>
  <c r="BR71" i="3"/>
  <c r="BV71" i="3"/>
  <c r="BG71" i="3"/>
  <c r="BT71" i="3"/>
  <c r="BO71" i="3"/>
  <c r="AE89" i="3"/>
  <c r="AU89" i="3" s="1"/>
  <c r="AF196" i="3"/>
  <c r="AZ72" i="3" l="1"/>
  <c r="BC72" i="3"/>
  <c r="AY72" i="3"/>
  <c r="BB72" i="3"/>
  <c r="BA72" i="3"/>
  <c r="BE72" i="3"/>
  <c r="BD72" i="3"/>
  <c r="AV89" i="3"/>
  <c r="AH89" i="3"/>
  <c r="AJ89" i="3"/>
  <c r="AT89" i="3"/>
  <c r="AR89" i="3"/>
  <c r="AI89" i="3"/>
  <c r="AL89" i="3"/>
  <c r="AX89" i="3" s="1"/>
  <c r="AS89" i="3"/>
  <c r="AP89" i="3"/>
  <c r="AN89" i="3"/>
  <c r="AM89" i="3"/>
  <c r="AW89" i="3"/>
  <c r="AO89" i="3"/>
  <c r="AK89" i="3"/>
  <c r="AG89" i="3"/>
  <c r="AQ89" i="3"/>
  <c r="AF197" i="3"/>
  <c r="BF72" i="3" l="1"/>
  <c r="BG72" i="3" s="1"/>
  <c r="AA90" i="3"/>
  <c r="AB90" i="3"/>
  <c r="AC90" i="3"/>
  <c r="Z90" i="3"/>
  <c r="Y90" i="3"/>
  <c r="AD90" i="3"/>
  <c r="AF198" i="3"/>
  <c r="BJ72" i="3" l="1"/>
  <c r="BT72" i="3"/>
  <c r="BN72" i="3"/>
  <c r="BH72" i="3"/>
  <c r="BL72" i="3"/>
  <c r="BP72" i="3"/>
  <c r="BQ72" i="3"/>
  <c r="BK72" i="3"/>
  <c r="BR72" i="3"/>
  <c r="BV72" i="3"/>
  <c r="BO72" i="3"/>
  <c r="BS72" i="3"/>
  <c r="BM72" i="3"/>
  <c r="BU72" i="3"/>
  <c r="BD73" i="3" s="1"/>
  <c r="AE90" i="3"/>
  <c r="AU90" i="3" s="1"/>
  <c r="AF199" i="3"/>
  <c r="AZ73" i="3" l="1"/>
  <c r="AY73" i="3"/>
  <c r="BE73" i="3"/>
  <c r="BB73" i="3"/>
  <c r="BC73" i="3"/>
  <c r="BA73" i="3"/>
  <c r="AM90" i="3"/>
  <c r="AV90" i="3"/>
  <c r="AP90" i="3"/>
  <c r="AQ90" i="3"/>
  <c r="AH90" i="3"/>
  <c r="AT90" i="3"/>
  <c r="AL90" i="3"/>
  <c r="AX90" i="3" s="1"/>
  <c r="AS90" i="3"/>
  <c r="AW90" i="3"/>
  <c r="AR90" i="3"/>
  <c r="AK90" i="3"/>
  <c r="AN90" i="3"/>
  <c r="AJ90" i="3"/>
  <c r="AG90" i="3"/>
  <c r="AI90" i="3"/>
  <c r="AO90" i="3"/>
  <c r="AF200" i="3"/>
  <c r="BF73" i="3" l="1"/>
  <c r="BM73" i="3" s="1"/>
  <c r="AA91" i="3"/>
  <c r="AC91" i="3"/>
  <c r="AB91" i="3"/>
  <c r="Y91" i="3"/>
  <c r="Z91" i="3"/>
  <c r="AD91" i="3"/>
  <c r="AF201" i="3"/>
  <c r="BL73" i="3" l="1"/>
  <c r="BR73" i="3"/>
  <c r="BT73" i="3"/>
  <c r="BV73" i="3"/>
  <c r="BP73" i="3"/>
  <c r="BU73" i="3"/>
  <c r="BH73" i="3"/>
  <c r="BG73" i="3"/>
  <c r="BO73" i="3"/>
  <c r="BQ73" i="3"/>
  <c r="BJ73" i="3"/>
  <c r="BN73" i="3"/>
  <c r="BS73" i="3"/>
  <c r="BK73" i="3"/>
  <c r="AE91" i="3"/>
  <c r="AU91" i="3" s="1"/>
  <c r="AF202" i="3"/>
  <c r="AY74" i="3" l="1"/>
  <c r="BB74" i="3"/>
  <c r="BD74" i="3"/>
  <c r="BC74" i="3"/>
  <c r="AZ74" i="3"/>
  <c r="BA74" i="3"/>
  <c r="BE74" i="3"/>
  <c r="AT91" i="3"/>
  <c r="AQ91" i="3"/>
  <c r="AW91" i="3"/>
  <c r="AJ91" i="3"/>
  <c r="AS91" i="3"/>
  <c r="AN91" i="3"/>
  <c r="AR91" i="3"/>
  <c r="AG91" i="3"/>
  <c r="AI91" i="3"/>
  <c r="AH91" i="3"/>
  <c r="AL91" i="3"/>
  <c r="AX91" i="3" s="1"/>
  <c r="AM91" i="3"/>
  <c r="AO91" i="3"/>
  <c r="AV91" i="3"/>
  <c r="AK91" i="3"/>
  <c r="AP91" i="3"/>
  <c r="AF203" i="3"/>
  <c r="BF74" i="3" l="1"/>
  <c r="BM74" i="3" s="1"/>
  <c r="AA92" i="3"/>
  <c r="AC92" i="3"/>
  <c r="AB92" i="3"/>
  <c r="Y92" i="3"/>
  <c r="Z92" i="3"/>
  <c r="AD92" i="3"/>
  <c r="AF204" i="3"/>
  <c r="BG74" i="3" l="1"/>
  <c r="BO74" i="3"/>
  <c r="BQ74" i="3"/>
  <c r="BU74" i="3"/>
  <c r="BV74" i="3"/>
  <c r="BP74" i="3"/>
  <c r="BJ74" i="3"/>
  <c r="BN74" i="3"/>
  <c r="BL74" i="3"/>
  <c r="BH74" i="3"/>
  <c r="BS74" i="3"/>
  <c r="BR74" i="3"/>
  <c r="BK74" i="3"/>
  <c r="BT74" i="3"/>
  <c r="AE92" i="3"/>
  <c r="AU92" i="3" s="1"/>
  <c r="AF205" i="3"/>
  <c r="AZ75" i="3" l="1"/>
  <c r="BE75" i="3"/>
  <c r="AY75" i="3"/>
  <c r="BD75" i="3"/>
  <c r="BC75" i="3"/>
  <c r="BA75" i="3"/>
  <c r="BB75" i="3"/>
  <c r="AI92" i="3"/>
  <c r="AN92" i="3"/>
  <c r="AJ92" i="3"/>
  <c r="AT92" i="3"/>
  <c r="AP92" i="3"/>
  <c r="AV92" i="3"/>
  <c r="AR92" i="3"/>
  <c r="AW92" i="3"/>
  <c r="AS92" i="3"/>
  <c r="AG92" i="3"/>
  <c r="AK92" i="3"/>
  <c r="AO92" i="3"/>
  <c r="AQ92" i="3"/>
  <c r="AH92" i="3"/>
  <c r="AL92" i="3"/>
  <c r="AX92" i="3" s="1"/>
  <c r="AM92" i="3"/>
  <c r="AF206" i="3"/>
  <c r="BF75" i="3" l="1"/>
  <c r="BM75" i="3" s="1"/>
  <c r="AA93" i="3"/>
  <c r="AD93" i="3"/>
  <c r="AC93" i="3"/>
  <c r="AB93" i="3"/>
  <c r="Z93" i="3"/>
  <c r="Y93" i="3"/>
  <c r="AF207" i="3"/>
  <c r="BR75" i="3" l="1"/>
  <c r="BT75" i="3"/>
  <c r="BS75" i="3"/>
  <c r="BV75" i="3"/>
  <c r="BO75" i="3"/>
  <c r="BN75" i="3"/>
  <c r="BG75" i="3"/>
  <c r="BH75" i="3"/>
  <c r="BJ75" i="3"/>
  <c r="BU75" i="3"/>
  <c r="BP75" i="3"/>
  <c r="BL75" i="3"/>
  <c r="BK75" i="3"/>
  <c r="BQ75" i="3"/>
  <c r="AE93" i="3"/>
  <c r="AU93" i="3" s="1"/>
  <c r="AF208" i="3"/>
  <c r="BB76" i="3" l="1"/>
  <c r="BA76" i="3"/>
  <c r="BC76" i="3"/>
  <c r="AY76" i="3"/>
  <c r="BE76" i="3"/>
  <c r="AZ76" i="3"/>
  <c r="BD76" i="3"/>
  <c r="AM93" i="3"/>
  <c r="AR93" i="3"/>
  <c r="AS93" i="3"/>
  <c r="AQ93" i="3"/>
  <c r="AW93" i="3"/>
  <c r="AH93" i="3"/>
  <c r="AT93" i="3"/>
  <c r="AV93" i="3"/>
  <c r="AK93" i="3"/>
  <c r="AO93" i="3"/>
  <c r="AP93" i="3"/>
  <c r="AJ93" i="3"/>
  <c r="AL93" i="3"/>
  <c r="AX93" i="3" s="1"/>
  <c r="AI93" i="3"/>
  <c r="AG93" i="3"/>
  <c r="AN93" i="3"/>
  <c r="AF209" i="3"/>
  <c r="BF76" i="3" l="1"/>
  <c r="BQ76" i="3" s="1"/>
  <c r="AA94" i="3"/>
  <c r="AC94" i="3"/>
  <c r="AB94" i="3"/>
  <c r="Y94" i="3"/>
  <c r="AD94" i="3"/>
  <c r="Z94" i="3"/>
  <c r="AF210" i="3"/>
  <c r="BH76" i="3" l="1"/>
  <c r="BK76" i="3"/>
  <c r="BJ76" i="3"/>
  <c r="BV76" i="3"/>
  <c r="BU76" i="3"/>
  <c r="BP76" i="3"/>
  <c r="BS76" i="3"/>
  <c r="BM76" i="3"/>
  <c r="BG76" i="3"/>
  <c r="BO76" i="3"/>
  <c r="BT76" i="3"/>
  <c r="BL76" i="3"/>
  <c r="BN76" i="3"/>
  <c r="BR76" i="3"/>
  <c r="AE94" i="3"/>
  <c r="AU94" i="3" s="1"/>
  <c r="AF211" i="3"/>
  <c r="AY77" i="3" l="1"/>
  <c r="BE77" i="3"/>
  <c r="BC77" i="3"/>
  <c r="BD77" i="3"/>
  <c r="BA77" i="3"/>
  <c r="AZ77" i="3"/>
  <c r="BB77" i="3"/>
  <c r="AW94" i="3"/>
  <c r="AP94" i="3"/>
  <c r="AS94" i="3"/>
  <c r="AH94" i="3"/>
  <c r="AN94" i="3"/>
  <c r="AV94" i="3"/>
  <c r="AG94" i="3"/>
  <c r="AT94" i="3"/>
  <c r="AQ94" i="3"/>
  <c r="AM94" i="3"/>
  <c r="AJ94" i="3"/>
  <c r="AI94" i="3"/>
  <c r="AR94" i="3"/>
  <c r="AK94" i="3"/>
  <c r="AO94" i="3"/>
  <c r="AL94" i="3"/>
  <c r="AX94" i="3" s="1"/>
  <c r="AF212" i="3"/>
  <c r="BF77" i="3" l="1"/>
  <c r="BQ77" i="3" s="1"/>
  <c r="AA95" i="3"/>
  <c r="AC95" i="3"/>
  <c r="AB95" i="3"/>
  <c r="Y95" i="3"/>
  <c r="Z95" i="3"/>
  <c r="AD95" i="3"/>
  <c r="AF213" i="3"/>
  <c r="BM77" i="3" l="1"/>
  <c r="BP77" i="3"/>
  <c r="BJ77" i="3"/>
  <c r="BR77" i="3"/>
  <c r="BU77" i="3"/>
  <c r="BS77" i="3"/>
  <c r="BV77" i="3"/>
  <c r="BT77" i="3"/>
  <c r="BO77" i="3"/>
  <c r="BL77" i="3"/>
  <c r="BK77" i="3"/>
  <c r="BN77" i="3"/>
  <c r="BH77" i="3"/>
  <c r="BG77" i="3"/>
  <c r="AE95" i="3"/>
  <c r="AU95" i="3" s="1"/>
  <c r="AF214" i="3"/>
  <c r="AZ78" i="3" l="1"/>
  <c r="BB78" i="3"/>
  <c r="BC78" i="3"/>
  <c r="BD78" i="3"/>
  <c r="BE78" i="3"/>
  <c r="AY78" i="3"/>
  <c r="BA78" i="3"/>
  <c r="AH95" i="3"/>
  <c r="AR95" i="3"/>
  <c r="AK95" i="3"/>
  <c r="AS95" i="3"/>
  <c r="AQ95" i="3"/>
  <c r="AT95" i="3"/>
  <c r="AL95" i="3"/>
  <c r="AX95" i="3" s="1"/>
  <c r="AN95" i="3"/>
  <c r="AV95" i="3"/>
  <c r="AJ95" i="3"/>
  <c r="AI95" i="3"/>
  <c r="AG95" i="3"/>
  <c r="AO95" i="3"/>
  <c r="AW95" i="3"/>
  <c r="AM95" i="3"/>
  <c r="AP95" i="3"/>
  <c r="AF215" i="3"/>
  <c r="BF78" i="3" l="1"/>
  <c r="BM78" i="3" s="1"/>
  <c r="AA96" i="3"/>
  <c r="AC96" i="3"/>
  <c r="AB96" i="3"/>
  <c r="Y96" i="3"/>
  <c r="Z96" i="3"/>
  <c r="AD96" i="3"/>
  <c r="AF216" i="3"/>
  <c r="BR78" i="3" l="1"/>
  <c r="BT78" i="3"/>
  <c r="BL78" i="3"/>
  <c r="BV78" i="3"/>
  <c r="BG78" i="3"/>
  <c r="BK78" i="3"/>
  <c r="BQ78" i="3"/>
  <c r="BH78" i="3"/>
  <c r="BS78" i="3"/>
  <c r="BP78" i="3"/>
  <c r="BU78" i="3"/>
  <c r="BO78" i="3"/>
  <c r="BJ78" i="3"/>
  <c r="BN78" i="3"/>
  <c r="AE96" i="3"/>
  <c r="AU96" i="3" s="1"/>
  <c r="AF217" i="3"/>
  <c r="AZ79" i="3" l="1"/>
  <c r="AY79" i="3"/>
  <c r="BB79" i="3"/>
  <c r="BE79" i="3"/>
  <c r="BD79" i="3"/>
  <c r="BA79" i="3"/>
  <c r="BC79" i="3"/>
  <c r="AI96" i="3"/>
  <c r="AG96" i="3"/>
  <c r="AR96" i="3"/>
  <c r="AM96" i="3"/>
  <c r="AN96" i="3"/>
  <c r="AK96" i="3"/>
  <c r="AV96" i="3"/>
  <c r="AW96" i="3"/>
  <c r="AP96" i="3"/>
  <c r="AO96" i="3"/>
  <c r="AL96" i="3"/>
  <c r="AX96" i="3" s="1"/>
  <c r="AQ96" i="3"/>
  <c r="AH96" i="3"/>
  <c r="AT96" i="3"/>
  <c r="AS96" i="3"/>
  <c r="AJ96" i="3"/>
  <c r="AF218" i="3"/>
  <c r="BF79" i="3" l="1"/>
  <c r="BK79" i="3" s="1"/>
  <c r="AA97" i="3"/>
  <c r="AC97" i="3"/>
  <c r="AB97" i="3"/>
  <c r="AD97" i="3"/>
  <c r="Z97" i="3"/>
  <c r="Y97" i="3"/>
  <c r="AF219" i="3"/>
  <c r="BP79" i="3" l="1"/>
  <c r="BO79" i="3"/>
  <c r="BJ79" i="3"/>
  <c r="BU79" i="3"/>
  <c r="BS79" i="3"/>
  <c r="BH79" i="3"/>
  <c r="BM79" i="3"/>
  <c r="BQ79" i="3"/>
  <c r="BL79" i="3"/>
  <c r="BN79" i="3"/>
  <c r="BT79" i="3"/>
  <c r="BG79" i="3"/>
  <c r="BR79" i="3"/>
  <c r="BV79" i="3"/>
  <c r="AE97" i="3"/>
  <c r="AU97" i="3" s="1"/>
  <c r="AF220" i="3"/>
  <c r="AZ80" i="3" l="1"/>
  <c r="BB80" i="3"/>
  <c r="BC80" i="3"/>
  <c r="BE80" i="3"/>
  <c r="BA80" i="3"/>
  <c r="AY80" i="3"/>
  <c r="BD80" i="3"/>
  <c r="AP97" i="3"/>
  <c r="AI97" i="3"/>
  <c r="AT97" i="3"/>
  <c r="AM97" i="3"/>
  <c r="AK97" i="3"/>
  <c r="AG97" i="3"/>
  <c r="AN97" i="3"/>
  <c r="AS97" i="3"/>
  <c r="AW97" i="3"/>
  <c r="AH97" i="3"/>
  <c r="AR97" i="3"/>
  <c r="AJ97" i="3"/>
  <c r="AO97" i="3"/>
  <c r="AL97" i="3"/>
  <c r="AX97" i="3" s="1"/>
  <c r="AQ97" i="3"/>
  <c r="AV97" i="3"/>
  <c r="AF221" i="3"/>
  <c r="BF80" i="3" l="1"/>
  <c r="BM80" i="3" s="1"/>
  <c r="Z98" i="3"/>
  <c r="AA98" i="3"/>
  <c r="AC98" i="3"/>
  <c r="AB98" i="3"/>
  <c r="AD98" i="3"/>
  <c r="Y98" i="3"/>
  <c r="AF222" i="3"/>
  <c r="BH80" i="3" l="1"/>
  <c r="BL80" i="3"/>
  <c r="BK80" i="3"/>
  <c r="BV80" i="3"/>
  <c r="BN80" i="3"/>
  <c r="BQ80" i="3"/>
  <c r="BP80" i="3"/>
  <c r="BS80" i="3"/>
  <c r="BO80" i="3"/>
  <c r="BT80" i="3"/>
  <c r="BU80" i="3"/>
  <c r="BG80" i="3"/>
  <c r="BR80" i="3"/>
  <c r="BJ80" i="3"/>
  <c r="AE98" i="3"/>
  <c r="AU98" i="3" s="1"/>
  <c r="AF223" i="3"/>
  <c r="BC81" i="3" l="1"/>
  <c r="AZ81" i="3"/>
  <c r="BE81" i="3"/>
  <c r="BB81" i="3"/>
  <c r="AY81" i="3"/>
  <c r="BA81" i="3"/>
  <c r="BD81" i="3"/>
  <c r="AQ98" i="3"/>
  <c r="AL98" i="3"/>
  <c r="AX98" i="3" s="1"/>
  <c r="AW98" i="3"/>
  <c r="AK98" i="3"/>
  <c r="AP98" i="3"/>
  <c r="AM98" i="3"/>
  <c r="AO98" i="3"/>
  <c r="AG98" i="3"/>
  <c r="AI98" i="3"/>
  <c r="AS98" i="3"/>
  <c r="AH98" i="3"/>
  <c r="AN98" i="3"/>
  <c r="AT98" i="3"/>
  <c r="AR98" i="3"/>
  <c r="AJ98" i="3"/>
  <c r="AV98" i="3"/>
  <c r="AF224" i="3"/>
  <c r="BF81" i="3" l="1"/>
  <c r="BN81" i="3" s="1"/>
  <c r="AA99" i="3"/>
  <c r="AC99" i="3"/>
  <c r="AB99" i="3"/>
  <c r="AD99" i="3"/>
  <c r="Y99" i="3"/>
  <c r="Z99" i="3"/>
  <c r="AF225" i="3"/>
  <c r="BU81" i="3" l="1"/>
  <c r="BR81" i="3"/>
  <c r="BK81" i="3"/>
  <c r="BO81" i="3"/>
  <c r="BP81" i="3"/>
  <c r="BQ81" i="3"/>
  <c r="BM81" i="3"/>
  <c r="BS81" i="3"/>
  <c r="BJ81" i="3"/>
  <c r="BV81" i="3"/>
  <c r="BG81" i="3"/>
  <c r="BT81" i="3"/>
  <c r="BH81" i="3"/>
  <c r="BL81" i="3"/>
  <c r="AE99" i="3"/>
  <c r="AU99" i="3" s="1"/>
  <c r="AF226" i="3"/>
  <c r="BD82" i="3" l="1"/>
  <c r="AY82" i="3"/>
  <c r="AZ82" i="3"/>
  <c r="BC82" i="3"/>
  <c r="BA82" i="3"/>
  <c r="BB82" i="3"/>
  <c r="BE82" i="3"/>
  <c r="AM99" i="3"/>
  <c r="AK99" i="3"/>
  <c r="AV99" i="3"/>
  <c r="AL99" i="3"/>
  <c r="AX99" i="3" s="1"/>
  <c r="AG99" i="3"/>
  <c r="AT99" i="3"/>
  <c r="AR99" i="3"/>
  <c r="AI99" i="3"/>
  <c r="AP99" i="3"/>
  <c r="AW99" i="3"/>
  <c r="AH99" i="3"/>
  <c r="AS99" i="3"/>
  <c r="AJ99" i="3"/>
  <c r="AQ99" i="3"/>
  <c r="AN99" i="3"/>
  <c r="AO99" i="3"/>
  <c r="AF227" i="3"/>
  <c r="BF82" i="3" l="1"/>
  <c r="BG82" i="3" s="1"/>
  <c r="AC100" i="3"/>
  <c r="AA100" i="3"/>
  <c r="AB100" i="3"/>
  <c r="Y100" i="3"/>
  <c r="Z100" i="3"/>
  <c r="AD100" i="3"/>
  <c r="AF228" i="3"/>
  <c r="BP82" i="3" l="1"/>
  <c r="BL82" i="3"/>
  <c r="BS82" i="3"/>
  <c r="BO82" i="3"/>
  <c r="BK82" i="3"/>
  <c r="BR82" i="3"/>
  <c r="BV82" i="3"/>
  <c r="BE83" i="3" s="1"/>
  <c r="BT82" i="3"/>
  <c r="BH82" i="3"/>
  <c r="BU82" i="3"/>
  <c r="BQ82" i="3"/>
  <c r="BN82" i="3"/>
  <c r="BJ82" i="3"/>
  <c r="BM82" i="3"/>
  <c r="AE100" i="3"/>
  <c r="AU100" i="3" s="1"/>
  <c r="AF229" i="3"/>
  <c r="BB83" i="3" l="1"/>
  <c r="BC83" i="3"/>
  <c r="BA83" i="3"/>
  <c r="AZ83" i="3"/>
  <c r="BD83" i="3"/>
  <c r="AY83" i="3"/>
  <c r="AR100" i="3"/>
  <c r="AW100" i="3"/>
  <c r="AH100" i="3"/>
  <c r="AN100" i="3"/>
  <c r="AJ100" i="3"/>
  <c r="AL100" i="3"/>
  <c r="AX100" i="3" s="1"/>
  <c r="AM100" i="3"/>
  <c r="AI100" i="3"/>
  <c r="AQ100" i="3"/>
  <c r="AT100" i="3"/>
  <c r="AS100" i="3"/>
  <c r="AO100" i="3"/>
  <c r="AP100" i="3"/>
  <c r="AV100" i="3"/>
  <c r="AG100" i="3"/>
  <c r="AK100" i="3"/>
  <c r="AF230" i="3"/>
  <c r="BF83" i="3" l="1"/>
  <c r="BM83" i="3" s="1"/>
  <c r="AA101" i="3"/>
  <c r="AC101" i="3"/>
  <c r="AB101" i="3"/>
  <c r="Y101" i="3"/>
  <c r="Z101" i="3"/>
  <c r="AD101" i="3"/>
  <c r="AF231" i="3"/>
  <c r="BU83" i="3" l="1"/>
  <c r="BS83" i="3"/>
  <c r="BT83" i="3"/>
  <c r="BR83" i="3"/>
  <c r="BK83" i="3"/>
  <c r="BQ83" i="3"/>
  <c r="BJ83" i="3"/>
  <c r="BG83" i="3"/>
  <c r="BP83" i="3"/>
  <c r="BO83" i="3"/>
  <c r="BN83" i="3"/>
  <c r="BH83" i="3"/>
  <c r="BV83" i="3"/>
  <c r="BL83" i="3"/>
  <c r="AE101" i="3"/>
  <c r="AF232" i="3"/>
  <c r="BB84" i="3" l="1"/>
  <c r="AY84" i="3"/>
  <c r="BA84" i="3"/>
  <c r="BC84" i="3"/>
  <c r="AZ84" i="3"/>
  <c r="BE84" i="3"/>
  <c r="BD84" i="3"/>
  <c r="AI101" i="3"/>
  <c r="AU101" i="3"/>
  <c r="AL101" i="3"/>
  <c r="AX101" i="3" s="1"/>
  <c r="AW101" i="3"/>
  <c r="AK101" i="3"/>
  <c r="AP101" i="3"/>
  <c r="AN101" i="3"/>
  <c r="AV101" i="3"/>
  <c r="AH101" i="3"/>
  <c r="AO101" i="3"/>
  <c r="AR101" i="3"/>
  <c r="AM101" i="3"/>
  <c r="AG101" i="3"/>
  <c r="AQ101" i="3"/>
  <c r="AT101" i="3"/>
  <c r="AS101" i="3"/>
  <c r="AJ101" i="3"/>
  <c r="AF233" i="3"/>
  <c r="BF84" i="3" l="1"/>
  <c r="BK84" i="3" s="1"/>
  <c r="AA102" i="3"/>
  <c r="AC102" i="3"/>
  <c r="AB102" i="3"/>
  <c r="AD102" i="3"/>
  <c r="Y102" i="3"/>
  <c r="Z102" i="3"/>
  <c r="AF234" i="3"/>
  <c r="BL84" i="3" l="1"/>
  <c r="BV84" i="3"/>
  <c r="BQ84" i="3"/>
  <c r="BS84" i="3"/>
  <c r="BU84" i="3"/>
  <c r="BN84" i="3"/>
  <c r="BP84" i="3"/>
  <c r="BJ84" i="3"/>
  <c r="BM84" i="3"/>
  <c r="BO84" i="3"/>
  <c r="BR84" i="3"/>
  <c r="BT84" i="3"/>
  <c r="BH84" i="3"/>
  <c r="BG84" i="3"/>
  <c r="AZ85" i="3" s="1"/>
  <c r="AE102" i="3"/>
  <c r="AU102" i="3" s="1"/>
  <c r="AF235" i="3"/>
  <c r="BE85" i="3" l="1"/>
  <c r="AY85" i="3"/>
  <c r="BC85" i="3"/>
  <c r="BD85" i="3"/>
  <c r="BB85" i="3"/>
  <c r="BA85" i="3"/>
  <c r="AH102" i="3"/>
  <c r="AN102" i="3"/>
  <c r="AS102" i="3"/>
  <c r="AO102" i="3"/>
  <c r="AK102" i="3"/>
  <c r="AI102" i="3"/>
  <c r="AP102" i="3"/>
  <c r="AJ102" i="3"/>
  <c r="AG102" i="3"/>
  <c r="AT102" i="3"/>
  <c r="AM102" i="3"/>
  <c r="AV102" i="3"/>
  <c r="AW102" i="3"/>
  <c r="AR102" i="3"/>
  <c r="AQ102" i="3"/>
  <c r="AL102" i="3"/>
  <c r="AX102" i="3" s="1"/>
  <c r="AF236" i="3"/>
  <c r="BF85" i="3" l="1"/>
  <c r="BM85" i="3" s="1"/>
  <c r="Y103" i="3"/>
  <c r="AA103" i="3"/>
  <c r="AC103" i="3"/>
  <c r="AB103" i="3"/>
  <c r="AD103" i="3"/>
  <c r="Z103" i="3"/>
  <c r="AF237" i="3"/>
  <c r="BO85" i="3" l="1"/>
  <c r="BS85" i="3"/>
  <c r="BH85" i="3"/>
  <c r="BG85" i="3"/>
  <c r="BP85" i="3"/>
  <c r="BV85" i="3"/>
  <c r="BU85" i="3"/>
  <c r="BD86" i="3" s="1"/>
  <c r="BK85" i="3"/>
  <c r="BQ85" i="3"/>
  <c r="BN85" i="3"/>
  <c r="BL85" i="3"/>
  <c r="BJ85" i="3"/>
  <c r="BR85" i="3"/>
  <c r="BA86" i="3" s="1"/>
  <c r="BT85" i="3"/>
  <c r="BC86" i="3" s="1"/>
  <c r="AE103" i="3"/>
  <c r="AU103" i="3" s="1"/>
  <c r="AF238" i="3"/>
  <c r="BB86" i="3" l="1"/>
  <c r="AY86" i="3"/>
  <c r="AZ86" i="3"/>
  <c r="BE86" i="3"/>
  <c r="AL103" i="3"/>
  <c r="AX103" i="3" s="1"/>
  <c r="AQ103" i="3"/>
  <c r="AH103" i="3"/>
  <c r="AG103" i="3"/>
  <c r="AV103" i="3"/>
  <c r="AI103" i="3"/>
  <c r="AR103" i="3"/>
  <c r="AW103" i="3"/>
  <c r="AP103" i="3"/>
  <c r="AK103" i="3"/>
  <c r="AJ103" i="3"/>
  <c r="AM103" i="3"/>
  <c r="AN103" i="3"/>
  <c r="AS103" i="3"/>
  <c r="AO103" i="3"/>
  <c r="AT103" i="3"/>
  <c r="AF239" i="3"/>
  <c r="BF86" i="3" l="1"/>
  <c r="BS86" i="3" s="1"/>
  <c r="AA104" i="3"/>
  <c r="AC104" i="3"/>
  <c r="AB104" i="3"/>
  <c r="AD104" i="3"/>
  <c r="Y104" i="3"/>
  <c r="Z104" i="3"/>
  <c r="AF240" i="3"/>
  <c r="BR86" i="3" l="1"/>
  <c r="BT86" i="3"/>
  <c r="BV86" i="3"/>
  <c r="BO86" i="3"/>
  <c r="BM86" i="3"/>
  <c r="BH86" i="3"/>
  <c r="BQ86" i="3"/>
  <c r="AZ87" i="3" s="1"/>
  <c r="BJ86" i="3"/>
  <c r="BU86" i="3"/>
  <c r="BN86" i="3"/>
  <c r="BL86" i="3"/>
  <c r="BP86" i="3"/>
  <c r="BG86" i="3"/>
  <c r="BB87" i="3" s="1"/>
  <c r="BK86" i="3"/>
  <c r="BC87" i="3"/>
  <c r="AE104" i="3"/>
  <c r="AF241" i="3"/>
  <c r="BE87" i="3" l="1"/>
  <c r="AY87" i="3"/>
  <c r="BA87" i="3"/>
  <c r="BD87" i="3"/>
  <c r="AH104" i="3"/>
  <c r="AU104" i="3"/>
  <c r="AM104" i="3"/>
  <c r="AO104" i="3"/>
  <c r="AN104" i="3"/>
  <c r="AP104" i="3"/>
  <c r="AW104" i="3"/>
  <c r="AI104" i="3"/>
  <c r="AK104" i="3"/>
  <c r="AV104" i="3"/>
  <c r="AR104" i="3"/>
  <c r="AT104" i="3"/>
  <c r="AS104" i="3"/>
  <c r="AL104" i="3"/>
  <c r="AX104" i="3" s="1"/>
  <c r="AQ104" i="3"/>
  <c r="AG104" i="3"/>
  <c r="AJ104" i="3"/>
  <c r="AF242" i="3"/>
  <c r="BF87" i="3" l="1"/>
  <c r="BU87" i="3" s="1"/>
  <c r="AC105" i="3"/>
  <c r="AA105" i="3"/>
  <c r="AB105" i="3"/>
  <c r="Z105" i="3"/>
  <c r="Y105" i="3"/>
  <c r="AD105" i="3"/>
  <c r="AF243" i="3"/>
  <c r="BR87" i="3" l="1"/>
  <c r="BN87" i="3"/>
  <c r="BK87" i="3"/>
  <c r="BM87" i="3"/>
  <c r="BG87" i="3"/>
  <c r="BP87" i="3"/>
  <c r="BS87" i="3"/>
  <c r="BB88" i="3" s="1"/>
  <c r="BV87" i="3"/>
  <c r="BE88" i="3" s="1"/>
  <c r="BJ87" i="3"/>
  <c r="BQ87" i="3"/>
  <c r="BH87" i="3"/>
  <c r="BO87" i="3"/>
  <c r="BL87" i="3"/>
  <c r="BT87" i="3"/>
  <c r="BC88" i="3" s="1"/>
  <c r="BD88" i="3"/>
  <c r="AE105" i="3"/>
  <c r="AU105" i="3" s="1"/>
  <c r="AF244" i="3"/>
  <c r="BA88" i="3" l="1"/>
  <c r="AY88" i="3"/>
  <c r="AZ88" i="3"/>
  <c r="AI105" i="3"/>
  <c r="AJ105" i="3"/>
  <c r="AG105" i="3"/>
  <c r="AW105" i="3"/>
  <c r="AK105" i="3"/>
  <c r="AR105" i="3"/>
  <c r="AN105" i="3"/>
  <c r="AT105" i="3"/>
  <c r="AH105" i="3"/>
  <c r="AS105" i="3"/>
  <c r="AL105" i="3"/>
  <c r="AX105" i="3" s="1"/>
  <c r="AQ105" i="3"/>
  <c r="AM105" i="3"/>
  <c r="AO105" i="3"/>
  <c r="AP105" i="3"/>
  <c r="AV105" i="3"/>
  <c r="AF245" i="3"/>
  <c r="BF88" i="3" l="1"/>
  <c r="BK88" i="3" s="1"/>
  <c r="AC106" i="3"/>
  <c r="AA106" i="3"/>
  <c r="AB106" i="3"/>
  <c r="AD106" i="3"/>
  <c r="Z106" i="3"/>
  <c r="Y106" i="3"/>
  <c r="AF246" i="3"/>
  <c r="BH88" i="3" l="1"/>
  <c r="BU88" i="3"/>
  <c r="BR88" i="3"/>
  <c r="BV88" i="3"/>
  <c r="BT88" i="3"/>
  <c r="BS88" i="3"/>
  <c r="BL88" i="3"/>
  <c r="BO88" i="3"/>
  <c r="BP88" i="3"/>
  <c r="BG88" i="3"/>
  <c r="BJ88" i="3"/>
  <c r="BQ88" i="3"/>
  <c r="BM88" i="3"/>
  <c r="BN88" i="3"/>
  <c r="AE106" i="3"/>
  <c r="AU106" i="3" s="1"/>
  <c r="AF247" i="3"/>
  <c r="BD89" i="3" l="1"/>
  <c r="AZ89" i="3"/>
  <c r="BA89" i="3"/>
  <c r="BC89" i="3"/>
  <c r="AY89" i="3"/>
  <c r="BE89" i="3"/>
  <c r="BB89" i="3"/>
  <c r="AI106" i="3"/>
  <c r="AJ106" i="3"/>
  <c r="AN106" i="3"/>
  <c r="AO106" i="3"/>
  <c r="AQ106" i="3"/>
  <c r="AK106" i="3"/>
  <c r="AH106" i="3"/>
  <c r="AG106" i="3"/>
  <c r="AV106" i="3"/>
  <c r="AS106" i="3"/>
  <c r="AT106" i="3"/>
  <c r="AP106" i="3"/>
  <c r="AL106" i="3"/>
  <c r="AX106" i="3" s="1"/>
  <c r="AR106" i="3"/>
  <c r="AM106" i="3"/>
  <c r="AW106" i="3"/>
  <c r="AF248" i="3"/>
  <c r="BF89" i="3" l="1"/>
  <c r="BT89" i="3" s="1"/>
  <c r="AA107" i="3"/>
  <c r="Z107" i="3"/>
  <c r="AC107" i="3"/>
  <c r="AB107" i="3"/>
  <c r="AD107" i="3"/>
  <c r="Y107" i="3"/>
  <c r="BL89" i="3" l="1"/>
  <c r="BG89" i="3"/>
  <c r="BC90" i="3" s="1"/>
  <c r="BJ89" i="3"/>
  <c r="BH89" i="3"/>
  <c r="BU89" i="3"/>
  <c r="BR89" i="3"/>
  <c r="BK89" i="3"/>
  <c r="BQ89" i="3"/>
  <c r="BM89" i="3"/>
  <c r="BP89" i="3"/>
  <c r="BO89" i="3"/>
  <c r="BV89" i="3"/>
  <c r="BS89" i="3"/>
  <c r="BN89" i="3"/>
  <c r="AE107" i="3"/>
  <c r="AU107" i="3" s="1"/>
  <c r="AZ90" i="3" l="1"/>
  <c r="BA90" i="3"/>
  <c r="BE90" i="3"/>
  <c r="AY90" i="3"/>
  <c r="BB90" i="3"/>
  <c r="BD90" i="3"/>
  <c r="AH107" i="3"/>
  <c r="AI107" i="3"/>
  <c r="AW107" i="3"/>
  <c r="AL107" i="3"/>
  <c r="AX107" i="3" s="1"/>
  <c r="AK107" i="3"/>
  <c r="AS107" i="3"/>
  <c r="AT107" i="3"/>
  <c r="AG107" i="3"/>
  <c r="AP107" i="3"/>
  <c r="AR107" i="3"/>
  <c r="AQ107" i="3"/>
  <c r="AC108" i="3" s="1"/>
  <c r="AM107" i="3"/>
  <c r="AV107" i="3"/>
  <c r="AN107" i="3"/>
  <c r="AO107" i="3"/>
  <c r="AJ107" i="3"/>
  <c r="BF90" i="3" l="1"/>
  <c r="BQ90" i="3" s="1"/>
  <c r="AA108" i="3"/>
  <c r="AB108" i="3"/>
  <c r="AD108" i="3"/>
  <c r="Y108" i="3"/>
  <c r="Z108" i="3"/>
  <c r="BV90" i="3" l="1"/>
  <c r="BJ90" i="3"/>
  <c r="BG90" i="3"/>
  <c r="AZ91" i="3" s="1"/>
  <c r="BR90" i="3"/>
  <c r="BN90" i="3"/>
  <c r="BH90" i="3"/>
  <c r="BM90" i="3"/>
  <c r="BP90" i="3"/>
  <c r="BS90" i="3"/>
  <c r="BU90" i="3"/>
  <c r="BO90" i="3"/>
  <c r="BT90" i="3"/>
  <c r="BC91" i="3" s="1"/>
  <c r="BL90" i="3"/>
  <c r="BK90" i="3"/>
  <c r="BA91" i="3"/>
  <c r="AE108" i="3"/>
  <c r="AU108" i="3" s="1"/>
  <c r="BE91" i="3" l="1"/>
  <c r="BB91" i="3"/>
  <c r="AY91" i="3"/>
  <c r="BD91" i="3"/>
  <c r="AO108" i="3"/>
  <c r="AT108" i="3"/>
  <c r="AH108" i="3"/>
  <c r="AM108" i="3"/>
  <c r="AS108" i="3"/>
  <c r="AL108" i="3"/>
  <c r="AX108" i="3" s="1"/>
  <c r="AP108" i="3"/>
  <c r="AN108" i="3"/>
  <c r="AI108" i="3"/>
  <c r="AJ108" i="3"/>
  <c r="AW108" i="3"/>
  <c r="AR108" i="3"/>
  <c r="AQ108" i="3"/>
  <c r="AV108" i="3"/>
  <c r="AG108" i="3"/>
  <c r="AK108" i="3"/>
  <c r="BF91" i="3" l="1"/>
  <c r="BQ91" i="3" s="1"/>
  <c r="AA109" i="3"/>
  <c r="AC109" i="3"/>
  <c r="AB109" i="3"/>
  <c r="AD109" i="3"/>
  <c r="Z109" i="3"/>
  <c r="Y109" i="3"/>
  <c r="BT91" i="3" l="1"/>
  <c r="BV91" i="3"/>
  <c r="BJ91" i="3"/>
  <c r="BP91" i="3"/>
  <c r="BU91" i="3"/>
  <c r="BH91" i="3"/>
  <c r="BK91" i="3"/>
  <c r="BG91" i="3"/>
  <c r="BL91" i="3"/>
  <c r="BM91" i="3"/>
  <c r="BO91" i="3"/>
  <c r="BN91" i="3"/>
  <c r="BS91" i="3"/>
  <c r="BR91" i="3"/>
  <c r="AE109" i="3"/>
  <c r="AT109" i="3" s="1"/>
  <c r="BE92" i="3" l="1"/>
  <c r="AZ92" i="3"/>
  <c r="BC92" i="3"/>
  <c r="BB92" i="3"/>
  <c r="BA92" i="3"/>
  <c r="AY92" i="3"/>
  <c r="BD92" i="3"/>
  <c r="AW109" i="3"/>
  <c r="AG109" i="3"/>
  <c r="AV109" i="3"/>
  <c r="AM109" i="3"/>
  <c r="AO109" i="3"/>
  <c r="AS109" i="3"/>
  <c r="AQ109" i="3"/>
  <c r="AJ109" i="3"/>
  <c r="AN109" i="3"/>
  <c r="Z110" i="3" s="1"/>
  <c r="AU109" i="3"/>
  <c r="AH109" i="3"/>
  <c r="AP109" i="3"/>
  <c r="AR109" i="3"/>
  <c r="AK109" i="3"/>
  <c r="AI109" i="3"/>
  <c r="AL109" i="3"/>
  <c r="AX109" i="3" s="1"/>
  <c r="BF92" i="3" l="1"/>
  <c r="BG92" i="3" s="1"/>
  <c r="AA110" i="3"/>
  <c r="AC110" i="3"/>
  <c r="AB110" i="3"/>
  <c r="AD110" i="3"/>
  <c r="Y110" i="3"/>
  <c r="BH92" i="3" l="1"/>
  <c r="BV92" i="3"/>
  <c r="BE93" i="3" s="1"/>
  <c r="BN92" i="3"/>
  <c r="BR92" i="3"/>
  <c r="BP92" i="3"/>
  <c r="BJ92" i="3"/>
  <c r="BO92" i="3"/>
  <c r="BK92" i="3"/>
  <c r="BT92" i="3"/>
  <c r="BC93" i="3" s="1"/>
  <c r="BS92" i="3"/>
  <c r="BB93" i="3" s="1"/>
  <c r="BU92" i="3"/>
  <c r="BD93" i="3" s="1"/>
  <c r="BM92" i="3"/>
  <c r="BL92" i="3"/>
  <c r="BQ92" i="3"/>
  <c r="AZ93" i="3" s="1"/>
  <c r="AY93" i="3"/>
  <c r="BA93" i="3"/>
  <c r="AE110" i="3"/>
  <c r="AJ110" i="3" s="1"/>
  <c r="BF93" i="3" l="1"/>
  <c r="BM93" i="3" s="1"/>
  <c r="AG110" i="3"/>
  <c r="AL110" i="3"/>
  <c r="AX110" i="3" s="1"/>
  <c r="AV110" i="3"/>
  <c r="AW110" i="3"/>
  <c r="AM110" i="3"/>
  <c r="AP110" i="3"/>
  <c r="AU110" i="3"/>
  <c r="AT110" i="3"/>
  <c r="AS110" i="3"/>
  <c r="AN110" i="3"/>
  <c r="AK110" i="3"/>
  <c r="AR110" i="3"/>
  <c r="AI110" i="3"/>
  <c r="AH110" i="3"/>
  <c r="AO110" i="3"/>
  <c r="AQ110" i="3"/>
  <c r="BH93" i="3" l="1"/>
  <c r="BQ93" i="3"/>
  <c r="BO93" i="3"/>
  <c r="BG93" i="3"/>
  <c r="BU93" i="3"/>
  <c r="BD94" i="3" s="1"/>
  <c r="BN93" i="3"/>
  <c r="BL93" i="3"/>
  <c r="BR93" i="3"/>
  <c r="BS93" i="3"/>
  <c r="BP93" i="3"/>
  <c r="BT93" i="3"/>
  <c r="BK93" i="3"/>
  <c r="BV93" i="3"/>
  <c r="BE94" i="3" s="1"/>
  <c r="BJ93" i="3"/>
  <c r="AA111" i="3"/>
  <c r="AC111" i="3"/>
  <c r="Y111" i="3"/>
  <c r="AB111" i="3"/>
  <c r="AD111" i="3"/>
  <c r="Z111" i="3"/>
  <c r="AZ94" i="3" l="1"/>
  <c r="BB94" i="3"/>
  <c r="AY94" i="3"/>
  <c r="BA94" i="3"/>
  <c r="BC94" i="3"/>
  <c r="AE111" i="3"/>
  <c r="AU111" i="3" s="1"/>
  <c r="BF94" i="3" l="1"/>
  <c r="BM94" i="3" s="1"/>
  <c r="AV111" i="3"/>
  <c r="AI111" i="3"/>
  <c r="AR111" i="3"/>
  <c r="AJ111" i="3"/>
  <c r="AT111" i="3"/>
  <c r="AS111" i="3"/>
  <c r="AH111" i="3"/>
  <c r="AK111" i="3"/>
  <c r="AO111" i="3"/>
  <c r="AA112" i="3" s="1"/>
  <c r="AN111" i="3"/>
  <c r="AG111" i="3"/>
  <c r="AQ111" i="3"/>
  <c r="AW111" i="3"/>
  <c r="AM111" i="3"/>
  <c r="AL111" i="3"/>
  <c r="AX111" i="3" s="1"/>
  <c r="AP111" i="3"/>
  <c r="BV94" i="3" l="1"/>
  <c r="BS94" i="3"/>
  <c r="BQ94" i="3"/>
  <c r="BN94" i="3"/>
  <c r="BK94" i="3"/>
  <c r="BJ94" i="3"/>
  <c r="BO94" i="3"/>
  <c r="BR94" i="3"/>
  <c r="BU94" i="3"/>
  <c r="BG94" i="3"/>
  <c r="BH94" i="3"/>
  <c r="BL94" i="3"/>
  <c r="BP94" i="3"/>
  <c r="BT94" i="3"/>
  <c r="AC112" i="3"/>
  <c r="AB112" i="3"/>
  <c r="Y112" i="3"/>
  <c r="AD112" i="3"/>
  <c r="Z112" i="3"/>
  <c r="BB95" i="3" l="1"/>
  <c r="AY95" i="3"/>
  <c r="BA95" i="3"/>
  <c r="BC95" i="3"/>
  <c r="AZ95" i="3"/>
  <c r="BE95" i="3"/>
  <c r="BD95" i="3"/>
  <c r="AE112" i="3"/>
  <c r="AU112" i="3" s="1"/>
  <c r="BF95" i="3" l="1"/>
  <c r="BT95" i="3" s="1"/>
  <c r="AV112" i="3"/>
  <c r="AL112" i="3"/>
  <c r="AX112" i="3" s="1"/>
  <c r="AH112" i="3"/>
  <c r="AG112" i="3"/>
  <c r="AI112" i="3"/>
  <c r="AQ112" i="3"/>
  <c r="AT112" i="3"/>
  <c r="AK112" i="3"/>
  <c r="AN112" i="3"/>
  <c r="AJ112" i="3"/>
  <c r="AP112" i="3"/>
  <c r="AS112" i="3"/>
  <c r="AR112" i="3"/>
  <c r="AM112" i="3"/>
  <c r="AO112" i="3"/>
  <c r="AW112" i="3"/>
  <c r="BG95" i="3" l="1"/>
  <c r="BC96" i="3" s="1"/>
  <c r="BJ95" i="3"/>
  <c r="BH95" i="3"/>
  <c r="BR95" i="3"/>
  <c r="BV95" i="3"/>
  <c r="BN95" i="3"/>
  <c r="BU95" i="3"/>
  <c r="BS95" i="3"/>
  <c r="BK95" i="3"/>
  <c r="BP95" i="3"/>
  <c r="BM95" i="3"/>
  <c r="BL95" i="3"/>
  <c r="BQ95" i="3"/>
  <c r="BO95" i="3"/>
  <c r="AA113" i="3"/>
  <c r="AC113" i="3"/>
  <c r="AB113" i="3"/>
  <c r="AD113" i="3"/>
  <c r="Z113" i="3"/>
  <c r="Y113" i="3"/>
  <c r="BB96" i="3" l="1"/>
  <c r="AZ96" i="3"/>
  <c r="BE96" i="3"/>
  <c r="BD96" i="3"/>
  <c r="BA96" i="3"/>
  <c r="AY96" i="3"/>
  <c r="AE113" i="3"/>
  <c r="AO113" i="3" s="1"/>
  <c r="BF96" i="3" l="1"/>
  <c r="BH96" i="3" s="1"/>
  <c r="AV113" i="3"/>
  <c r="AW113" i="3"/>
  <c r="AK113" i="3"/>
  <c r="AU113" i="3"/>
  <c r="AQ113" i="3"/>
  <c r="AS113" i="3"/>
  <c r="AI113" i="3"/>
  <c r="AP113" i="3"/>
  <c r="AT113" i="3"/>
  <c r="AN113" i="3"/>
  <c r="AR113" i="3"/>
  <c r="AL113" i="3"/>
  <c r="AX113" i="3" s="1"/>
  <c r="AM113" i="3"/>
  <c r="AH113" i="3"/>
  <c r="AJ113" i="3"/>
  <c r="AG113" i="3"/>
  <c r="BU96" i="3" l="1"/>
  <c r="BP96" i="3"/>
  <c r="BS96" i="3"/>
  <c r="BL96" i="3"/>
  <c r="BV96" i="3"/>
  <c r="BQ96" i="3"/>
  <c r="BM96" i="3"/>
  <c r="BK96" i="3"/>
  <c r="BR96" i="3"/>
  <c r="BJ96" i="3"/>
  <c r="BO96" i="3"/>
  <c r="BT96" i="3"/>
  <c r="BG96" i="3"/>
  <c r="BN96" i="3"/>
  <c r="AA114" i="3"/>
  <c r="AC114" i="3"/>
  <c r="AB114" i="3"/>
  <c r="AD114" i="3"/>
  <c r="Y114" i="3"/>
  <c r="Z114" i="3"/>
  <c r="AZ97" i="3" l="1"/>
  <c r="BE97" i="3"/>
  <c r="BD97" i="3"/>
  <c r="BA97" i="3"/>
  <c r="AY97" i="3"/>
  <c r="BC97" i="3"/>
  <c r="BB97" i="3"/>
  <c r="AE114" i="3"/>
  <c r="AU114" i="3" s="1"/>
  <c r="BF97" i="3" l="1"/>
  <c r="BH97" i="3" s="1"/>
  <c r="AR114" i="3"/>
  <c r="AG114" i="3"/>
  <c r="AK114" i="3"/>
  <c r="AJ114" i="3"/>
  <c r="AN114" i="3"/>
  <c r="AT114" i="3"/>
  <c r="AI114" i="3"/>
  <c r="AP114" i="3"/>
  <c r="AH114" i="3"/>
  <c r="AO114" i="3"/>
  <c r="AL114" i="3"/>
  <c r="AX114" i="3" s="1"/>
  <c r="AW114" i="3"/>
  <c r="AQ114" i="3"/>
  <c r="AM114" i="3"/>
  <c r="AS114" i="3"/>
  <c r="AV114" i="3"/>
  <c r="BG97" i="3" l="1"/>
  <c r="BP97" i="3"/>
  <c r="BV97" i="3"/>
  <c r="BM97" i="3"/>
  <c r="BL97" i="3"/>
  <c r="BJ97" i="3"/>
  <c r="BR97" i="3"/>
  <c r="BQ97" i="3"/>
  <c r="BK97" i="3"/>
  <c r="BS97" i="3"/>
  <c r="BU97" i="3"/>
  <c r="BN97" i="3"/>
  <c r="BT97" i="3"/>
  <c r="BO97" i="3"/>
  <c r="AA115" i="3"/>
  <c r="AC115" i="3"/>
  <c r="AB115" i="3"/>
  <c r="AD115" i="3"/>
  <c r="Z115" i="3"/>
  <c r="Y115" i="3"/>
  <c r="BA98" i="3" l="1"/>
  <c r="BD98" i="3"/>
  <c r="BE98" i="3"/>
  <c r="AZ98" i="3"/>
  <c r="BC98" i="3"/>
  <c r="BB98" i="3"/>
  <c r="AY98" i="3"/>
  <c r="AE115" i="3"/>
  <c r="AU115" i="3" s="1"/>
  <c r="BF98" i="3" l="1"/>
  <c r="BM98" i="3" s="1"/>
  <c r="AS115" i="3"/>
  <c r="AP115" i="3"/>
  <c r="AL115" i="3"/>
  <c r="AX115" i="3" s="1"/>
  <c r="AJ115" i="3"/>
  <c r="AI115" i="3"/>
  <c r="AH115" i="3"/>
  <c r="AR115" i="3"/>
  <c r="AW115" i="3"/>
  <c r="AG115" i="3"/>
  <c r="AQ115" i="3"/>
  <c r="AM115" i="3"/>
  <c r="AO115" i="3"/>
  <c r="AT115" i="3"/>
  <c r="AV115" i="3"/>
  <c r="AK115" i="3"/>
  <c r="AN115" i="3"/>
  <c r="BH98" i="3" l="1"/>
  <c r="BQ98" i="3"/>
  <c r="BS98" i="3"/>
  <c r="BR98" i="3"/>
  <c r="BK98" i="3"/>
  <c r="BP98" i="3"/>
  <c r="BT98" i="3"/>
  <c r="BV98" i="3"/>
  <c r="BL98" i="3"/>
  <c r="BN98" i="3"/>
  <c r="BO98" i="3"/>
  <c r="BU98" i="3"/>
  <c r="BJ98" i="3"/>
  <c r="BG98" i="3"/>
  <c r="AA116" i="3"/>
  <c r="AC116" i="3"/>
  <c r="AB116" i="3"/>
  <c r="AD116" i="3"/>
  <c r="Z116" i="3"/>
  <c r="Y116" i="3"/>
  <c r="BE99" i="3" l="1"/>
  <c r="BC99" i="3"/>
  <c r="AZ99" i="3"/>
  <c r="BA99" i="3"/>
  <c r="BD99" i="3"/>
  <c r="AY99" i="3"/>
  <c r="BB99" i="3"/>
  <c r="AE116" i="3"/>
  <c r="AO116" i="3" s="1"/>
  <c r="BF99" i="3" l="1"/>
  <c r="BL99" i="3" s="1"/>
  <c r="AU116" i="3"/>
  <c r="AR116" i="3"/>
  <c r="AG116" i="3"/>
  <c r="AM116" i="3"/>
  <c r="AL116" i="3"/>
  <c r="AX116" i="3" s="1"/>
  <c r="AJ116" i="3"/>
  <c r="AI116" i="3"/>
  <c r="AN116" i="3"/>
  <c r="AQ116" i="3"/>
  <c r="AK116" i="3"/>
  <c r="AV116" i="3"/>
  <c r="AH116" i="3"/>
  <c r="AT116" i="3"/>
  <c r="AW116" i="3"/>
  <c r="AP116" i="3"/>
  <c r="AS116" i="3"/>
  <c r="BG99" i="3" l="1"/>
  <c r="BH99" i="3"/>
  <c r="BQ99" i="3"/>
  <c r="BK99" i="3"/>
  <c r="BM99" i="3"/>
  <c r="BR99" i="3"/>
  <c r="BT99" i="3"/>
  <c r="BV99" i="3"/>
  <c r="BN99" i="3"/>
  <c r="BO99" i="3"/>
  <c r="BU99" i="3"/>
  <c r="BS99" i="3"/>
  <c r="BP99" i="3"/>
  <c r="BJ99" i="3"/>
  <c r="AA117" i="3"/>
  <c r="AC117" i="3"/>
  <c r="AB117" i="3"/>
  <c r="AD117" i="3"/>
  <c r="Z117" i="3"/>
  <c r="Y117" i="3"/>
  <c r="BE100" i="3" l="1"/>
  <c r="BD100" i="3"/>
  <c r="BA100" i="3"/>
  <c r="BC100" i="3"/>
  <c r="BB100" i="3"/>
  <c r="AZ100" i="3"/>
  <c r="AY100" i="3"/>
  <c r="AE117" i="3"/>
  <c r="AK117" i="3" s="1"/>
  <c r="BF100" i="3" l="1"/>
  <c r="BL100" i="3" s="1"/>
  <c r="AU117" i="3"/>
  <c r="AQ117" i="3"/>
  <c r="AW117" i="3"/>
  <c r="AM117" i="3"/>
  <c r="AO117" i="3"/>
  <c r="AL117" i="3"/>
  <c r="AX117" i="3" s="1"/>
  <c r="AP117" i="3"/>
  <c r="AS117" i="3"/>
  <c r="AN117" i="3"/>
  <c r="AH117" i="3"/>
  <c r="AR117" i="3"/>
  <c r="AI117" i="3"/>
  <c r="AT117" i="3"/>
  <c r="AV117" i="3"/>
  <c r="AJ117" i="3"/>
  <c r="AG117" i="3"/>
  <c r="BH100" i="3" l="1"/>
  <c r="BK100" i="3"/>
  <c r="BU100" i="3"/>
  <c r="BN100" i="3"/>
  <c r="BS100" i="3"/>
  <c r="BP100" i="3"/>
  <c r="BT100" i="3"/>
  <c r="BO100" i="3"/>
  <c r="BV100" i="3"/>
  <c r="BM100" i="3"/>
  <c r="BR100" i="3"/>
  <c r="BJ100" i="3"/>
  <c r="BQ100" i="3"/>
  <c r="BG100" i="3"/>
  <c r="AA118" i="3"/>
  <c r="AC118" i="3"/>
  <c r="AB118" i="3"/>
  <c r="Z118" i="3"/>
  <c r="AD118" i="3"/>
  <c r="Y118" i="3"/>
  <c r="BE101" i="3" l="1"/>
  <c r="BD101" i="3"/>
  <c r="BC101" i="3"/>
  <c r="BB101" i="3"/>
  <c r="AY101" i="3"/>
  <c r="AZ101" i="3"/>
  <c r="BA101" i="3"/>
  <c r="AE118" i="3"/>
  <c r="AU118" i="3" s="1"/>
  <c r="BF101" i="3" l="1"/>
  <c r="BV101" i="3" s="1"/>
  <c r="AW118" i="3"/>
  <c r="AG118" i="3"/>
  <c r="AO118" i="3"/>
  <c r="AJ118" i="3"/>
  <c r="AM118" i="3"/>
  <c r="AL118" i="3"/>
  <c r="AX118" i="3" s="1"/>
  <c r="AV118" i="3"/>
  <c r="AK118" i="3"/>
  <c r="AN118" i="3"/>
  <c r="AS118" i="3"/>
  <c r="AI118" i="3"/>
  <c r="AT118" i="3"/>
  <c r="AQ118" i="3"/>
  <c r="AR118" i="3"/>
  <c r="AH118" i="3"/>
  <c r="AP118" i="3"/>
  <c r="BL101" i="3" l="1"/>
  <c r="BG101" i="3"/>
  <c r="BE102" i="3" s="1"/>
  <c r="BK101" i="3"/>
  <c r="BM101" i="3"/>
  <c r="BJ101" i="3"/>
  <c r="BO101" i="3"/>
  <c r="BT101" i="3"/>
  <c r="BQ101" i="3"/>
  <c r="AZ102" i="3" s="1"/>
  <c r="BU101" i="3"/>
  <c r="BR101" i="3"/>
  <c r="BA102" i="3" s="1"/>
  <c r="BP101" i="3"/>
  <c r="BN101" i="3"/>
  <c r="BS101" i="3"/>
  <c r="BB102" i="3" s="1"/>
  <c r="BH101" i="3"/>
  <c r="AD119" i="3"/>
  <c r="AC119" i="3"/>
  <c r="AA119" i="3"/>
  <c r="AB119" i="3"/>
  <c r="Z119" i="3"/>
  <c r="Y119" i="3"/>
  <c r="BC102" i="3" l="1"/>
  <c r="AY102" i="3"/>
  <c r="BD102" i="3"/>
  <c r="AE119" i="3"/>
  <c r="AU119" i="3" s="1"/>
  <c r="BF102" i="3" l="1"/>
  <c r="BJ102" i="3" s="1"/>
  <c r="AV119" i="3"/>
  <c r="AQ119" i="3"/>
  <c r="AG119" i="3"/>
  <c r="AS119" i="3"/>
  <c r="AO119" i="3"/>
  <c r="AK119" i="3"/>
  <c r="AW119" i="3"/>
  <c r="AJ119" i="3"/>
  <c r="AH119" i="3"/>
  <c r="AR119" i="3"/>
  <c r="AL119" i="3"/>
  <c r="AX119" i="3" s="1"/>
  <c r="AP119" i="3"/>
  <c r="AM119" i="3"/>
  <c r="AN119" i="3"/>
  <c r="AI119" i="3"/>
  <c r="AT119" i="3"/>
  <c r="BH102" i="3" l="1"/>
  <c r="BT102" i="3"/>
  <c r="BK102" i="3"/>
  <c r="BN102" i="3"/>
  <c r="BS102" i="3"/>
  <c r="BP102" i="3"/>
  <c r="BQ102" i="3"/>
  <c r="BR102" i="3"/>
  <c r="BU102" i="3"/>
  <c r="BG102" i="3"/>
  <c r="BO102" i="3"/>
  <c r="BL102" i="3"/>
  <c r="BM102" i="3"/>
  <c r="BV102" i="3"/>
  <c r="AA120" i="3"/>
  <c r="AC120" i="3"/>
  <c r="AB120" i="3"/>
  <c r="AD120" i="3"/>
  <c r="Y120" i="3"/>
  <c r="Z120" i="3"/>
  <c r="BC103" i="3" l="1"/>
  <c r="BE103" i="3"/>
  <c r="BD103" i="3"/>
  <c r="AY103" i="3"/>
  <c r="AZ103" i="3"/>
  <c r="BB103" i="3"/>
  <c r="BA103" i="3"/>
  <c r="AE120" i="3"/>
  <c r="AU120" i="3" s="1"/>
  <c r="BF103" i="3" l="1"/>
  <c r="BM103" i="3" s="1"/>
  <c r="AS120" i="3"/>
  <c r="AW120" i="3"/>
  <c r="AK120" i="3"/>
  <c r="AR120" i="3"/>
  <c r="AJ120" i="3"/>
  <c r="AI120" i="3"/>
  <c r="AN120" i="3"/>
  <c r="AH120" i="3"/>
  <c r="AV120" i="3"/>
  <c r="AT120" i="3"/>
  <c r="AP120" i="3"/>
  <c r="AO120" i="3"/>
  <c r="AQ120" i="3"/>
  <c r="AM120" i="3"/>
  <c r="AG120" i="3"/>
  <c r="AL120" i="3"/>
  <c r="AX120" i="3" s="1"/>
  <c r="BG103" i="3" l="1"/>
  <c r="BL103" i="3"/>
  <c r="BV103" i="3"/>
  <c r="BU103" i="3"/>
  <c r="BQ103" i="3"/>
  <c r="BR103" i="3"/>
  <c r="BP103" i="3"/>
  <c r="BS103" i="3"/>
  <c r="BJ103" i="3"/>
  <c r="BN103" i="3"/>
  <c r="BK103" i="3"/>
  <c r="BH103" i="3"/>
  <c r="BO103" i="3"/>
  <c r="BT103" i="3"/>
  <c r="AA121" i="3"/>
  <c r="AC121" i="3"/>
  <c r="AB121" i="3"/>
  <c r="AD121" i="3"/>
  <c r="Y121" i="3"/>
  <c r="Z121" i="3"/>
  <c r="AZ104" i="3" l="1"/>
  <c r="BA104" i="3"/>
  <c r="BD104" i="3"/>
  <c r="AY104" i="3"/>
  <c r="BB104" i="3"/>
  <c r="BC104" i="3"/>
  <c r="BE104" i="3"/>
  <c r="AE121" i="3"/>
  <c r="AU121" i="3" s="1"/>
  <c r="BF104" i="3" l="1"/>
  <c r="BL104" i="3" s="1"/>
  <c r="AR121" i="3"/>
  <c r="AV121" i="3"/>
  <c r="AW121" i="3"/>
  <c r="AT121" i="3"/>
  <c r="AQ121" i="3"/>
  <c r="AN121" i="3"/>
  <c r="AO121" i="3"/>
  <c r="AH121" i="3"/>
  <c r="AJ121" i="3"/>
  <c r="AG121" i="3"/>
  <c r="AK121" i="3"/>
  <c r="AP121" i="3"/>
  <c r="AL121" i="3"/>
  <c r="AX121" i="3" s="1"/>
  <c r="AI121" i="3"/>
  <c r="AM121" i="3"/>
  <c r="AS121" i="3"/>
  <c r="BM104" i="3" l="1"/>
  <c r="BQ104" i="3"/>
  <c r="BH104" i="3"/>
  <c r="BT104" i="3"/>
  <c r="BO104" i="3"/>
  <c r="BU104" i="3"/>
  <c r="BV104" i="3"/>
  <c r="BR104" i="3"/>
  <c r="BK104" i="3"/>
  <c r="BG104" i="3"/>
  <c r="BN104" i="3"/>
  <c r="BP104" i="3"/>
  <c r="BS104" i="3"/>
  <c r="BJ104" i="3"/>
  <c r="AD122" i="3"/>
  <c r="AA122" i="3"/>
  <c r="AC122" i="3"/>
  <c r="AB122" i="3"/>
  <c r="Z122" i="3"/>
  <c r="Y122" i="3"/>
  <c r="BA105" i="3" l="1"/>
  <c r="BE105" i="3"/>
  <c r="BC105" i="3"/>
  <c r="BD105" i="3"/>
  <c r="AY105" i="3"/>
  <c r="BB105" i="3"/>
  <c r="AZ105" i="3"/>
  <c r="AE122" i="3"/>
  <c r="AV122" i="3" s="1"/>
  <c r="BF105" i="3" l="1"/>
  <c r="BM105" i="3" s="1"/>
  <c r="AR122" i="3"/>
  <c r="AN122" i="3"/>
  <c r="AG122" i="3"/>
  <c r="AT122" i="3"/>
  <c r="AL122" i="3"/>
  <c r="AX122" i="3" s="1"/>
  <c r="AK122" i="3"/>
  <c r="AS122" i="3"/>
  <c r="AW122" i="3"/>
  <c r="AH122" i="3"/>
  <c r="AI122" i="3"/>
  <c r="AU122" i="3"/>
  <c r="AP122" i="3"/>
  <c r="AQ122" i="3"/>
  <c r="AJ122" i="3"/>
  <c r="AM122" i="3"/>
  <c r="AO122" i="3"/>
  <c r="BS105" i="3" l="1"/>
  <c r="BR105" i="3"/>
  <c r="BU105" i="3"/>
  <c r="BL105" i="3"/>
  <c r="BN105" i="3"/>
  <c r="BT105" i="3"/>
  <c r="BO105" i="3"/>
  <c r="BQ105" i="3"/>
  <c r="BP105" i="3"/>
  <c r="BH105" i="3"/>
  <c r="BJ105" i="3"/>
  <c r="BV105" i="3"/>
  <c r="BK105" i="3"/>
  <c r="BG105" i="3"/>
  <c r="Y123" i="3"/>
  <c r="AA123" i="3"/>
  <c r="AC123" i="3"/>
  <c r="AB123" i="3"/>
  <c r="AD123" i="3"/>
  <c r="Z123" i="3"/>
  <c r="BA106" i="3" l="1"/>
  <c r="BD106" i="3"/>
  <c r="BE106" i="3"/>
  <c r="AY106" i="3"/>
  <c r="AZ106" i="3"/>
  <c r="BB106" i="3"/>
  <c r="BC106" i="3"/>
  <c r="AE123" i="3"/>
  <c r="AW123" i="3" s="1"/>
  <c r="BF106" i="3" l="1"/>
  <c r="BQ106" i="3" s="1"/>
  <c r="AQ123" i="3"/>
  <c r="AC124" i="3" s="1"/>
  <c r="AH123" i="3"/>
  <c r="AM123" i="3"/>
  <c r="AV123" i="3"/>
  <c r="AG123" i="3"/>
  <c r="AO123" i="3"/>
  <c r="AI123" i="3"/>
  <c r="AT123" i="3"/>
  <c r="AP123" i="3"/>
  <c r="AK123" i="3"/>
  <c r="AN123" i="3"/>
  <c r="AR123" i="3"/>
  <c r="AS123" i="3"/>
  <c r="AU123" i="3"/>
  <c r="AJ123" i="3"/>
  <c r="AL123" i="3"/>
  <c r="AX123" i="3" s="1"/>
  <c r="BL106" i="3" l="1"/>
  <c r="BR106" i="3"/>
  <c r="BG106" i="3"/>
  <c r="AZ107" i="3" s="1"/>
  <c r="BJ106" i="3"/>
  <c r="BO106" i="3"/>
  <c r="BM106" i="3"/>
  <c r="BH106" i="3"/>
  <c r="BP106" i="3"/>
  <c r="BT106" i="3"/>
  <c r="BV106" i="3"/>
  <c r="BS106" i="3"/>
  <c r="BU106" i="3"/>
  <c r="BK106" i="3"/>
  <c r="BN106" i="3"/>
  <c r="AA124" i="3"/>
  <c r="AB124" i="3"/>
  <c r="AD124" i="3"/>
  <c r="Z124" i="3"/>
  <c r="Y124" i="3"/>
  <c r="AY107" i="3" l="1"/>
  <c r="BB107" i="3"/>
  <c r="BD107" i="3"/>
  <c r="BC107" i="3"/>
  <c r="BA107" i="3"/>
  <c r="BE107" i="3"/>
  <c r="AE124" i="3"/>
  <c r="AU124" i="3" s="1"/>
  <c r="BF107" i="3" l="1"/>
  <c r="BM107" i="3" s="1"/>
  <c r="AW124" i="3"/>
  <c r="AN124" i="3"/>
  <c r="AO124" i="3"/>
  <c r="AT124" i="3"/>
  <c r="AG124" i="3"/>
  <c r="AI124" i="3"/>
  <c r="AJ124" i="3"/>
  <c r="AV124" i="3"/>
  <c r="AK124" i="3"/>
  <c r="AS124" i="3"/>
  <c r="AH124" i="3"/>
  <c r="AL124" i="3"/>
  <c r="AX124" i="3" s="1"/>
  <c r="AR124" i="3"/>
  <c r="AQ124" i="3"/>
  <c r="AM124" i="3"/>
  <c r="AP124" i="3"/>
  <c r="BU107" i="3" l="1"/>
  <c r="BP107" i="3"/>
  <c r="BQ107" i="3"/>
  <c r="BL107" i="3"/>
  <c r="BN107" i="3"/>
  <c r="BS107" i="3"/>
  <c r="BK107" i="3"/>
  <c r="BO107" i="3"/>
  <c r="BJ107" i="3"/>
  <c r="BH107" i="3"/>
  <c r="BR107" i="3"/>
  <c r="BV107" i="3"/>
  <c r="BG107" i="3"/>
  <c r="AZ108" i="3" s="1"/>
  <c r="BT107" i="3"/>
  <c r="AA125" i="3"/>
  <c r="AC125" i="3"/>
  <c r="AD125" i="3"/>
  <c r="AB125" i="3"/>
  <c r="Z125" i="3"/>
  <c r="Y125" i="3"/>
  <c r="BC108" i="3" l="1"/>
  <c r="AY108" i="3"/>
  <c r="BB108" i="3"/>
  <c r="BE108" i="3"/>
  <c r="BA108" i="3"/>
  <c r="BD108" i="3"/>
  <c r="AE125" i="3"/>
  <c r="AT125" i="3" s="1"/>
  <c r="BF108" i="3" l="1"/>
  <c r="BJ108" i="3" s="1"/>
  <c r="AU125" i="3"/>
  <c r="AV125" i="3"/>
  <c r="AH125" i="3"/>
  <c r="AN125" i="3"/>
  <c r="Z126" i="3" s="1"/>
  <c r="AR125" i="3"/>
  <c r="AK125" i="3"/>
  <c r="AS125" i="3"/>
  <c r="AG125" i="3"/>
  <c r="AW125" i="3"/>
  <c r="AQ125" i="3"/>
  <c r="AP125" i="3"/>
  <c r="AO125" i="3"/>
  <c r="AM125" i="3"/>
  <c r="AI125" i="3"/>
  <c r="AL125" i="3"/>
  <c r="AX125" i="3" s="1"/>
  <c r="AJ125" i="3"/>
  <c r="BP108" i="3" l="1"/>
  <c r="BQ108" i="3"/>
  <c r="BO108" i="3"/>
  <c r="BN108" i="3"/>
  <c r="BG108" i="3"/>
  <c r="AZ109" i="3" s="1"/>
  <c r="BH108" i="3"/>
  <c r="BS108" i="3"/>
  <c r="BB109" i="3" s="1"/>
  <c r="BR108" i="3"/>
  <c r="BA109" i="3" s="1"/>
  <c r="BT108" i="3"/>
  <c r="BU108" i="3"/>
  <c r="BL108" i="3"/>
  <c r="BK108" i="3"/>
  <c r="BM108" i="3"/>
  <c r="BV108" i="3"/>
  <c r="BE109" i="3" s="1"/>
  <c r="AA126" i="3"/>
  <c r="AC126" i="3"/>
  <c r="AD126" i="3"/>
  <c r="AB126" i="3"/>
  <c r="Y126" i="3"/>
  <c r="BC109" i="3" l="1"/>
  <c r="BD109" i="3"/>
  <c r="AY109" i="3"/>
  <c r="AE126" i="3"/>
  <c r="AN126" i="3" s="1"/>
  <c r="BF109" i="3" l="1"/>
  <c r="BO109" i="3" s="1"/>
  <c r="AV126" i="3"/>
  <c r="AW126" i="3"/>
  <c r="AM126" i="3"/>
  <c r="AO126" i="3"/>
  <c r="AP126" i="3"/>
  <c r="AT126" i="3"/>
  <c r="Z127" i="3" s="1"/>
  <c r="AS126" i="3"/>
  <c r="AK126" i="3"/>
  <c r="AL126" i="3"/>
  <c r="AX126" i="3" s="1"/>
  <c r="AR126" i="3"/>
  <c r="AU126" i="3"/>
  <c r="AQ126" i="3"/>
  <c r="AJ126" i="3"/>
  <c r="AG126" i="3"/>
  <c r="AH126" i="3"/>
  <c r="AI126" i="3"/>
  <c r="AA127" i="3" l="1"/>
  <c r="BT109" i="3"/>
  <c r="BL109" i="3"/>
  <c r="BU109" i="3"/>
  <c r="BH109" i="3"/>
  <c r="BM109" i="3"/>
  <c r="BK109" i="3"/>
  <c r="BN109" i="3"/>
  <c r="BR109" i="3"/>
  <c r="BQ109" i="3"/>
  <c r="BP109" i="3"/>
  <c r="BV109" i="3"/>
  <c r="BG109" i="3"/>
  <c r="BS109" i="3"/>
  <c r="BB110" i="3" s="1"/>
  <c r="BJ109" i="3"/>
  <c r="AD127" i="3"/>
  <c r="AC127" i="3"/>
  <c r="AB127" i="3"/>
  <c r="Y127" i="3"/>
  <c r="BA110" i="3" l="1"/>
  <c r="BC110" i="3"/>
  <c r="AZ110" i="3"/>
  <c r="AY110" i="3"/>
  <c r="BE110" i="3"/>
  <c r="BD110" i="3"/>
  <c r="AE127" i="3"/>
  <c r="AU127" i="3" s="1"/>
  <c r="BF110" i="3" l="1"/>
  <c r="BG110" i="3" s="1"/>
  <c r="AT127" i="3"/>
  <c r="AV127" i="3"/>
  <c r="AM127" i="3"/>
  <c r="AL127" i="3"/>
  <c r="AX127" i="3" s="1"/>
  <c r="AQ127" i="3"/>
  <c r="AI127" i="3"/>
  <c r="AR127" i="3"/>
  <c r="AO127" i="3"/>
  <c r="AS127" i="3"/>
  <c r="AP127" i="3"/>
  <c r="AK127" i="3"/>
  <c r="AW127" i="3"/>
  <c r="AN127" i="3"/>
  <c r="AJ127" i="3"/>
  <c r="AG127" i="3"/>
  <c r="AH127" i="3"/>
  <c r="BP110" i="3" l="1"/>
  <c r="AY111" i="3" s="1"/>
  <c r="BS110" i="3"/>
  <c r="BB111" i="3" s="1"/>
  <c r="BN110" i="3"/>
  <c r="BR110" i="3"/>
  <c r="BA111" i="3" s="1"/>
  <c r="BT110" i="3"/>
  <c r="BC111" i="3" s="1"/>
  <c r="BM110" i="3"/>
  <c r="BH110" i="3"/>
  <c r="BO110" i="3"/>
  <c r="BJ110" i="3"/>
  <c r="BL110" i="3"/>
  <c r="BK110" i="3"/>
  <c r="BV110" i="3"/>
  <c r="BE111" i="3" s="1"/>
  <c r="BQ110" i="3"/>
  <c r="AZ111" i="3" s="1"/>
  <c r="BU110" i="3"/>
  <c r="BD111" i="3" s="1"/>
  <c r="AA128" i="3"/>
  <c r="Z128" i="3"/>
  <c r="AC128" i="3"/>
  <c r="AB128" i="3"/>
  <c r="AD128" i="3"/>
  <c r="Y128" i="3"/>
  <c r="BF111" i="3" l="1"/>
  <c r="BT111" i="3" s="1"/>
  <c r="AE128" i="3"/>
  <c r="AT128" i="3" s="1"/>
  <c r="BP111" i="3" l="1"/>
  <c r="BH111" i="3"/>
  <c r="BV111" i="3"/>
  <c r="BE112" i="3" s="1"/>
  <c r="BQ111" i="3"/>
  <c r="AZ112" i="3" s="1"/>
  <c r="BU111" i="3"/>
  <c r="BD112" i="3" s="1"/>
  <c r="BK111" i="3"/>
  <c r="BR111" i="3"/>
  <c r="BA112" i="3" s="1"/>
  <c r="BN111" i="3"/>
  <c r="BO111" i="3"/>
  <c r="BG111" i="3"/>
  <c r="BC112" i="3" s="1"/>
  <c r="BS111" i="3"/>
  <c r="BM111" i="3"/>
  <c r="BL111" i="3"/>
  <c r="BB112" i="3"/>
  <c r="BJ111" i="3"/>
  <c r="AG128" i="3"/>
  <c r="AW128" i="3"/>
  <c r="AN128" i="3"/>
  <c r="Z129" i="3" s="1"/>
  <c r="AQ128" i="3"/>
  <c r="AK128" i="3"/>
  <c r="AS128" i="3"/>
  <c r="AM128" i="3"/>
  <c r="AP128" i="3"/>
  <c r="AO128" i="3"/>
  <c r="AI128" i="3"/>
  <c r="AU128" i="3"/>
  <c r="AR128" i="3"/>
  <c r="AL128" i="3"/>
  <c r="AX128" i="3" s="1"/>
  <c r="AJ128" i="3"/>
  <c r="AH128" i="3"/>
  <c r="AV128" i="3"/>
  <c r="AY112" i="3" l="1"/>
  <c r="BF112" i="3" s="1"/>
  <c r="AA129" i="3"/>
  <c r="AD129" i="3"/>
  <c r="AC129" i="3"/>
  <c r="AB129" i="3"/>
  <c r="Y129" i="3"/>
  <c r="BJ112" i="3" l="1"/>
  <c r="BP112" i="3"/>
  <c r="BH112" i="3"/>
  <c r="BN112" i="3"/>
  <c r="BL112" i="3"/>
  <c r="BK112" i="3"/>
  <c r="BQ112" i="3"/>
  <c r="AZ113" i="3" s="1"/>
  <c r="BT112" i="3"/>
  <c r="BC113" i="3" s="1"/>
  <c r="BR112" i="3"/>
  <c r="BV112" i="3"/>
  <c r="BO112" i="3"/>
  <c r="BG112" i="3"/>
  <c r="AY113" i="3" s="1"/>
  <c r="BU112" i="3"/>
  <c r="BD113" i="3" s="1"/>
  <c r="BS112" i="3"/>
  <c r="BB113" i="3" s="1"/>
  <c r="BM112" i="3"/>
  <c r="AE129" i="3"/>
  <c r="AN129" i="3" s="1"/>
  <c r="BE113" i="3" l="1"/>
  <c r="BA113" i="3"/>
  <c r="AW129" i="3"/>
  <c r="AQ129" i="3"/>
  <c r="AS129" i="3"/>
  <c r="AT129" i="3"/>
  <c r="Z130" i="3" s="1"/>
  <c r="AH129" i="3"/>
  <c r="AK129" i="3"/>
  <c r="AU129" i="3"/>
  <c r="AG129" i="3"/>
  <c r="AI129" i="3"/>
  <c r="AR129" i="3"/>
  <c r="AO129" i="3"/>
  <c r="AL129" i="3"/>
  <c r="AX129" i="3" s="1"/>
  <c r="AV129" i="3"/>
  <c r="AJ129" i="3"/>
  <c r="AP129" i="3"/>
  <c r="AM129" i="3"/>
  <c r="BF113" i="3" l="1"/>
  <c r="BS113" i="3" s="1"/>
  <c r="AA130" i="3"/>
  <c r="AD130" i="3"/>
  <c r="AC130" i="3"/>
  <c r="AB130" i="3"/>
  <c r="Y130" i="3"/>
  <c r="BR113" i="3" l="1"/>
  <c r="BT113" i="3"/>
  <c r="BL113" i="3"/>
  <c r="BH113" i="3"/>
  <c r="BJ113" i="3"/>
  <c r="BK113" i="3"/>
  <c r="BO113" i="3"/>
  <c r="BG113" i="3"/>
  <c r="BD114" i="3" s="1"/>
  <c r="BN113" i="3"/>
  <c r="BP113" i="3"/>
  <c r="BU113" i="3"/>
  <c r="BM113" i="3"/>
  <c r="BQ113" i="3"/>
  <c r="BV113" i="3"/>
  <c r="AE130" i="3"/>
  <c r="AU130" i="3" s="1"/>
  <c r="BC114" i="3" l="1"/>
  <c r="BE114" i="3"/>
  <c r="AZ114" i="3"/>
  <c r="BA114" i="3"/>
  <c r="BB114" i="3"/>
  <c r="AY114" i="3"/>
  <c r="AH130" i="3"/>
  <c r="AO130" i="3"/>
  <c r="AW130" i="3"/>
  <c r="AV130" i="3"/>
  <c r="AI130" i="3"/>
  <c r="AL130" i="3"/>
  <c r="AX130" i="3" s="1"/>
  <c r="AR130" i="3"/>
  <c r="AJ130" i="3"/>
  <c r="AN130" i="3"/>
  <c r="AP130" i="3"/>
  <c r="AQ130" i="3"/>
  <c r="AT130" i="3"/>
  <c r="AM130" i="3"/>
  <c r="AS130" i="3"/>
  <c r="AG130" i="3"/>
  <c r="AK130" i="3"/>
  <c r="BF114" i="3" l="1"/>
  <c r="BM114" i="3" s="1"/>
  <c r="AA131" i="3"/>
  <c r="AD131" i="3"/>
  <c r="AC131" i="3"/>
  <c r="AB131" i="3"/>
  <c r="Z131" i="3"/>
  <c r="Y131" i="3"/>
  <c r="BK114" i="3" l="1"/>
  <c r="BS114" i="3"/>
  <c r="BJ114" i="3"/>
  <c r="BO114" i="3"/>
  <c r="BV114" i="3"/>
  <c r="BE115" i="3" s="1"/>
  <c r="BR114" i="3"/>
  <c r="BA115" i="3" s="1"/>
  <c r="BQ114" i="3"/>
  <c r="AZ115" i="3" s="1"/>
  <c r="BT114" i="3"/>
  <c r="BC115" i="3" s="1"/>
  <c r="BU114" i="3"/>
  <c r="BG114" i="3"/>
  <c r="BL114" i="3"/>
  <c r="BP114" i="3"/>
  <c r="BN114" i="3"/>
  <c r="BH114" i="3"/>
  <c r="BB115" i="3"/>
  <c r="AY115" i="3"/>
  <c r="AE131" i="3"/>
  <c r="AU131" i="3" s="1"/>
  <c r="BD115" i="3" l="1"/>
  <c r="BF115" i="3" s="1"/>
  <c r="BJ115" i="3" s="1"/>
  <c r="AW131" i="3"/>
  <c r="AH131" i="3"/>
  <c r="AP131" i="3"/>
  <c r="AT131" i="3"/>
  <c r="AK131" i="3"/>
  <c r="AV131" i="3"/>
  <c r="AG131" i="3"/>
  <c r="AM131" i="3"/>
  <c r="AR131" i="3"/>
  <c r="AL131" i="3"/>
  <c r="AX131" i="3" s="1"/>
  <c r="AI131" i="3"/>
  <c r="AQ131" i="3"/>
  <c r="AS131" i="3"/>
  <c r="AJ131" i="3"/>
  <c r="AO131" i="3"/>
  <c r="AN131" i="3"/>
  <c r="AA132" i="3" l="1"/>
  <c r="BU115" i="3"/>
  <c r="BV115" i="3"/>
  <c r="BS115" i="3"/>
  <c r="BQ115" i="3"/>
  <c r="BP115" i="3"/>
  <c r="BG115" i="3"/>
  <c r="BC116" i="3" s="1"/>
  <c r="BN115" i="3"/>
  <c r="BM115" i="3"/>
  <c r="BO115" i="3"/>
  <c r="BL115" i="3"/>
  <c r="BH115" i="3"/>
  <c r="BT115" i="3"/>
  <c r="BK115" i="3"/>
  <c r="BR115" i="3"/>
  <c r="Z132" i="3"/>
  <c r="AC132" i="3"/>
  <c r="AD132" i="3"/>
  <c r="AB132" i="3"/>
  <c r="Y132" i="3"/>
  <c r="BA116" i="3" l="1"/>
  <c r="BD116" i="3"/>
  <c r="AY116" i="3"/>
  <c r="BB116" i="3"/>
  <c r="AZ116" i="3"/>
  <c r="BE116" i="3"/>
  <c r="AE132" i="3"/>
  <c r="AT132" i="3" s="1"/>
  <c r="BF116" i="3" l="1"/>
  <c r="BT116" i="3" s="1"/>
  <c r="AW132" i="3"/>
  <c r="AP132" i="3"/>
  <c r="AU132" i="3"/>
  <c r="AH132" i="3"/>
  <c r="AK132" i="3"/>
  <c r="AL132" i="3"/>
  <c r="AX132" i="3" s="1"/>
  <c r="AS132" i="3"/>
  <c r="AV132" i="3"/>
  <c r="AM132" i="3"/>
  <c r="AN132" i="3"/>
  <c r="Z133" i="3" s="1"/>
  <c r="AR132" i="3"/>
  <c r="AG132" i="3"/>
  <c r="AI132" i="3"/>
  <c r="AO132" i="3"/>
  <c r="AJ132" i="3"/>
  <c r="AQ132" i="3"/>
  <c r="AA133" i="3" l="1"/>
  <c r="BS116" i="3"/>
  <c r="BM116" i="3"/>
  <c r="BO116" i="3"/>
  <c r="BK116" i="3"/>
  <c r="BV116" i="3"/>
  <c r="BP116" i="3"/>
  <c r="BL116" i="3"/>
  <c r="BH116" i="3"/>
  <c r="BR116" i="3"/>
  <c r="BG116" i="3"/>
  <c r="BC117" i="3" s="1"/>
  <c r="BU116" i="3"/>
  <c r="BQ116" i="3"/>
  <c r="BN116" i="3"/>
  <c r="BJ116" i="3"/>
  <c r="AD133" i="3"/>
  <c r="AC133" i="3"/>
  <c r="AB133" i="3"/>
  <c r="Y133" i="3"/>
  <c r="BE117" i="3" l="1"/>
  <c r="AZ117" i="3"/>
  <c r="BD117" i="3"/>
  <c r="BA117" i="3"/>
  <c r="BB117" i="3"/>
  <c r="AY117" i="3"/>
  <c r="AE133" i="3"/>
  <c r="AU133" i="3" s="1"/>
  <c r="BF117" i="3" l="1"/>
  <c r="BJ117" i="3" s="1"/>
  <c r="AW133" i="3"/>
  <c r="AS133" i="3"/>
  <c r="AT133" i="3"/>
  <c r="AL133" i="3"/>
  <c r="AX133" i="3" s="1"/>
  <c r="AN133" i="3"/>
  <c r="AK133" i="3"/>
  <c r="AI133" i="3"/>
  <c r="AO133" i="3"/>
  <c r="AA134" i="3" s="1"/>
  <c r="AJ133" i="3"/>
  <c r="AH133" i="3"/>
  <c r="AQ133" i="3"/>
  <c r="AP133" i="3"/>
  <c r="AM133" i="3"/>
  <c r="AV133" i="3"/>
  <c r="AG133" i="3"/>
  <c r="AR133" i="3"/>
  <c r="AD134" i="3" s="1"/>
  <c r="BG117" i="3" l="1"/>
  <c r="BN117" i="3"/>
  <c r="BT117" i="3"/>
  <c r="BM117" i="3"/>
  <c r="BH117" i="3"/>
  <c r="BR117" i="3"/>
  <c r="BU117" i="3"/>
  <c r="BQ117" i="3"/>
  <c r="BO117" i="3"/>
  <c r="BV117" i="3"/>
  <c r="BK117" i="3"/>
  <c r="BP117" i="3"/>
  <c r="BL117" i="3"/>
  <c r="BS117" i="3"/>
  <c r="AC134" i="3"/>
  <c r="Z134" i="3"/>
  <c r="Y134" i="3"/>
  <c r="AB134" i="3"/>
  <c r="BE118" i="3" l="1"/>
  <c r="BD118" i="3"/>
  <c r="AZ118" i="3"/>
  <c r="BB118" i="3"/>
  <c r="BC118" i="3"/>
  <c r="BA118" i="3"/>
  <c r="AY118" i="3"/>
  <c r="AE134" i="3"/>
  <c r="AI134" i="3" s="1"/>
  <c r="BF118" i="3" l="1"/>
  <c r="BL118" i="3" s="1"/>
  <c r="AV134" i="3"/>
  <c r="AT134" i="3"/>
  <c r="AO134" i="3"/>
  <c r="AA135" i="3" s="1"/>
  <c r="AP134" i="3"/>
  <c r="AQ134" i="3"/>
  <c r="AN134" i="3"/>
  <c r="AM134" i="3"/>
  <c r="AU134" i="3"/>
  <c r="AR134" i="3"/>
  <c r="AJ134" i="3"/>
  <c r="AG134" i="3"/>
  <c r="AK134" i="3"/>
  <c r="AH134" i="3"/>
  <c r="AW134" i="3"/>
  <c r="AS134" i="3"/>
  <c r="AL134" i="3"/>
  <c r="AX134" i="3" s="1"/>
  <c r="BG118" i="3" l="1"/>
  <c r="BV118" i="3"/>
  <c r="BM118" i="3"/>
  <c r="BR118" i="3"/>
  <c r="BU118" i="3"/>
  <c r="BT118" i="3"/>
  <c r="BP118" i="3"/>
  <c r="BK118" i="3"/>
  <c r="BO118" i="3"/>
  <c r="BN118" i="3"/>
  <c r="BS118" i="3"/>
  <c r="BJ118" i="3"/>
  <c r="BH118" i="3"/>
  <c r="BQ118" i="3"/>
  <c r="Z135" i="3"/>
  <c r="AC135" i="3"/>
  <c r="AD135" i="3"/>
  <c r="AB135" i="3"/>
  <c r="Y135" i="3"/>
  <c r="BC119" i="3" l="1"/>
  <c r="BD119" i="3"/>
  <c r="AZ119" i="3"/>
  <c r="BB119" i="3"/>
  <c r="BA119" i="3"/>
  <c r="BE119" i="3"/>
  <c r="AY119" i="3"/>
  <c r="AE135" i="3"/>
  <c r="AK135" i="3" s="1"/>
  <c r="BF119" i="3" l="1"/>
  <c r="BR119" i="3" s="1"/>
  <c r="AI135" i="3"/>
  <c r="AJ135" i="3"/>
  <c r="AL135" i="3"/>
  <c r="AX135" i="3" s="1"/>
  <c r="AR135" i="3"/>
  <c r="AU135" i="3"/>
  <c r="AG135" i="3"/>
  <c r="AN135" i="3"/>
  <c r="AS135" i="3"/>
  <c r="AO135" i="3"/>
  <c r="AA136" i="3" s="1"/>
  <c r="AW135" i="3"/>
  <c r="AT135" i="3"/>
  <c r="AM135" i="3"/>
  <c r="Y136" i="3" s="1"/>
  <c r="AH135" i="3"/>
  <c r="AV135" i="3"/>
  <c r="AQ135" i="3"/>
  <c r="AP135" i="3"/>
  <c r="BK119" i="3" l="1"/>
  <c r="BS119" i="3"/>
  <c r="BN119" i="3"/>
  <c r="BT119" i="3"/>
  <c r="BG119" i="3"/>
  <c r="BA120" i="3" s="1"/>
  <c r="BH119" i="3"/>
  <c r="BU119" i="3"/>
  <c r="BD120" i="3" s="1"/>
  <c r="BQ119" i="3"/>
  <c r="AZ120" i="3" s="1"/>
  <c r="BM119" i="3"/>
  <c r="BO119" i="3"/>
  <c r="BJ119" i="3"/>
  <c r="BP119" i="3"/>
  <c r="BL119" i="3"/>
  <c r="BV119" i="3"/>
  <c r="BE120" i="3" s="1"/>
  <c r="AD136" i="3"/>
  <c r="AC136" i="3"/>
  <c r="AB136" i="3"/>
  <c r="Z136" i="3"/>
  <c r="AY120" i="3" l="1"/>
  <c r="BB120" i="3"/>
  <c r="BC120" i="3"/>
  <c r="AE136" i="3"/>
  <c r="AU136" i="3" s="1"/>
  <c r="BF120" i="3" l="1"/>
  <c r="BG120" i="3" s="1"/>
  <c r="AO136" i="3"/>
  <c r="AA137" i="3" s="1"/>
  <c r="AV136" i="3"/>
  <c r="AW136" i="3"/>
  <c r="AP136" i="3"/>
  <c r="AK136" i="3"/>
  <c r="AJ136" i="3"/>
  <c r="AG136" i="3"/>
  <c r="AL136" i="3"/>
  <c r="AX136" i="3" s="1"/>
  <c r="AM136" i="3"/>
  <c r="AN136" i="3"/>
  <c r="AI136" i="3"/>
  <c r="AS136" i="3"/>
  <c r="AQ136" i="3"/>
  <c r="AR136" i="3"/>
  <c r="AH136" i="3"/>
  <c r="AT136" i="3"/>
  <c r="BM120" i="3" l="1"/>
  <c r="BJ120" i="3"/>
  <c r="BN120" i="3"/>
  <c r="BS120" i="3"/>
  <c r="BB121" i="3" s="1"/>
  <c r="BP120" i="3"/>
  <c r="BR120" i="3"/>
  <c r="BA121" i="3" s="1"/>
  <c r="BQ120" i="3"/>
  <c r="AZ121" i="3" s="1"/>
  <c r="BO120" i="3"/>
  <c r="BK120" i="3"/>
  <c r="BL120" i="3"/>
  <c r="BV120" i="3"/>
  <c r="BE121" i="3" s="1"/>
  <c r="BH120" i="3"/>
  <c r="BT120" i="3"/>
  <c r="BC121" i="3" s="1"/>
  <c r="BU120" i="3"/>
  <c r="BD121" i="3" s="1"/>
  <c r="AC137" i="3"/>
  <c r="AD137" i="3"/>
  <c r="AB137" i="3"/>
  <c r="Z137" i="3"/>
  <c r="Y137" i="3"/>
  <c r="AY121" i="3" l="1"/>
  <c r="BF121" i="3" s="1"/>
  <c r="AE137" i="3"/>
  <c r="AU137" i="3" s="1"/>
  <c r="BL121" i="3" l="1"/>
  <c r="BN121" i="3"/>
  <c r="BV121" i="3"/>
  <c r="BS121" i="3"/>
  <c r="BH121" i="3"/>
  <c r="BM121" i="3"/>
  <c r="BJ121" i="3"/>
  <c r="BQ121" i="3"/>
  <c r="BT121" i="3"/>
  <c r="BK121" i="3"/>
  <c r="BU121" i="3"/>
  <c r="BR121" i="3"/>
  <c r="BP121" i="3"/>
  <c r="BO121" i="3"/>
  <c r="BG121" i="3"/>
  <c r="AN137" i="3"/>
  <c r="AV137" i="3"/>
  <c r="AI137" i="3"/>
  <c r="AO137" i="3"/>
  <c r="AA138" i="3" s="1"/>
  <c r="AL137" i="3"/>
  <c r="AX137" i="3" s="1"/>
  <c r="AT137" i="3"/>
  <c r="AH137" i="3"/>
  <c r="AG137" i="3"/>
  <c r="AQ137" i="3"/>
  <c r="AW137" i="3"/>
  <c r="AK137" i="3"/>
  <c r="AM137" i="3"/>
  <c r="AP137" i="3"/>
  <c r="AS137" i="3"/>
  <c r="AJ137" i="3"/>
  <c r="AR137" i="3"/>
  <c r="BC122" i="3" l="1"/>
  <c r="BD122" i="3"/>
  <c r="BB122" i="3"/>
  <c r="AY122" i="3"/>
  <c r="BE122" i="3"/>
  <c r="AZ122" i="3"/>
  <c r="BA122" i="3"/>
  <c r="AD138" i="3"/>
  <c r="AC138" i="3"/>
  <c r="Z138" i="3"/>
  <c r="AB138" i="3"/>
  <c r="Y138" i="3"/>
  <c r="BF122" i="3" l="1"/>
  <c r="BV122" i="3" s="1"/>
  <c r="AE138" i="3"/>
  <c r="AL138" i="3" s="1"/>
  <c r="AX138" i="3" s="1"/>
  <c r="BN122" i="3" l="1"/>
  <c r="BT122" i="3"/>
  <c r="BU122" i="3"/>
  <c r="BS122" i="3"/>
  <c r="BP122" i="3"/>
  <c r="BL122" i="3"/>
  <c r="BM122" i="3"/>
  <c r="BQ122" i="3"/>
  <c r="BH122" i="3"/>
  <c r="BJ122" i="3"/>
  <c r="BK122" i="3"/>
  <c r="BO122" i="3"/>
  <c r="BG122" i="3"/>
  <c r="BE123" i="3" s="1"/>
  <c r="BR122" i="3"/>
  <c r="AR138" i="3"/>
  <c r="AD139" i="3" s="1"/>
  <c r="AI138" i="3"/>
  <c r="AU138" i="3"/>
  <c r="AP138" i="3"/>
  <c r="AW138" i="3"/>
  <c r="AN138" i="3"/>
  <c r="AT138" i="3"/>
  <c r="AJ138" i="3"/>
  <c r="AQ138" i="3"/>
  <c r="AV138" i="3"/>
  <c r="AG138" i="3"/>
  <c r="AM138" i="3"/>
  <c r="AO138" i="3"/>
  <c r="AA139" i="3" s="1"/>
  <c r="AS138" i="3"/>
  <c r="AH138" i="3"/>
  <c r="AK138" i="3"/>
  <c r="BA123" i="3" l="1"/>
  <c r="AY123" i="3"/>
  <c r="AZ123" i="3"/>
  <c r="BD123" i="3"/>
  <c r="BB123" i="3"/>
  <c r="BC123" i="3"/>
  <c r="AC139" i="3"/>
  <c r="Z139" i="3"/>
  <c r="Y139" i="3"/>
  <c r="AB139" i="3"/>
  <c r="BF123" i="3" l="1"/>
  <c r="BM123" i="3" s="1"/>
  <c r="AE139" i="3"/>
  <c r="AQ139" i="3" s="1"/>
  <c r="BN123" i="3" l="1"/>
  <c r="BQ123" i="3"/>
  <c r="BG123" i="3"/>
  <c r="BK123" i="3"/>
  <c r="BT123" i="3"/>
  <c r="BH123" i="3"/>
  <c r="BR123" i="3"/>
  <c r="BA124" i="3" s="1"/>
  <c r="BJ123" i="3"/>
  <c r="BO123" i="3"/>
  <c r="BS123" i="3"/>
  <c r="BP123" i="3"/>
  <c r="BV123" i="3"/>
  <c r="BE124" i="3" s="1"/>
  <c r="BU123" i="3"/>
  <c r="BD124" i="3" s="1"/>
  <c r="BL123" i="3"/>
  <c r="BC124" i="3"/>
  <c r="AI139" i="3"/>
  <c r="AL139" i="3"/>
  <c r="AX139" i="3" s="1"/>
  <c r="AJ139" i="3"/>
  <c r="AP139" i="3"/>
  <c r="AU139" i="3"/>
  <c r="AG139" i="3"/>
  <c r="AW139" i="3"/>
  <c r="AC140" i="3" s="1"/>
  <c r="AT139" i="3"/>
  <c r="AS139" i="3"/>
  <c r="AV139" i="3"/>
  <c r="AH139" i="3"/>
  <c r="AK139" i="3"/>
  <c r="AR139" i="3"/>
  <c r="AD140" i="3" s="1"/>
  <c r="AO139" i="3"/>
  <c r="AA140" i="3" s="1"/>
  <c r="AN139" i="3"/>
  <c r="AM139" i="3"/>
  <c r="AY124" i="3" l="1"/>
  <c r="BB124" i="3"/>
  <c r="AZ124" i="3"/>
  <c r="Y140" i="3"/>
  <c r="Z140" i="3"/>
  <c r="AB140" i="3"/>
  <c r="BF124" i="3" l="1"/>
  <c r="BU124" i="3" s="1"/>
  <c r="AE140" i="3"/>
  <c r="AU140" i="3" s="1"/>
  <c r="BS124" i="3" l="1"/>
  <c r="BP124" i="3"/>
  <c r="BT124" i="3"/>
  <c r="BO124" i="3"/>
  <c r="BM124" i="3"/>
  <c r="BL124" i="3"/>
  <c r="BH124" i="3"/>
  <c r="BQ124" i="3"/>
  <c r="BN124" i="3"/>
  <c r="BG124" i="3"/>
  <c r="BD125" i="3" s="1"/>
  <c r="BV124" i="3"/>
  <c r="BR124" i="3"/>
  <c r="BK124" i="3"/>
  <c r="BJ124" i="3"/>
  <c r="AG140" i="3"/>
  <c r="AQ140" i="3"/>
  <c r="AH140" i="3"/>
  <c r="AK140" i="3"/>
  <c r="AW140" i="3"/>
  <c r="AV140" i="3"/>
  <c r="AI140" i="3"/>
  <c r="AS140" i="3"/>
  <c r="AO140" i="3"/>
  <c r="AA141" i="3" s="1"/>
  <c r="AL140" i="3"/>
  <c r="AX140" i="3" s="1"/>
  <c r="AN140" i="3"/>
  <c r="AJ140" i="3"/>
  <c r="AP140" i="3"/>
  <c r="AR140" i="3"/>
  <c r="AM140" i="3"/>
  <c r="AT140" i="3"/>
  <c r="BA125" i="3" l="1"/>
  <c r="AY125" i="3"/>
  <c r="AZ125" i="3"/>
  <c r="BE125" i="3"/>
  <c r="BB125" i="3"/>
  <c r="BC125" i="3"/>
  <c r="AD141" i="3"/>
  <c r="AC141" i="3"/>
  <c r="AB141" i="3"/>
  <c r="Z141" i="3"/>
  <c r="Y141" i="3"/>
  <c r="BF125" i="3" l="1"/>
  <c r="BK125" i="3" s="1"/>
  <c r="AE141" i="3"/>
  <c r="AU141" i="3" s="1"/>
  <c r="BT125" i="3" l="1"/>
  <c r="BG125" i="3"/>
  <c r="BO125" i="3"/>
  <c r="BQ125" i="3"/>
  <c r="BR125" i="3"/>
  <c r="BA126" i="3" s="1"/>
  <c r="BU125" i="3"/>
  <c r="BN125" i="3"/>
  <c r="BP125" i="3"/>
  <c r="AY126" i="3" s="1"/>
  <c r="BH125" i="3"/>
  <c r="BL125" i="3"/>
  <c r="BJ125" i="3"/>
  <c r="BS125" i="3"/>
  <c r="BB126" i="3" s="1"/>
  <c r="BM125" i="3"/>
  <c r="BV125" i="3"/>
  <c r="BE126" i="3" s="1"/>
  <c r="BD126" i="3"/>
  <c r="AR141" i="3"/>
  <c r="AT141" i="3"/>
  <c r="AI141" i="3"/>
  <c r="AK141" i="3"/>
  <c r="AO141" i="3"/>
  <c r="AA142" i="3" s="1"/>
  <c r="AG141" i="3"/>
  <c r="AL141" i="3"/>
  <c r="AX141" i="3" s="1"/>
  <c r="AV141" i="3"/>
  <c r="AJ141" i="3"/>
  <c r="AH141" i="3"/>
  <c r="AS141" i="3"/>
  <c r="AM141" i="3"/>
  <c r="AW141" i="3"/>
  <c r="AN141" i="3"/>
  <c r="Z142" i="3" s="1"/>
  <c r="AP141" i="3"/>
  <c r="AQ141" i="3"/>
  <c r="AZ126" i="3" l="1"/>
  <c r="BC126" i="3"/>
  <c r="AD142" i="3"/>
  <c r="AC142" i="3"/>
  <c r="Y142" i="3"/>
  <c r="AB142" i="3"/>
  <c r="BF126" i="3" l="1"/>
  <c r="BM126" i="3" s="1"/>
  <c r="AE142" i="3"/>
  <c r="AU142" i="3" s="1"/>
  <c r="BK126" i="3" l="1"/>
  <c r="BT126" i="3"/>
  <c r="BH126" i="3"/>
  <c r="BU126" i="3"/>
  <c r="BQ126" i="3"/>
  <c r="AZ127" i="3" s="1"/>
  <c r="BS126" i="3"/>
  <c r="BB127" i="3" s="1"/>
  <c r="BV126" i="3"/>
  <c r="BE127" i="3" s="1"/>
  <c r="BJ126" i="3"/>
  <c r="BR126" i="3"/>
  <c r="BG126" i="3"/>
  <c r="BN126" i="3"/>
  <c r="BL126" i="3"/>
  <c r="BP126" i="3"/>
  <c r="BO126" i="3"/>
  <c r="AY127" i="3"/>
  <c r="AM142" i="3"/>
  <c r="AW142" i="3"/>
  <c r="AI142" i="3"/>
  <c r="AL142" i="3"/>
  <c r="AT142" i="3"/>
  <c r="AS142" i="3"/>
  <c r="AO142" i="3"/>
  <c r="AA143" i="3" s="1"/>
  <c r="AR142" i="3"/>
  <c r="AN142" i="3"/>
  <c r="AV142" i="3"/>
  <c r="AP142" i="3"/>
  <c r="AX142" i="3"/>
  <c r="AG142" i="3"/>
  <c r="AH142" i="3"/>
  <c r="AK142" i="3"/>
  <c r="AQ142" i="3"/>
  <c r="AJ142" i="3"/>
  <c r="BD127" i="3" l="1"/>
  <c r="BC127" i="3"/>
  <c r="BA127" i="3"/>
  <c r="Z143" i="3"/>
  <c r="AD143" i="3"/>
  <c r="AC143" i="3"/>
  <c r="Y143" i="3"/>
  <c r="AB143" i="3"/>
  <c r="BF127" i="3" l="1"/>
  <c r="BN127" i="3" s="1"/>
  <c r="AE143" i="3"/>
  <c r="AU143" i="3" s="1"/>
  <c r="BQ127" i="3" l="1"/>
  <c r="BG127" i="3"/>
  <c r="BT127" i="3"/>
  <c r="BL127" i="3"/>
  <c r="BO127" i="3"/>
  <c r="BP127" i="3"/>
  <c r="AY128" i="3" s="1"/>
  <c r="BJ127" i="3"/>
  <c r="BV127" i="3"/>
  <c r="BE128" i="3" s="1"/>
  <c r="BH127" i="3"/>
  <c r="BU127" i="3"/>
  <c r="BM127" i="3"/>
  <c r="BK127" i="3"/>
  <c r="BR127" i="3"/>
  <c r="BS127" i="3"/>
  <c r="BB128" i="3" s="1"/>
  <c r="BD128" i="3"/>
  <c r="BA128" i="3"/>
  <c r="AM143" i="3"/>
  <c r="AL143" i="3"/>
  <c r="AT143" i="3"/>
  <c r="AO143" i="3"/>
  <c r="AA144" i="3" s="1"/>
  <c r="AQ143" i="3"/>
  <c r="AV143" i="3"/>
  <c r="AW143" i="3"/>
  <c r="AH143" i="3"/>
  <c r="AS143" i="3"/>
  <c r="AG143" i="3"/>
  <c r="AX143" i="3"/>
  <c r="AJ143" i="3"/>
  <c r="AI143" i="3"/>
  <c r="AK143" i="3"/>
  <c r="AR143" i="3"/>
  <c r="AP143" i="3"/>
  <c r="AN143" i="3"/>
  <c r="AZ128" i="3" l="1"/>
  <c r="BC128" i="3"/>
  <c r="AD144" i="3"/>
  <c r="AB144" i="3"/>
  <c r="Y144" i="3"/>
  <c r="AC144" i="3"/>
  <c r="Z144" i="3"/>
  <c r="BF128" i="3" l="1"/>
  <c r="BM128" i="3" s="1"/>
  <c r="AE144" i="3"/>
  <c r="AU144" i="3" s="1"/>
  <c r="BK128" i="3" l="1"/>
  <c r="BO128" i="3"/>
  <c r="BV128" i="3"/>
  <c r="V36" i="3" s="1"/>
  <c r="Y13" i="1" s="1"/>
  <c r="BN128" i="3"/>
  <c r="BT128" i="3"/>
  <c r="V34" i="3" s="1"/>
  <c r="Y11" i="1" s="1"/>
  <c r="BR128" i="3"/>
  <c r="V33" i="3" s="1"/>
  <c r="V42" i="3" s="1"/>
  <c r="BL128" i="3"/>
  <c r="BQ128" i="3"/>
  <c r="V32" i="3" s="1"/>
  <c r="Y9" i="1" s="1"/>
  <c r="BG128" i="3"/>
  <c r="Y14" i="1" s="1"/>
  <c r="BP128" i="3"/>
  <c r="V31" i="3" s="1"/>
  <c r="Y8" i="1" s="1"/>
  <c r="BS128" i="3"/>
  <c r="V35" i="3" s="1"/>
  <c r="V41" i="3" s="1"/>
  <c r="BU128" i="3"/>
  <c r="V30" i="3" s="1"/>
  <c r="V38" i="3" s="1"/>
  <c r="BJ128" i="3"/>
  <c r="BH128" i="3"/>
  <c r="Y7" i="1"/>
  <c r="Y12" i="1"/>
  <c r="AV144" i="3"/>
  <c r="AI144" i="3"/>
  <c r="AH144" i="3"/>
  <c r="AQ144" i="3"/>
  <c r="AM144" i="3"/>
  <c r="AJ144" i="3"/>
  <c r="AW144" i="3"/>
  <c r="AP144" i="3"/>
  <c r="AG144" i="3"/>
  <c r="AO144" i="3"/>
  <c r="AA145" i="3" s="1"/>
  <c r="AK144" i="3"/>
  <c r="AL144" i="3"/>
  <c r="AX144" i="3" s="1"/>
  <c r="AT144" i="3"/>
  <c r="AS144" i="3"/>
  <c r="AN144" i="3"/>
  <c r="AR144" i="3"/>
  <c r="Y10" i="1" l="1"/>
  <c r="V45" i="3"/>
  <c r="V43" i="3"/>
  <c r="V40" i="3"/>
  <c r="V44" i="3"/>
  <c r="AD145" i="3"/>
  <c r="AB145" i="3"/>
  <c r="Z145" i="3"/>
  <c r="Y145" i="3"/>
  <c r="AC145" i="3"/>
  <c r="O38" i="3" l="1"/>
  <c r="O39" i="3" s="1"/>
  <c r="X15" i="1" s="1"/>
  <c r="AE145" i="3"/>
  <c r="AU145" i="3" s="1"/>
  <c r="AQ145" i="3" l="1"/>
  <c r="AK145" i="3"/>
  <c r="AS145" i="3"/>
  <c r="AL145" i="3"/>
  <c r="AX145" i="3" s="1"/>
  <c r="AM145" i="3"/>
  <c r="AR145" i="3"/>
  <c r="AP145" i="3"/>
  <c r="AG145" i="3"/>
  <c r="AJ145" i="3"/>
  <c r="AN145" i="3"/>
  <c r="AO145" i="3"/>
  <c r="AA146" i="3" s="1"/>
  <c r="AW145" i="3"/>
  <c r="AT145" i="3"/>
  <c r="AH145" i="3"/>
  <c r="AI145" i="3"/>
  <c r="AV145" i="3"/>
  <c r="AD146" i="3" l="1"/>
  <c r="AB146" i="3"/>
  <c r="Z146" i="3"/>
  <c r="Y146" i="3"/>
  <c r="AC146" i="3"/>
  <c r="AE146" i="3" l="1"/>
  <c r="AL146" i="3" s="1"/>
  <c r="AX146" i="3" l="1"/>
  <c r="AJ146" i="3"/>
  <c r="AV146" i="3"/>
  <c r="AR146" i="3"/>
  <c r="AM146" i="3"/>
  <c r="AH146" i="3"/>
  <c r="AU146" i="3"/>
  <c r="AN146" i="3"/>
  <c r="AQ146" i="3"/>
  <c r="AK146" i="3"/>
  <c r="AW146" i="3"/>
  <c r="AP146" i="3"/>
  <c r="AO146" i="3"/>
  <c r="AA147" i="3" s="1"/>
  <c r="AG146" i="3"/>
  <c r="AS146" i="3"/>
  <c r="AT146" i="3"/>
  <c r="AI146" i="3"/>
  <c r="Z147" i="3" l="1"/>
  <c r="AD147" i="3"/>
  <c r="AB147" i="3"/>
  <c r="Y147" i="3"/>
  <c r="AC147" i="3"/>
  <c r="AE147" i="3" l="1"/>
  <c r="AO147" i="3" s="1"/>
  <c r="AA148" i="3" s="1"/>
  <c r="AK147" i="3" l="1"/>
  <c r="AQ147" i="3"/>
  <c r="AS147" i="3"/>
  <c r="AJ147" i="3"/>
  <c r="AV147" i="3"/>
  <c r="AR147" i="3"/>
  <c r="AG147" i="3"/>
  <c r="AU147" i="3"/>
  <c r="AL147" i="3"/>
  <c r="AH147" i="3"/>
  <c r="AN147" i="3"/>
  <c r="AP147" i="3"/>
  <c r="AI147" i="3"/>
  <c r="AT147" i="3"/>
  <c r="AM147" i="3"/>
  <c r="AW147" i="3"/>
  <c r="AX147" i="3"/>
  <c r="AD148" i="3" l="1"/>
  <c r="Y148" i="3"/>
  <c r="AC148" i="3"/>
  <c r="AB148" i="3"/>
  <c r="Z148" i="3"/>
  <c r="AE148" i="3" l="1"/>
  <c r="AU148" i="3" s="1"/>
  <c r="AK148" i="3" l="1"/>
  <c r="AM148" i="3"/>
  <c r="AL148" i="3"/>
  <c r="AT148" i="3"/>
  <c r="AW148" i="3"/>
  <c r="AP148" i="3"/>
  <c r="AO148" i="3"/>
  <c r="AA149" i="3" s="1"/>
  <c r="AJ148" i="3"/>
  <c r="AV148" i="3"/>
  <c r="AG148" i="3"/>
  <c r="AQ148" i="3"/>
  <c r="AS148" i="3"/>
  <c r="AN148" i="3"/>
  <c r="AX148" i="3"/>
  <c r="AR148" i="3"/>
  <c r="AI148" i="3"/>
  <c r="AH148" i="3"/>
  <c r="AD149" i="3" l="1"/>
  <c r="AC149" i="3"/>
  <c r="Y149" i="3"/>
  <c r="AB149" i="3"/>
  <c r="Z149" i="3"/>
  <c r="AE149" i="3" l="1"/>
  <c r="AR149" i="3" s="1"/>
  <c r="AW149" i="3" l="1"/>
  <c r="AU149" i="3"/>
  <c r="AH149" i="3"/>
  <c r="AM149" i="3"/>
  <c r="AI149" i="3"/>
  <c r="AS149" i="3"/>
  <c r="AP149" i="3"/>
  <c r="AK149" i="3"/>
  <c r="AO149" i="3"/>
  <c r="AA150" i="3" s="1"/>
  <c r="AT149" i="3"/>
  <c r="AN149" i="3"/>
  <c r="AJ149" i="3"/>
  <c r="AG149" i="3"/>
  <c r="AV149" i="3"/>
  <c r="AQ149" i="3"/>
  <c r="AL149" i="3"/>
  <c r="AX149" i="3" s="1"/>
  <c r="AD150" i="3" l="1"/>
  <c r="Y150" i="3"/>
  <c r="AB150" i="3"/>
  <c r="Z150" i="3"/>
  <c r="AC150" i="3"/>
  <c r="AE150" i="3" l="1"/>
  <c r="AO150" i="3" s="1"/>
  <c r="AA151" i="3" s="1"/>
  <c r="AV150" i="3" l="1"/>
  <c r="AP150" i="3"/>
  <c r="AN150" i="3"/>
  <c r="AL150" i="3"/>
  <c r="AX150" i="3" s="1"/>
  <c r="AS150" i="3"/>
  <c r="AK150" i="3"/>
  <c r="AI150" i="3"/>
  <c r="AG150" i="3"/>
  <c r="AJ150" i="3"/>
  <c r="AQ150" i="3"/>
  <c r="AR150" i="3"/>
  <c r="AM150" i="3"/>
  <c r="AW150" i="3"/>
  <c r="AH150" i="3"/>
  <c r="AU150" i="3"/>
  <c r="AT150" i="3"/>
  <c r="AD151" i="3" l="1"/>
  <c r="AB151" i="3"/>
  <c r="AC151" i="3"/>
  <c r="Z151" i="3"/>
  <c r="Y151" i="3"/>
  <c r="AE151" i="3" l="1"/>
  <c r="AH151" i="3" s="1"/>
  <c r="AV151" i="3" l="1"/>
  <c r="AI151" i="3"/>
  <c r="AW151" i="3"/>
  <c r="AK151" i="3"/>
  <c r="AJ151" i="3"/>
  <c r="AP151" i="3"/>
  <c r="AU151" i="3"/>
  <c r="AQ151" i="3"/>
  <c r="AO151" i="3"/>
  <c r="AA152" i="3" s="1"/>
  <c r="AS151" i="3"/>
  <c r="AN151" i="3"/>
  <c r="AL151" i="3"/>
  <c r="AX151" i="3" s="1"/>
  <c r="AR151" i="3"/>
  <c r="AM151" i="3"/>
  <c r="AG151" i="3"/>
  <c r="AT151" i="3"/>
  <c r="AD152" i="3" l="1"/>
  <c r="Y152" i="3"/>
  <c r="Z152" i="3"/>
  <c r="AB152" i="3"/>
  <c r="AC152" i="3"/>
  <c r="AE152" i="3" l="1"/>
  <c r="AG152" i="3" s="1"/>
  <c r="AL152" i="3" l="1"/>
  <c r="AT152" i="3"/>
  <c r="AN152" i="3"/>
  <c r="AJ152" i="3"/>
  <c r="AO152" i="3"/>
  <c r="AA153" i="3" s="1"/>
  <c r="AP152" i="3"/>
  <c r="AQ152" i="3"/>
  <c r="AX152" i="3"/>
  <c r="AR152" i="3"/>
  <c r="AH152" i="3"/>
  <c r="AW152" i="3"/>
  <c r="AV152" i="3"/>
  <c r="AS152" i="3"/>
  <c r="AU152" i="3"/>
  <c r="AK152" i="3"/>
  <c r="AI152" i="3"/>
  <c r="AM152" i="3"/>
  <c r="AD153" i="3" l="1"/>
  <c r="Z153" i="3"/>
  <c r="AC153" i="3"/>
  <c r="AB153" i="3"/>
  <c r="Y153" i="3"/>
  <c r="AE153" i="3" l="1"/>
  <c r="AU153" i="3" s="1"/>
  <c r="AW153" i="3" l="1"/>
  <c r="AI153" i="3"/>
  <c r="AS153" i="3"/>
  <c r="AM153" i="3"/>
  <c r="AN153" i="3"/>
  <c r="AT153" i="3"/>
  <c r="AO153" i="3"/>
  <c r="AA154" i="3" s="1"/>
  <c r="AK153" i="3"/>
  <c r="AR153" i="3"/>
  <c r="AP153" i="3"/>
  <c r="AH153" i="3"/>
  <c r="AG153" i="3"/>
  <c r="AQ153" i="3"/>
  <c r="AJ153" i="3"/>
  <c r="AV153" i="3"/>
  <c r="AL153" i="3"/>
  <c r="AX153" i="3" s="1"/>
  <c r="AD154" i="3" l="1"/>
  <c r="Z154" i="3"/>
  <c r="AB154" i="3"/>
  <c r="Y154" i="3"/>
  <c r="AC154" i="3"/>
  <c r="AE154" i="3" l="1"/>
  <c r="AN154" i="3" s="1"/>
  <c r="AV154" i="3" l="1"/>
  <c r="AM154" i="3"/>
  <c r="AG154" i="3"/>
  <c r="AU154" i="3"/>
  <c r="AJ154" i="3"/>
  <c r="AH154" i="3"/>
  <c r="AO154" i="3"/>
  <c r="AA155" i="3" s="1"/>
  <c r="AL154" i="3"/>
  <c r="AK154" i="3"/>
  <c r="AR154" i="3"/>
  <c r="AS154" i="3"/>
  <c r="AI154" i="3"/>
  <c r="AP154" i="3"/>
  <c r="AQ154" i="3"/>
  <c r="AX154" i="3"/>
  <c r="AT154" i="3"/>
  <c r="Z155" i="3" s="1"/>
  <c r="AW154" i="3"/>
  <c r="AD155" i="3" l="1"/>
  <c r="Y155" i="3"/>
  <c r="AB155" i="3"/>
  <c r="AC155" i="3"/>
  <c r="AE155" i="3" l="1"/>
  <c r="AM155" i="3" s="1"/>
  <c r="AJ155" i="3" l="1"/>
  <c r="AO155" i="3"/>
  <c r="AA156" i="3" s="1"/>
  <c r="AK155" i="3"/>
  <c r="AL155" i="3"/>
  <c r="AH155" i="3"/>
  <c r="AT155" i="3"/>
  <c r="AR155" i="3"/>
  <c r="AD156" i="3" s="1"/>
  <c r="AW155" i="3"/>
  <c r="AP155" i="3"/>
  <c r="AI155" i="3"/>
  <c r="AU155" i="3"/>
  <c r="AX155" i="3"/>
  <c r="AG155" i="3"/>
  <c r="AN155" i="3"/>
  <c r="AS155" i="3"/>
  <c r="Y156" i="3" s="1"/>
  <c r="AV155" i="3"/>
  <c r="AQ155" i="3"/>
  <c r="Z156" i="3" l="1"/>
  <c r="AB156" i="3"/>
  <c r="AC156" i="3"/>
  <c r="AE156" i="3" l="1"/>
  <c r="AU156" i="3" s="1"/>
  <c r="AN156" i="3" l="1"/>
  <c r="AT156" i="3"/>
  <c r="AL156" i="3"/>
  <c r="AX156" i="3" s="1"/>
  <c r="AI156" i="3"/>
  <c r="AK156" i="3"/>
  <c r="AO156" i="3"/>
  <c r="AA157" i="3" s="1"/>
  <c r="AQ156" i="3"/>
  <c r="AV156" i="3"/>
  <c r="AG156" i="3"/>
  <c r="AM156" i="3"/>
  <c r="AS156" i="3"/>
  <c r="AJ156" i="3"/>
  <c r="AR156" i="3"/>
  <c r="AP156" i="3"/>
  <c r="AW156" i="3"/>
  <c r="AH156" i="3"/>
  <c r="AD157" i="3" l="1"/>
  <c r="AC157" i="3"/>
  <c r="Z157" i="3"/>
  <c r="Y157" i="3"/>
  <c r="AB157" i="3"/>
  <c r="AE157" i="3" l="1"/>
  <c r="AP157" i="3" s="1"/>
  <c r="AI157" i="3" l="1"/>
  <c r="AT157" i="3"/>
  <c r="AQ157" i="3"/>
  <c r="AN157" i="3"/>
  <c r="AJ157" i="3"/>
  <c r="AO157" i="3"/>
  <c r="AA158" i="3" s="1"/>
  <c r="AV157" i="3"/>
  <c r="AG157" i="3"/>
  <c r="AR157" i="3"/>
  <c r="AH157" i="3"/>
  <c r="AL157" i="3"/>
  <c r="AX157" i="3" s="1"/>
  <c r="AS157" i="3"/>
  <c r="AM157" i="3"/>
  <c r="AK157" i="3"/>
  <c r="AW157" i="3"/>
  <c r="AU157" i="3"/>
  <c r="AD158" i="3" l="1"/>
  <c r="AC158" i="3"/>
  <c r="Z158" i="3"/>
  <c r="AB158" i="3"/>
  <c r="Y158" i="3"/>
  <c r="AE158" i="3" l="1"/>
  <c r="AU158" i="3" s="1"/>
  <c r="AQ158" i="3" l="1"/>
  <c r="AH158" i="3"/>
  <c r="AI158" i="3"/>
  <c r="AV158" i="3"/>
  <c r="AM158" i="3"/>
  <c r="AL158" i="3"/>
  <c r="AR158" i="3"/>
  <c r="AD159" i="3" s="1"/>
  <c r="AP158" i="3"/>
  <c r="AO158" i="3"/>
  <c r="AA159" i="3" s="1"/>
  <c r="AX158" i="3"/>
  <c r="AN158" i="3"/>
  <c r="AS158" i="3"/>
  <c r="AT158" i="3"/>
  <c r="AG158" i="3"/>
  <c r="AK158" i="3"/>
  <c r="AJ158" i="3"/>
  <c r="AW158" i="3"/>
  <c r="AC159" i="3" l="1"/>
  <c r="AB159" i="3"/>
  <c r="Z159" i="3"/>
  <c r="Y159" i="3"/>
  <c r="AE159" i="3" l="1"/>
  <c r="AR159" i="3" s="1"/>
  <c r="AL159" i="3" l="1"/>
  <c r="AX159" i="3" s="1"/>
  <c r="AD160" i="3" s="1"/>
  <c r="AN159" i="3"/>
  <c r="AH159" i="3"/>
  <c r="AV159" i="3"/>
  <c r="AG159" i="3"/>
  <c r="AQ159" i="3"/>
  <c r="AJ159" i="3"/>
  <c r="AW159" i="3"/>
  <c r="AI159" i="3"/>
  <c r="AM159" i="3"/>
  <c r="AP159" i="3"/>
  <c r="AT159" i="3"/>
  <c r="AK159" i="3"/>
  <c r="AO159" i="3"/>
  <c r="AA160" i="3" s="1"/>
  <c r="AS159" i="3"/>
  <c r="AU159" i="3"/>
  <c r="Z160" i="3" l="1"/>
  <c r="AC160" i="3"/>
  <c r="AB160" i="3"/>
  <c r="Y160" i="3"/>
  <c r="AE160" i="3" l="1"/>
  <c r="AN160" i="3" s="1"/>
  <c r="AW160" i="3" l="1"/>
  <c r="AH160" i="3"/>
  <c r="AL160" i="3"/>
  <c r="AX160" i="3" s="1"/>
  <c r="AV160" i="3"/>
  <c r="AO160" i="3"/>
  <c r="AA161" i="3" s="1"/>
  <c r="AI160" i="3"/>
  <c r="AK160" i="3"/>
  <c r="AG160" i="3"/>
  <c r="AP160" i="3"/>
  <c r="AR160" i="3"/>
  <c r="AT160" i="3"/>
  <c r="Z161" i="3" s="1"/>
  <c r="AM160" i="3"/>
  <c r="AJ160" i="3"/>
  <c r="AS160" i="3"/>
  <c r="AQ160" i="3"/>
  <c r="AU160" i="3"/>
  <c r="AD161" i="3" l="1"/>
  <c r="AC161" i="3"/>
  <c r="AB161" i="3"/>
  <c r="Y161" i="3"/>
  <c r="AE161" i="3" l="1"/>
  <c r="AQ161" i="3" s="1"/>
  <c r="AL161" i="3" l="1"/>
  <c r="AX161" i="3" s="1"/>
  <c r="AN161" i="3"/>
  <c r="AP161" i="3"/>
  <c r="AR161" i="3"/>
  <c r="AT161" i="3"/>
  <c r="AS161" i="3"/>
  <c r="AG161" i="3"/>
  <c r="AM161" i="3"/>
  <c r="AH161" i="3"/>
  <c r="AU161" i="3"/>
  <c r="AW161" i="3"/>
  <c r="AC162" i="3" s="1"/>
  <c r="AO161" i="3"/>
  <c r="AA162" i="3" s="1"/>
  <c r="AI161" i="3"/>
  <c r="AK161" i="3"/>
  <c r="AV161" i="3"/>
  <c r="AJ161" i="3"/>
  <c r="AD162" i="3" l="1"/>
  <c r="AB162" i="3"/>
  <c r="Y162" i="3"/>
  <c r="Z162" i="3"/>
  <c r="AE162" i="3" l="1"/>
  <c r="AQ162" i="3" s="1"/>
  <c r="AM162" i="3" l="1"/>
  <c r="AR162" i="3"/>
  <c r="AS162" i="3"/>
  <c r="AP162" i="3"/>
  <c r="AJ162" i="3"/>
  <c r="AV162" i="3"/>
  <c r="AO162" i="3"/>
  <c r="AA163" i="3" s="1"/>
  <c r="AL162" i="3"/>
  <c r="AT162" i="3"/>
  <c r="AH162" i="3"/>
  <c r="AI162" i="3"/>
  <c r="AX162" i="3"/>
  <c r="AN162" i="3"/>
  <c r="Z163" i="3" s="1"/>
  <c r="AG162" i="3"/>
  <c r="AU162" i="3"/>
  <c r="AW162" i="3"/>
  <c r="AC163" i="3" s="1"/>
  <c r="AK162" i="3"/>
  <c r="AD163" i="3" l="1"/>
  <c r="Y163" i="3"/>
  <c r="AB163" i="3"/>
  <c r="AE163" i="3" l="1"/>
  <c r="AU163" i="3" s="1"/>
  <c r="AH163" i="3" l="1"/>
  <c r="AR163" i="3"/>
  <c r="AD164" i="3" s="1"/>
  <c r="AQ163" i="3"/>
  <c r="AK163" i="3"/>
  <c r="AG163" i="3"/>
  <c r="AM163" i="3"/>
  <c r="AV163" i="3"/>
  <c r="AT163" i="3"/>
  <c r="AO163" i="3"/>
  <c r="AA164" i="3" s="1"/>
  <c r="AP163" i="3"/>
  <c r="AN163" i="3"/>
  <c r="AS163" i="3"/>
  <c r="AW163" i="3"/>
  <c r="AI163" i="3"/>
  <c r="AJ163" i="3"/>
  <c r="AL163" i="3"/>
  <c r="AX163" i="3" s="1"/>
  <c r="AB164" i="3" l="1"/>
  <c r="AC164" i="3"/>
  <c r="Y164" i="3"/>
  <c r="Z164" i="3"/>
  <c r="AE164" i="3" l="1"/>
  <c r="AP164" i="3" s="1"/>
  <c r="AX164" i="3" l="1"/>
  <c r="AR164" i="3"/>
  <c r="AV164" i="3"/>
  <c r="AU164" i="3"/>
  <c r="AG164" i="3"/>
  <c r="AJ164" i="3"/>
  <c r="AW164" i="3"/>
  <c r="AO164" i="3"/>
  <c r="AA165" i="3" s="1"/>
  <c r="AQ164" i="3"/>
  <c r="AN164" i="3"/>
  <c r="AH164" i="3"/>
  <c r="AL164" i="3"/>
  <c r="AS164" i="3"/>
  <c r="AK164" i="3"/>
  <c r="AT164" i="3"/>
  <c r="AM164" i="3"/>
  <c r="AI164" i="3"/>
  <c r="AD165" i="3" l="1"/>
  <c r="AC165" i="3"/>
  <c r="AB165" i="3"/>
  <c r="Z165" i="3"/>
  <c r="Y165" i="3"/>
  <c r="AE165" i="3" l="1"/>
  <c r="AP165" i="3" s="1"/>
  <c r="AI165" i="3" l="1"/>
  <c r="AQ165" i="3"/>
  <c r="AJ165" i="3"/>
  <c r="AL165" i="3"/>
  <c r="AM165" i="3"/>
  <c r="AH165" i="3"/>
  <c r="AT165" i="3"/>
  <c r="AN165" i="3"/>
  <c r="AS165" i="3"/>
  <c r="AV165" i="3"/>
  <c r="AW165" i="3"/>
  <c r="AG165" i="3"/>
  <c r="AO165" i="3"/>
  <c r="AA166" i="3" s="1"/>
  <c r="AR165" i="3"/>
  <c r="AK165" i="3"/>
  <c r="AX165" i="3"/>
  <c r="AU165" i="3"/>
  <c r="Y166" i="3" l="1"/>
  <c r="AD166" i="3"/>
  <c r="AC166" i="3"/>
  <c r="AB166" i="3"/>
  <c r="Z166" i="3"/>
  <c r="AE166" i="3" l="1"/>
  <c r="AQ166" i="3" s="1"/>
  <c r="AI166" i="3" l="1"/>
  <c r="AV166" i="3"/>
  <c r="AK166" i="3"/>
  <c r="AN166" i="3"/>
  <c r="AL166" i="3"/>
  <c r="AR166" i="3"/>
  <c r="AU166" i="3"/>
  <c r="AT166" i="3"/>
  <c r="AP166" i="3"/>
  <c r="AW166" i="3"/>
  <c r="AC167" i="3" s="1"/>
  <c r="AH166" i="3"/>
  <c r="AO166" i="3"/>
  <c r="AA167" i="3" s="1"/>
  <c r="AM166" i="3"/>
  <c r="AG166" i="3"/>
  <c r="AX166" i="3"/>
  <c r="AJ166" i="3"/>
  <c r="AS166" i="3"/>
  <c r="AD167" i="3" l="1"/>
  <c r="AB167" i="3"/>
  <c r="Z167" i="3"/>
  <c r="Y167" i="3"/>
  <c r="AE167" i="3" l="1"/>
  <c r="AK167" i="3" s="1"/>
  <c r="AT167" i="3" l="1"/>
  <c r="AU167" i="3"/>
  <c r="AL167" i="3"/>
  <c r="AI167" i="3"/>
  <c r="AN167" i="3"/>
  <c r="AQ167" i="3"/>
  <c r="AJ167" i="3"/>
  <c r="AS167" i="3"/>
  <c r="AG167" i="3"/>
  <c r="AW167" i="3"/>
  <c r="AX167" i="3"/>
  <c r="AV167" i="3"/>
  <c r="AH167" i="3"/>
  <c r="AM167" i="3"/>
  <c r="AP167" i="3"/>
  <c r="AO167" i="3"/>
  <c r="AA168" i="3" s="1"/>
  <c r="AR167" i="3"/>
  <c r="AD168" i="3" s="1"/>
  <c r="Z168" i="3" l="1"/>
  <c r="AB168" i="3"/>
  <c r="AC168" i="3"/>
  <c r="Y168" i="3"/>
  <c r="AE168" i="3" l="1"/>
  <c r="AS168" i="3" s="1"/>
  <c r="AH168" i="3" l="1"/>
  <c r="AO168" i="3"/>
  <c r="AA169" i="3" s="1"/>
  <c r="AL168" i="3"/>
  <c r="AX168" i="3"/>
  <c r="AM168" i="3"/>
  <c r="Y169" i="3" s="1"/>
  <c r="AP168" i="3"/>
  <c r="AR168" i="3"/>
  <c r="AV168" i="3"/>
  <c r="AK168" i="3"/>
  <c r="AG168" i="3"/>
  <c r="AW168" i="3"/>
  <c r="AU168" i="3"/>
  <c r="AJ168" i="3"/>
  <c r="AN168" i="3"/>
  <c r="AQ168" i="3"/>
  <c r="AC169" i="3" s="1"/>
  <c r="AT168" i="3"/>
  <c r="AI168" i="3"/>
  <c r="AD169" i="3" l="1"/>
  <c r="AB169" i="3"/>
  <c r="Z169" i="3"/>
  <c r="AE169" i="3" l="1"/>
  <c r="AT169" i="3" s="1"/>
  <c r="AV169" i="3" l="1"/>
  <c r="AM169" i="3"/>
  <c r="AJ169" i="3"/>
  <c r="AR169" i="3"/>
  <c r="AO169" i="3"/>
  <c r="AA170" i="3" s="1"/>
  <c r="AK169" i="3"/>
  <c r="AQ169" i="3"/>
  <c r="AG169" i="3"/>
  <c r="AS169" i="3"/>
  <c r="AP169" i="3"/>
  <c r="AL169" i="3"/>
  <c r="AX169" i="3"/>
  <c r="AU169" i="3"/>
  <c r="AN169" i="3"/>
  <c r="Z170" i="3" s="1"/>
  <c r="AH169" i="3"/>
  <c r="AI169" i="3"/>
  <c r="AW169" i="3"/>
  <c r="AC170" i="3" l="1"/>
  <c r="AD170" i="3"/>
  <c r="AB170" i="3"/>
  <c r="Y170" i="3"/>
  <c r="AE170" i="3" l="1"/>
  <c r="AK170" i="3" s="1"/>
  <c r="AI170" i="3" l="1"/>
  <c r="AL170" i="3"/>
  <c r="AR170" i="3"/>
  <c r="AH170" i="3"/>
  <c r="AT170" i="3"/>
  <c r="AN170" i="3"/>
  <c r="AX170" i="3"/>
  <c r="AP170" i="3"/>
  <c r="AQ170" i="3"/>
  <c r="AS170" i="3"/>
  <c r="AW170" i="3"/>
  <c r="AJ170" i="3"/>
  <c r="AO170" i="3"/>
  <c r="AA171" i="3" s="1"/>
  <c r="AU170" i="3"/>
  <c r="AM170" i="3"/>
  <c r="AG170" i="3"/>
  <c r="AV170" i="3"/>
  <c r="AC171" i="3" l="1"/>
  <c r="Y171" i="3"/>
  <c r="Z171" i="3"/>
  <c r="AD171" i="3"/>
  <c r="AB171" i="3"/>
  <c r="AE171" i="3" l="1"/>
  <c r="AP171" i="3" s="1"/>
  <c r="AQ171" i="3" l="1"/>
  <c r="AK171" i="3"/>
  <c r="AS171" i="3"/>
  <c r="AH171" i="3"/>
  <c r="AU171" i="3"/>
  <c r="AV171" i="3"/>
  <c r="AT171" i="3"/>
  <c r="AG171" i="3"/>
  <c r="AI171" i="3"/>
  <c r="AJ171" i="3"/>
  <c r="AL171" i="3"/>
  <c r="AN171" i="3"/>
  <c r="AX171" i="3"/>
  <c r="AR171" i="3"/>
  <c r="AD172" i="3" s="1"/>
  <c r="AM171" i="3"/>
  <c r="AO171" i="3"/>
  <c r="AA172" i="3" s="1"/>
  <c r="AW171" i="3"/>
  <c r="AC172" i="3" l="1"/>
  <c r="AB172" i="3"/>
  <c r="Z172" i="3"/>
  <c r="Y172" i="3"/>
  <c r="AE172" i="3" l="1"/>
  <c r="AS172" i="3" s="1"/>
  <c r="AN172" i="3" l="1"/>
  <c r="AI172" i="3"/>
  <c r="AV172" i="3"/>
  <c r="AM172" i="3"/>
  <c r="Y173" i="3" s="1"/>
  <c r="AH172" i="3"/>
  <c r="AW172" i="3"/>
  <c r="AQ172" i="3"/>
  <c r="AJ172" i="3"/>
  <c r="AL172" i="3"/>
  <c r="AT172" i="3"/>
  <c r="AO172" i="3"/>
  <c r="AA173" i="3" s="1"/>
  <c r="AG172" i="3"/>
  <c r="AK172" i="3"/>
  <c r="AP172" i="3"/>
  <c r="AX172" i="3"/>
  <c r="AR172" i="3"/>
  <c r="AD173" i="3" s="1"/>
  <c r="AU172" i="3"/>
  <c r="AC173" i="3" l="1"/>
  <c r="AB173" i="3"/>
  <c r="Z173" i="3"/>
  <c r="AE173" i="3" l="1"/>
  <c r="AS173" i="3" s="1"/>
  <c r="AO173" i="3" l="1"/>
  <c r="AA174" i="3" s="1"/>
  <c r="AG173" i="3"/>
  <c r="AQ173" i="3"/>
  <c r="AJ173" i="3"/>
  <c r="AP173" i="3"/>
  <c r="AV173" i="3"/>
  <c r="AW173" i="3"/>
  <c r="AH173" i="3"/>
  <c r="AL173" i="3"/>
  <c r="AK173" i="3"/>
  <c r="AI173" i="3"/>
  <c r="AX173" i="3"/>
  <c r="AT173" i="3"/>
  <c r="AN173" i="3"/>
  <c r="AU173" i="3"/>
  <c r="AR173" i="3"/>
  <c r="AD174" i="3" s="1"/>
  <c r="AM173" i="3"/>
  <c r="Y174" i="3" s="1"/>
  <c r="AC174" i="3" l="1"/>
  <c r="Z174" i="3"/>
  <c r="AB174" i="3"/>
  <c r="AE174" i="3" l="1"/>
  <c r="AH174" i="3" s="1"/>
  <c r="AK174" i="3" l="1"/>
  <c r="AR174" i="3"/>
  <c r="AD175" i="3" s="1"/>
  <c r="AV174" i="3"/>
  <c r="AO174" i="3"/>
  <c r="AA175" i="3" s="1"/>
  <c r="AJ174" i="3"/>
  <c r="AW174" i="3"/>
  <c r="AG174" i="3"/>
  <c r="AM174" i="3"/>
  <c r="AP174" i="3"/>
  <c r="AU174" i="3"/>
  <c r="AQ174" i="3"/>
  <c r="AC175" i="3" s="1"/>
  <c r="AN174" i="3"/>
  <c r="AT174" i="3"/>
  <c r="AX174" i="3"/>
  <c r="AI174" i="3"/>
  <c r="AS174" i="3"/>
  <c r="AL174" i="3"/>
  <c r="Y175" i="3" l="1"/>
  <c r="AB175" i="3"/>
  <c r="Z175" i="3"/>
  <c r="AE175" i="3" l="1"/>
  <c r="AH175" i="3" s="1"/>
  <c r="AI175" i="3" l="1"/>
  <c r="AL175" i="3"/>
  <c r="AX175" i="3" s="1"/>
  <c r="AU175" i="3"/>
  <c r="AM175" i="3"/>
  <c r="AN175" i="3"/>
  <c r="AT175" i="3"/>
  <c r="AR175" i="3"/>
  <c r="AD176" i="3" s="1"/>
  <c r="AV175" i="3"/>
  <c r="AW175" i="3"/>
  <c r="AO175" i="3"/>
  <c r="AA176" i="3" s="1"/>
  <c r="AJ175" i="3"/>
  <c r="AK175" i="3"/>
  <c r="AG175" i="3"/>
  <c r="AS175" i="3"/>
  <c r="AQ175" i="3"/>
  <c r="AC176" i="3" s="1"/>
  <c r="AP175" i="3"/>
  <c r="AB176" i="3" l="1"/>
  <c r="Y176" i="3"/>
  <c r="Z176" i="3"/>
  <c r="AE176" i="3" l="1"/>
  <c r="AT176" i="3" s="1"/>
  <c r="AQ176" i="3" l="1"/>
  <c r="AW176" i="3"/>
  <c r="AH176" i="3"/>
  <c r="AO176" i="3"/>
  <c r="AA177" i="3" s="1"/>
  <c r="AS176" i="3"/>
  <c r="AM176" i="3"/>
  <c r="AN176" i="3"/>
  <c r="Z177" i="3" s="1"/>
  <c r="AR176" i="3"/>
  <c r="AD177" i="3" s="1"/>
  <c r="AV176" i="3"/>
  <c r="AG176" i="3"/>
  <c r="AK176" i="3"/>
  <c r="AJ176" i="3"/>
  <c r="AP176" i="3"/>
  <c r="AL176" i="3"/>
  <c r="AX176" i="3" s="1"/>
  <c r="AI176" i="3"/>
  <c r="AU176" i="3"/>
  <c r="AC177" i="3" l="1"/>
  <c r="AB177" i="3"/>
  <c r="Y177" i="3"/>
  <c r="AE177" i="3" l="1"/>
  <c r="AS177" i="3" s="1"/>
  <c r="AW177" i="3" l="1"/>
  <c r="AN177" i="3"/>
  <c r="AK177" i="3"/>
  <c r="AL177" i="3"/>
  <c r="AT177" i="3"/>
  <c r="AO177" i="3"/>
  <c r="AA178" i="3" s="1"/>
  <c r="AM177" i="3"/>
  <c r="Y178" i="3" s="1"/>
  <c r="AH177" i="3"/>
  <c r="AQ177" i="3"/>
  <c r="AC178" i="3" s="1"/>
  <c r="AG177" i="3"/>
  <c r="AV177" i="3"/>
  <c r="AR177" i="3"/>
  <c r="AD178" i="3" s="1"/>
  <c r="AJ177" i="3"/>
  <c r="AP177" i="3"/>
  <c r="AU177" i="3"/>
  <c r="AI177" i="3"/>
  <c r="AX177" i="3"/>
  <c r="AB178" i="3" l="1"/>
  <c r="Z178" i="3"/>
  <c r="AE178" i="3" l="1"/>
  <c r="AS178" i="3" s="1"/>
  <c r="AQ178" i="3" l="1"/>
  <c r="AV178" i="3"/>
  <c r="AJ178" i="3"/>
  <c r="AM178" i="3"/>
  <c r="Y179" i="3" s="1"/>
  <c r="AO178" i="3"/>
  <c r="AA179" i="3" s="1"/>
  <c r="AN178" i="3"/>
  <c r="AL178" i="3"/>
  <c r="AX178" i="3" s="1"/>
  <c r="AU178" i="3"/>
  <c r="AK178" i="3"/>
  <c r="AT178" i="3"/>
  <c r="AG178" i="3"/>
  <c r="AW178" i="3"/>
  <c r="AI178" i="3"/>
  <c r="AP178" i="3"/>
  <c r="AH178" i="3"/>
  <c r="AR178" i="3"/>
  <c r="AD179" i="3" s="1"/>
  <c r="AC179" i="3" l="1"/>
  <c r="Z179" i="3"/>
  <c r="AB179" i="3"/>
  <c r="AE179" i="3" l="1"/>
  <c r="AW179" i="3" s="1"/>
  <c r="AL179" i="3" l="1"/>
  <c r="AM179" i="3"/>
  <c r="AX179" i="3"/>
  <c r="AN179" i="3"/>
  <c r="AJ179" i="3"/>
  <c r="AT179" i="3"/>
  <c r="AH179" i="3"/>
  <c r="AG179" i="3"/>
  <c r="AI179" i="3"/>
  <c r="AS179" i="3"/>
  <c r="AU179" i="3"/>
  <c r="AK179" i="3"/>
  <c r="AQ179" i="3"/>
  <c r="AC180" i="3" s="1"/>
  <c r="AP179" i="3"/>
  <c r="AV179" i="3"/>
  <c r="AO179" i="3"/>
  <c r="AA180" i="3" s="1"/>
  <c r="AR179" i="3"/>
  <c r="AD180" i="3" s="1"/>
  <c r="Y180" i="3" l="1"/>
  <c r="AB180" i="3"/>
  <c r="Z180" i="3"/>
  <c r="AE180" i="3" l="1"/>
  <c r="AT180" i="3" s="1"/>
  <c r="AL180" i="3" l="1"/>
  <c r="AX180" i="3" s="1"/>
  <c r="AI180" i="3"/>
  <c r="AW180" i="3"/>
  <c r="AS180" i="3"/>
  <c r="AN180" i="3"/>
  <c r="Z181" i="3" s="1"/>
  <c r="AU180" i="3"/>
  <c r="AK180" i="3"/>
  <c r="AJ180" i="3"/>
  <c r="AQ180" i="3"/>
  <c r="AR180" i="3"/>
  <c r="AD181" i="3" s="1"/>
  <c r="AH180" i="3"/>
  <c r="AV180" i="3"/>
  <c r="AM180" i="3"/>
  <c r="AG180" i="3"/>
  <c r="AO180" i="3"/>
  <c r="AA181" i="3" s="1"/>
  <c r="AP180" i="3"/>
  <c r="AC181" i="3" l="1"/>
  <c r="AB181" i="3"/>
  <c r="Y181" i="3"/>
  <c r="AE181" i="3" l="1"/>
  <c r="AO181" i="3" s="1"/>
  <c r="AA182" i="3" s="1"/>
  <c r="AT181" i="3" l="1"/>
  <c r="AU181" i="3"/>
  <c r="AV181" i="3"/>
  <c r="AH181" i="3"/>
  <c r="AR181" i="3"/>
  <c r="AD182" i="3" s="1"/>
  <c r="AG181" i="3"/>
  <c r="AJ181" i="3"/>
  <c r="AQ181" i="3"/>
  <c r="AC182" i="3" s="1"/>
  <c r="AI181" i="3"/>
  <c r="AL181" i="3"/>
  <c r="AW181" i="3"/>
  <c r="AS181" i="3"/>
  <c r="AP181" i="3"/>
  <c r="AB182" i="3" s="1"/>
  <c r="AN181" i="3"/>
  <c r="Z182" i="3" s="1"/>
  <c r="AM181" i="3"/>
  <c r="Y182" i="3" s="1"/>
  <c r="AK181" i="3"/>
  <c r="AX181" i="3"/>
  <c r="AE182" i="3" l="1"/>
  <c r="AV182" i="3" s="1"/>
  <c r="AL182" i="3" l="1"/>
  <c r="AK182" i="3"/>
  <c r="AW182" i="3"/>
  <c r="AS182" i="3"/>
  <c r="AU182" i="3"/>
  <c r="AM182" i="3"/>
  <c r="Y183" i="3" s="1"/>
  <c r="AI182" i="3"/>
  <c r="AG182" i="3"/>
  <c r="AO182" i="3"/>
  <c r="AA183" i="3" s="1"/>
  <c r="AP182" i="3"/>
  <c r="AB183" i="3" s="1"/>
  <c r="AT182" i="3"/>
  <c r="AX182" i="3"/>
  <c r="AN182" i="3"/>
  <c r="Z183" i="3" s="1"/>
  <c r="AQ182" i="3"/>
  <c r="AC183" i="3" s="1"/>
  <c r="AH182" i="3"/>
  <c r="AJ182" i="3"/>
  <c r="AR182" i="3"/>
  <c r="AD183" i="3" s="1"/>
  <c r="AE183" i="3" l="1"/>
  <c r="AS183" i="3" s="1"/>
  <c r="AK183" i="3" l="1"/>
  <c r="AW183" i="3"/>
  <c r="AI183" i="3"/>
  <c r="AU183" i="3"/>
  <c r="AL183" i="3"/>
  <c r="AN183" i="3"/>
  <c r="Z184" i="3" s="1"/>
  <c r="AR183" i="3"/>
  <c r="AD184" i="3" s="1"/>
  <c r="AV183" i="3"/>
  <c r="AP183" i="3"/>
  <c r="AB184" i="3" s="1"/>
  <c r="AO183" i="3"/>
  <c r="AA184" i="3" s="1"/>
  <c r="AH183" i="3"/>
  <c r="AM183" i="3"/>
  <c r="Y184" i="3" s="1"/>
  <c r="AG183" i="3"/>
  <c r="AX183" i="3"/>
  <c r="AQ183" i="3"/>
  <c r="AC184" i="3" s="1"/>
  <c r="AT183" i="3"/>
  <c r="AJ183" i="3"/>
  <c r="AE184" i="3" l="1"/>
  <c r="AL184" i="3" s="1"/>
  <c r="AR184" i="3" l="1"/>
  <c r="AD185" i="3" s="1"/>
  <c r="AJ184" i="3"/>
  <c r="AG184" i="3"/>
  <c r="AH184" i="3"/>
  <c r="AQ184" i="3"/>
  <c r="AC185" i="3" s="1"/>
  <c r="AP184" i="3"/>
  <c r="AB185" i="3" s="1"/>
  <c r="AI184" i="3"/>
  <c r="AN184" i="3"/>
  <c r="Z185" i="3" s="1"/>
  <c r="AU184" i="3"/>
  <c r="AO184" i="3"/>
  <c r="AA185" i="3" s="1"/>
  <c r="AS184" i="3"/>
  <c r="AM184" i="3"/>
  <c r="Y185" i="3" s="1"/>
  <c r="AW184" i="3"/>
  <c r="AX184" i="3"/>
  <c r="AT184" i="3"/>
  <c r="AV184" i="3"/>
  <c r="AK184" i="3"/>
  <c r="AE185" i="3" l="1"/>
  <c r="AM185" i="3" s="1"/>
  <c r="Y186" i="3" s="1"/>
  <c r="AU185" i="3" l="1"/>
  <c r="AO185" i="3"/>
  <c r="AA186" i="3" s="1"/>
  <c r="AX185" i="3"/>
  <c r="AQ185" i="3"/>
  <c r="AC186" i="3" s="1"/>
  <c r="AP185" i="3"/>
  <c r="AB186" i="3" s="1"/>
  <c r="AJ185" i="3"/>
  <c r="AS185" i="3"/>
  <c r="AK185" i="3"/>
  <c r="AL185" i="3"/>
  <c r="AI185" i="3"/>
  <c r="AH185" i="3"/>
  <c r="AR185" i="3"/>
  <c r="AD186" i="3" s="1"/>
  <c r="AG185" i="3"/>
  <c r="AW185" i="3"/>
  <c r="AV185" i="3"/>
  <c r="AN185" i="3"/>
  <c r="Z186" i="3" s="1"/>
  <c r="AT185" i="3"/>
  <c r="AE186" i="3" l="1"/>
  <c r="AU186" i="3" s="1"/>
  <c r="AN186" i="3" l="1"/>
  <c r="Z187" i="3" s="1"/>
  <c r="AW186" i="3"/>
  <c r="AQ186" i="3"/>
  <c r="AC187" i="3" s="1"/>
  <c r="AV186" i="3"/>
  <c r="AR186" i="3"/>
  <c r="AD187" i="3" s="1"/>
  <c r="AH186" i="3"/>
  <c r="AO186" i="3"/>
  <c r="AA187" i="3" s="1"/>
  <c r="AM186" i="3"/>
  <c r="Y187" i="3" s="1"/>
  <c r="AX186" i="3"/>
  <c r="AG186" i="3"/>
  <c r="AL186" i="3"/>
  <c r="AP186" i="3"/>
  <c r="AB187" i="3" s="1"/>
  <c r="AT186" i="3"/>
  <c r="AI186" i="3"/>
  <c r="AS186" i="3"/>
  <c r="AJ186" i="3"/>
  <c r="AK186" i="3"/>
  <c r="AE187" i="3" l="1"/>
  <c r="AW187" i="3" s="1"/>
  <c r="AR187" i="3" l="1"/>
  <c r="AD188" i="3" s="1"/>
  <c r="AO187" i="3"/>
  <c r="AA188" i="3" s="1"/>
  <c r="AX187" i="3"/>
  <c r="AN187" i="3"/>
  <c r="Z188" i="3" s="1"/>
  <c r="AL187" i="3"/>
  <c r="AK187" i="3"/>
  <c r="AG187" i="3"/>
  <c r="AP187" i="3"/>
  <c r="AB188" i="3" s="1"/>
  <c r="AJ187" i="3"/>
  <c r="AV187" i="3"/>
  <c r="AT187" i="3"/>
  <c r="AQ187" i="3"/>
  <c r="AC188" i="3" s="1"/>
  <c r="AS187" i="3"/>
  <c r="AH187" i="3"/>
  <c r="AU187" i="3"/>
  <c r="AM187" i="3"/>
  <c r="Y188" i="3" s="1"/>
  <c r="AI187" i="3"/>
  <c r="AE188" i="3" l="1"/>
  <c r="AS188" i="3" s="1"/>
  <c r="AI188" i="3" l="1"/>
  <c r="AP188" i="3"/>
  <c r="AB189" i="3" s="1"/>
  <c r="AK188" i="3"/>
  <c r="AQ188" i="3"/>
  <c r="AC189" i="3" s="1"/>
  <c r="AU188" i="3"/>
  <c r="AM188" i="3"/>
  <c r="Y189" i="3" s="1"/>
  <c r="AN188" i="3"/>
  <c r="Z189" i="3" s="1"/>
  <c r="AT188" i="3"/>
  <c r="AJ188" i="3"/>
  <c r="AV188" i="3"/>
  <c r="AR188" i="3"/>
  <c r="AD189" i="3" s="1"/>
  <c r="AG188" i="3"/>
  <c r="AX188" i="3"/>
  <c r="AH188" i="3"/>
  <c r="AW188" i="3"/>
  <c r="AL188" i="3"/>
  <c r="AO188" i="3"/>
  <c r="AA189" i="3" s="1"/>
  <c r="AE189" i="3" l="1"/>
  <c r="AV189" i="3" s="1"/>
  <c r="AP189" i="3" l="1"/>
  <c r="AB190" i="3" s="1"/>
  <c r="AN189" i="3"/>
  <c r="Z190" i="3" s="1"/>
  <c r="AR189" i="3"/>
  <c r="AD190" i="3" s="1"/>
  <c r="AL189" i="3"/>
  <c r="AW189" i="3"/>
  <c r="AG189" i="3"/>
  <c r="AI189" i="3"/>
  <c r="AT189" i="3"/>
  <c r="AQ189" i="3"/>
  <c r="AC190" i="3" s="1"/>
  <c r="AH189" i="3"/>
  <c r="AX189" i="3"/>
  <c r="AO189" i="3"/>
  <c r="AA190" i="3" s="1"/>
  <c r="AJ189" i="3"/>
  <c r="AU189" i="3"/>
  <c r="AS189" i="3"/>
  <c r="AM189" i="3"/>
  <c r="Y190" i="3" s="1"/>
  <c r="AK189" i="3"/>
  <c r="AE190" i="3" l="1"/>
  <c r="AV190" i="3" s="1"/>
  <c r="AL190" i="3" l="1"/>
  <c r="AM190" i="3"/>
  <c r="Y191" i="3" s="1"/>
  <c r="AP190" i="3"/>
  <c r="AB191" i="3" s="1"/>
  <c r="AO190" i="3"/>
  <c r="AA191" i="3" s="1"/>
  <c r="AT190" i="3"/>
  <c r="AW190" i="3"/>
  <c r="AH190" i="3"/>
  <c r="AS190" i="3"/>
  <c r="AX190" i="3"/>
  <c r="AR190" i="3"/>
  <c r="AD191" i="3" s="1"/>
  <c r="AI190" i="3"/>
  <c r="AU190" i="3"/>
  <c r="AJ190" i="3"/>
  <c r="AG190" i="3"/>
  <c r="AK190" i="3"/>
  <c r="AN190" i="3"/>
  <c r="Z191" i="3" s="1"/>
  <c r="AQ190" i="3"/>
  <c r="AC191" i="3" s="1"/>
  <c r="AE191" i="3" l="1"/>
  <c r="AW191" i="3" s="1"/>
  <c r="AQ191" i="3" l="1"/>
  <c r="AC192" i="3" s="1"/>
  <c r="AX191" i="3"/>
  <c r="AP191" i="3"/>
  <c r="AB192" i="3" s="1"/>
  <c r="AS191" i="3"/>
  <c r="AK191" i="3"/>
  <c r="AT191" i="3"/>
  <c r="AI191" i="3"/>
  <c r="AO191" i="3"/>
  <c r="AA192" i="3" s="1"/>
  <c r="AJ191" i="3"/>
  <c r="AM191" i="3"/>
  <c r="Y192" i="3" s="1"/>
  <c r="AG191" i="3"/>
  <c r="AR191" i="3"/>
  <c r="AD192" i="3" s="1"/>
  <c r="AN191" i="3"/>
  <c r="Z192" i="3" s="1"/>
  <c r="AU191" i="3"/>
  <c r="AL191" i="3"/>
  <c r="AV191" i="3"/>
  <c r="AH191" i="3"/>
  <c r="AE192" i="3" l="1"/>
  <c r="AU192" i="3" s="1"/>
  <c r="AS192" i="3" l="1"/>
  <c r="AV192" i="3"/>
  <c r="AR192" i="3"/>
  <c r="AD193" i="3" s="1"/>
  <c r="AI192" i="3"/>
  <c r="AH192" i="3"/>
  <c r="AX192" i="3"/>
  <c r="AN192" i="3"/>
  <c r="Z193" i="3" s="1"/>
  <c r="AJ192" i="3"/>
  <c r="AK192" i="3"/>
  <c r="AQ192" i="3"/>
  <c r="AC193" i="3" s="1"/>
  <c r="AW192" i="3"/>
  <c r="AO192" i="3"/>
  <c r="AA193" i="3" s="1"/>
  <c r="AT192" i="3"/>
  <c r="AG192" i="3"/>
  <c r="AM192" i="3"/>
  <c r="Y193" i="3" s="1"/>
  <c r="AL192" i="3"/>
  <c r="AP192" i="3"/>
  <c r="AB193" i="3" s="1"/>
  <c r="AE193" i="3" l="1"/>
  <c r="AT193" i="3" s="1"/>
  <c r="AX193" i="3" l="1"/>
  <c r="AG193" i="3"/>
  <c r="AM193" i="3"/>
  <c r="Y194" i="3" s="1"/>
  <c r="AQ193" i="3"/>
  <c r="AC194" i="3" s="1"/>
  <c r="AW193" i="3"/>
  <c r="AK193" i="3"/>
  <c r="AS193" i="3"/>
  <c r="AN193" i="3"/>
  <c r="Z194" i="3" s="1"/>
  <c r="AP193" i="3"/>
  <c r="AB194" i="3" s="1"/>
  <c r="AJ193" i="3"/>
  <c r="AL193" i="3"/>
  <c r="AH193" i="3"/>
  <c r="AU193" i="3"/>
  <c r="AR193" i="3"/>
  <c r="AD194" i="3" s="1"/>
  <c r="AI193" i="3"/>
  <c r="AO193" i="3"/>
  <c r="AA194" i="3" s="1"/>
  <c r="AV193" i="3"/>
  <c r="AE194" i="3" l="1"/>
  <c r="AS194" i="3" s="1"/>
  <c r="AO194" i="3" l="1"/>
  <c r="AA195" i="3" s="1"/>
  <c r="AU194" i="3"/>
  <c r="AN194" i="3"/>
  <c r="Z195" i="3" s="1"/>
  <c r="AT194" i="3"/>
  <c r="AL194" i="3"/>
  <c r="AM194" i="3"/>
  <c r="Y195" i="3" s="1"/>
  <c r="AI194" i="3"/>
  <c r="AQ194" i="3"/>
  <c r="AC195" i="3" s="1"/>
  <c r="AR194" i="3"/>
  <c r="AD195" i="3" s="1"/>
  <c r="AV194" i="3"/>
  <c r="AK194" i="3"/>
  <c r="AG194" i="3"/>
  <c r="AH194" i="3"/>
  <c r="AP194" i="3"/>
  <c r="AB195" i="3" s="1"/>
  <c r="AX194" i="3"/>
  <c r="AJ194" i="3"/>
  <c r="AW194" i="3"/>
  <c r="AE195" i="3" l="1"/>
  <c r="AV195" i="3" s="1"/>
  <c r="AP195" i="3" l="1"/>
  <c r="AB196" i="3" s="1"/>
  <c r="AQ195" i="3"/>
  <c r="AC196" i="3" s="1"/>
  <c r="AR195" i="3"/>
  <c r="AD196" i="3" s="1"/>
  <c r="AI195" i="3"/>
  <c r="AT195" i="3"/>
  <c r="AX195" i="3"/>
  <c r="AS195" i="3"/>
  <c r="AG195" i="3"/>
  <c r="AU195" i="3"/>
  <c r="AH195" i="3"/>
  <c r="AO195" i="3"/>
  <c r="AA196" i="3" s="1"/>
  <c r="AJ195" i="3"/>
  <c r="AL195" i="3"/>
  <c r="AW195" i="3"/>
  <c r="AM195" i="3"/>
  <c r="Y196" i="3" s="1"/>
  <c r="AK195" i="3"/>
  <c r="AN195" i="3"/>
  <c r="Z196" i="3" s="1"/>
  <c r="AE196" i="3" l="1"/>
  <c r="AV196" i="3" s="1"/>
  <c r="AI196" i="3" l="1"/>
  <c r="AT196" i="3"/>
  <c r="AW196" i="3"/>
  <c r="AH196" i="3"/>
  <c r="AX196" i="3"/>
  <c r="AP196" i="3"/>
  <c r="AB197" i="3" s="1"/>
  <c r="AG196" i="3"/>
  <c r="AU196" i="3"/>
  <c r="AK196" i="3"/>
  <c r="AL196" i="3"/>
  <c r="AN196" i="3"/>
  <c r="Z197" i="3" s="1"/>
  <c r="AO196" i="3"/>
  <c r="AA197" i="3" s="1"/>
  <c r="AS196" i="3"/>
  <c r="AJ196" i="3"/>
  <c r="AQ196" i="3"/>
  <c r="AC197" i="3" s="1"/>
  <c r="AR196" i="3"/>
  <c r="AD197" i="3" s="1"/>
  <c r="AM196" i="3"/>
  <c r="Y197" i="3" s="1"/>
  <c r="AE197" i="3" l="1"/>
  <c r="AO197" i="3" s="1"/>
  <c r="AA198" i="3" s="1"/>
  <c r="AL197" i="3" l="1"/>
  <c r="AN197" i="3"/>
  <c r="Z198" i="3" s="1"/>
  <c r="AM197" i="3"/>
  <c r="Y198" i="3" s="1"/>
  <c r="AU197" i="3"/>
  <c r="AQ197" i="3"/>
  <c r="AC198" i="3" s="1"/>
  <c r="AT197" i="3"/>
  <c r="AV197" i="3"/>
  <c r="AG197" i="3"/>
  <c r="AX197" i="3"/>
  <c r="AW197" i="3"/>
  <c r="AH197" i="3"/>
  <c r="AJ197" i="3"/>
  <c r="AS197" i="3"/>
  <c r="AP197" i="3"/>
  <c r="AB198" i="3" s="1"/>
  <c r="AR197" i="3"/>
  <c r="AD198" i="3" s="1"/>
  <c r="AI197" i="3"/>
  <c r="AK197" i="3"/>
  <c r="AE198" i="3" l="1"/>
  <c r="AT198" i="3" s="1"/>
  <c r="AL198" i="3" l="1"/>
  <c r="AW198" i="3"/>
  <c r="AO198" i="3"/>
  <c r="AA199" i="3" s="1"/>
  <c r="AI198" i="3"/>
  <c r="AP198" i="3"/>
  <c r="AB199" i="3" s="1"/>
  <c r="AX198" i="3"/>
  <c r="AK198" i="3"/>
  <c r="AG198" i="3"/>
  <c r="AR198" i="3"/>
  <c r="AD199" i="3" s="1"/>
  <c r="AV198" i="3"/>
  <c r="AU198" i="3"/>
  <c r="AQ198" i="3"/>
  <c r="AC199" i="3" s="1"/>
  <c r="AH198" i="3"/>
  <c r="AJ198" i="3"/>
  <c r="AS198" i="3"/>
  <c r="AM198" i="3"/>
  <c r="Y199" i="3" s="1"/>
  <c r="AN198" i="3"/>
  <c r="Z199" i="3" s="1"/>
  <c r="AE199" i="3" l="1"/>
  <c r="AQ199" i="3" s="1"/>
  <c r="AC200" i="3" s="1"/>
  <c r="AH199" i="3" l="1"/>
  <c r="AR199" i="3"/>
  <c r="AD200" i="3" s="1"/>
  <c r="AS199" i="3"/>
  <c r="AL199" i="3"/>
  <c r="AP199" i="3"/>
  <c r="AB200" i="3" s="1"/>
  <c r="AG199" i="3"/>
  <c r="AM199" i="3"/>
  <c r="Y200" i="3" s="1"/>
  <c r="AT199" i="3"/>
  <c r="AO199" i="3"/>
  <c r="AA200" i="3" s="1"/>
  <c r="AV199" i="3"/>
  <c r="AX199" i="3"/>
  <c r="AK199" i="3"/>
  <c r="AU199" i="3"/>
  <c r="AW199" i="3"/>
  <c r="AI199" i="3"/>
  <c r="AN199" i="3"/>
  <c r="Z200" i="3" s="1"/>
  <c r="AJ199" i="3"/>
  <c r="AE200" i="3" l="1"/>
  <c r="AJ200" i="3" s="1"/>
  <c r="AO200" i="3" l="1"/>
  <c r="AA201" i="3" s="1"/>
  <c r="AM200" i="3"/>
  <c r="Y201" i="3" s="1"/>
  <c r="AK200" i="3"/>
  <c r="AL200" i="3"/>
  <c r="AS200" i="3"/>
  <c r="AV200" i="3"/>
  <c r="AN200" i="3"/>
  <c r="Z201" i="3" s="1"/>
  <c r="AI200" i="3"/>
  <c r="AG200" i="3"/>
  <c r="AW200" i="3"/>
  <c r="AR200" i="3"/>
  <c r="AD201" i="3" s="1"/>
  <c r="AT200" i="3"/>
  <c r="AU200" i="3"/>
  <c r="AQ200" i="3"/>
  <c r="AC201" i="3" s="1"/>
  <c r="AX200" i="3"/>
  <c r="AH200" i="3"/>
  <c r="AP200" i="3"/>
  <c r="AB201" i="3" s="1"/>
  <c r="AE201" i="3" l="1"/>
  <c r="AW201" i="3" s="1"/>
  <c r="AN201" i="3" l="1"/>
  <c r="Z202" i="3" s="1"/>
  <c r="AS201" i="3"/>
  <c r="AV201" i="3"/>
  <c r="AX201" i="3"/>
  <c r="AU201" i="3"/>
  <c r="AJ201" i="3"/>
  <c r="AR201" i="3"/>
  <c r="AD202" i="3" s="1"/>
  <c r="AI201" i="3"/>
  <c r="AL201" i="3"/>
  <c r="AK201" i="3"/>
  <c r="AQ201" i="3"/>
  <c r="AC202" i="3" s="1"/>
  <c r="AP201" i="3"/>
  <c r="AB202" i="3" s="1"/>
  <c r="AO201" i="3"/>
  <c r="AA202" i="3" s="1"/>
  <c r="AG201" i="3"/>
  <c r="AH201" i="3"/>
  <c r="AM201" i="3"/>
  <c r="Y202" i="3" s="1"/>
  <c r="AT201" i="3"/>
  <c r="AE202" i="3" l="1"/>
  <c r="AO202" i="3" s="1"/>
  <c r="AA203" i="3" s="1"/>
  <c r="AU202" i="3" l="1"/>
  <c r="AG202" i="3"/>
  <c r="AJ202" i="3"/>
  <c r="AR202" i="3"/>
  <c r="AD203" i="3" s="1"/>
  <c r="AM202" i="3"/>
  <c r="Y203" i="3" s="1"/>
  <c r="AH202" i="3"/>
  <c r="AT202" i="3"/>
  <c r="AS202" i="3"/>
  <c r="AK202" i="3"/>
  <c r="AW202" i="3"/>
  <c r="AI202" i="3"/>
  <c r="AN202" i="3"/>
  <c r="Z203" i="3" s="1"/>
  <c r="AP202" i="3"/>
  <c r="AB203" i="3" s="1"/>
  <c r="AQ202" i="3"/>
  <c r="AC203" i="3" s="1"/>
  <c r="AX202" i="3"/>
  <c r="AL202" i="3"/>
  <c r="AV202" i="3"/>
  <c r="AE203" i="3" l="1"/>
  <c r="AU203" i="3" s="1"/>
  <c r="AL203" i="3" l="1"/>
  <c r="AX203" i="3"/>
  <c r="AI203" i="3"/>
  <c r="AS203" i="3"/>
  <c r="AP203" i="3"/>
  <c r="AB204" i="3" s="1"/>
  <c r="AV203" i="3"/>
  <c r="AJ203" i="3"/>
  <c r="AO203" i="3"/>
  <c r="AA204" i="3" s="1"/>
  <c r="AQ203" i="3"/>
  <c r="AC204" i="3" s="1"/>
  <c r="AK203" i="3"/>
  <c r="AM203" i="3"/>
  <c r="Y204" i="3" s="1"/>
  <c r="AT203" i="3"/>
  <c r="AW203" i="3"/>
  <c r="AH203" i="3"/>
  <c r="AR203" i="3"/>
  <c r="AD204" i="3" s="1"/>
  <c r="AN203" i="3"/>
  <c r="Z204" i="3" s="1"/>
  <c r="AG203" i="3"/>
  <c r="AE204" i="3" l="1"/>
  <c r="AH204" i="3" s="1"/>
  <c r="AL204" i="3" l="1"/>
  <c r="AG204" i="3"/>
  <c r="AS204" i="3"/>
  <c r="AU204" i="3"/>
  <c r="AI204" i="3"/>
  <c r="AW204" i="3"/>
  <c r="AX204" i="3"/>
  <c r="AV204" i="3"/>
  <c r="AK204" i="3"/>
  <c r="AO204" i="3"/>
  <c r="AA205" i="3" s="1"/>
  <c r="AM204" i="3"/>
  <c r="Y205" i="3" s="1"/>
  <c r="AT204" i="3"/>
  <c r="AN204" i="3"/>
  <c r="Z205" i="3" s="1"/>
  <c r="AR204" i="3"/>
  <c r="AD205" i="3" s="1"/>
  <c r="AJ204" i="3"/>
  <c r="AQ204" i="3"/>
  <c r="AC205" i="3" s="1"/>
  <c r="AP204" i="3"/>
  <c r="AB205" i="3" s="1"/>
  <c r="AE205" i="3" l="1"/>
  <c r="AM205" i="3" s="1"/>
  <c r="Y206" i="3" s="1"/>
  <c r="AH205" i="3" l="1"/>
  <c r="AK205" i="3"/>
  <c r="AX205" i="3"/>
  <c r="AS205" i="3"/>
  <c r="AP205" i="3"/>
  <c r="AB206" i="3" s="1"/>
  <c r="AN205" i="3"/>
  <c r="Z206" i="3" s="1"/>
  <c r="AJ205" i="3"/>
  <c r="AL205" i="3"/>
  <c r="AW205" i="3"/>
  <c r="AR205" i="3"/>
  <c r="AD206" i="3" s="1"/>
  <c r="AV205" i="3"/>
  <c r="AQ205" i="3"/>
  <c r="AC206" i="3" s="1"/>
  <c r="AG205" i="3"/>
  <c r="AO205" i="3"/>
  <c r="AA206" i="3" s="1"/>
  <c r="AI205" i="3"/>
  <c r="AT205" i="3"/>
  <c r="AU205" i="3"/>
  <c r="AE206" i="3" l="1"/>
  <c r="AT206" i="3" s="1"/>
  <c r="AX206" i="3" l="1"/>
  <c r="AH206" i="3"/>
  <c r="AW206" i="3"/>
  <c r="AP206" i="3"/>
  <c r="AB207" i="3" s="1"/>
  <c r="AO206" i="3"/>
  <c r="AA207" i="3" s="1"/>
  <c r="AQ206" i="3"/>
  <c r="AC207" i="3" s="1"/>
  <c r="AM206" i="3"/>
  <c r="Y207" i="3" s="1"/>
  <c r="AL206" i="3"/>
  <c r="AK206" i="3"/>
  <c r="AI206" i="3"/>
  <c r="AN206" i="3"/>
  <c r="Z207" i="3" s="1"/>
  <c r="AJ206" i="3"/>
  <c r="AV206" i="3"/>
  <c r="AR206" i="3"/>
  <c r="AD207" i="3" s="1"/>
  <c r="AS206" i="3"/>
  <c r="AG206" i="3"/>
  <c r="AU206" i="3"/>
  <c r="AE207" i="3" l="1"/>
  <c r="AI207" i="3" s="1"/>
  <c r="AQ207" i="3" l="1"/>
  <c r="AC208" i="3" s="1"/>
  <c r="AX207" i="3"/>
  <c r="AH207" i="3"/>
  <c r="AW207" i="3"/>
  <c r="AP207" i="3"/>
  <c r="AB208" i="3" s="1"/>
  <c r="AO207" i="3"/>
  <c r="AA208" i="3" s="1"/>
  <c r="AL207" i="3"/>
  <c r="AU207" i="3"/>
  <c r="AT207" i="3"/>
  <c r="AG207" i="3"/>
  <c r="AV207" i="3"/>
  <c r="AK207" i="3"/>
  <c r="AN207" i="3"/>
  <c r="Z208" i="3" s="1"/>
  <c r="AS207" i="3"/>
  <c r="AJ207" i="3"/>
  <c r="AM207" i="3"/>
  <c r="Y208" i="3" s="1"/>
  <c r="AR207" i="3"/>
  <c r="AD208" i="3" s="1"/>
  <c r="AE208" i="3" l="1"/>
  <c r="AS208" i="3" s="1"/>
  <c r="AW208" i="3" l="1"/>
  <c r="AG208" i="3"/>
  <c r="AU208" i="3"/>
  <c r="AR208" i="3"/>
  <c r="AD209" i="3" s="1"/>
  <c r="AV208" i="3"/>
  <c r="AX208" i="3"/>
  <c r="AJ208" i="3"/>
  <c r="AO208" i="3"/>
  <c r="AA209" i="3" s="1"/>
  <c r="AI208" i="3"/>
  <c r="AQ208" i="3"/>
  <c r="AC209" i="3" s="1"/>
  <c r="AM208" i="3"/>
  <c r="Y209" i="3" s="1"/>
  <c r="AL208" i="3"/>
  <c r="AN208" i="3"/>
  <c r="Z209" i="3" s="1"/>
  <c r="AT208" i="3"/>
  <c r="AH208" i="3"/>
  <c r="AP208" i="3"/>
  <c r="AB209" i="3" s="1"/>
  <c r="AK208" i="3"/>
  <c r="AE209" i="3" l="1"/>
  <c r="AW209" i="3" s="1"/>
  <c r="AT209" i="3" l="1"/>
  <c r="AN209" i="3"/>
  <c r="Z210" i="3" s="1"/>
  <c r="AQ209" i="3"/>
  <c r="AC210" i="3" s="1"/>
  <c r="AM209" i="3"/>
  <c r="Y210" i="3" s="1"/>
  <c r="AR209" i="3"/>
  <c r="AD210" i="3" s="1"/>
  <c r="AL209" i="3"/>
  <c r="AH209" i="3"/>
  <c r="AJ209" i="3"/>
  <c r="AS209" i="3"/>
  <c r="AP209" i="3"/>
  <c r="AB210" i="3" s="1"/>
  <c r="AI209" i="3"/>
  <c r="AK209" i="3"/>
  <c r="AG209" i="3"/>
  <c r="AO209" i="3"/>
  <c r="AA210" i="3" s="1"/>
  <c r="AU209" i="3"/>
  <c r="AV209" i="3"/>
  <c r="AX209" i="3"/>
  <c r="AE210" i="3" l="1"/>
  <c r="AL210" i="3" s="1"/>
  <c r="AK210" i="3" l="1"/>
  <c r="AR210" i="3"/>
  <c r="AD211" i="3" s="1"/>
  <c r="AS210" i="3"/>
  <c r="AM210" i="3"/>
  <c r="Y211" i="3" s="1"/>
  <c r="AJ210" i="3"/>
  <c r="AU210" i="3"/>
  <c r="AW210" i="3"/>
  <c r="AO210" i="3"/>
  <c r="AA211" i="3" s="1"/>
  <c r="AQ210" i="3"/>
  <c r="AC211" i="3" s="1"/>
  <c r="AX210" i="3"/>
  <c r="AT210" i="3"/>
  <c r="AN210" i="3"/>
  <c r="Z211" i="3" s="1"/>
  <c r="AP210" i="3"/>
  <c r="AB211" i="3" s="1"/>
  <c r="AV210" i="3"/>
  <c r="AI210" i="3"/>
  <c r="AH210" i="3"/>
  <c r="AG210" i="3"/>
  <c r="AE211" i="3" l="1"/>
  <c r="AW211" i="3" s="1"/>
  <c r="AP211" i="3" l="1"/>
  <c r="AB212" i="3" s="1"/>
  <c r="AI211" i="3"/>
  <c r="AL211" i="3"/>
  <c r="AM211" i="3"/>
  <c r="Y212" i="3" s="1"/>
  <c r="AS211" i="3"/>
  <c r="AG211" i="3"/>
  <c r="AO211" i="3"/>
  <c r="AA212" i="3" s="1"/>
  <c r="AT211" i="3"/>
  <c r="AU211" i="3"/>
  <c r="AX211" i="3"/>
  <c r="AH211" i="3"/>
  <c r="AR211" i="3"/>
  <c r="AD212" i="3" s="1"/>
  <c r="AJ211" i="3"/>
  <c r="AK211" i="3"/>
  <c r="AN211" i="3"/>
  <c r="Z212" i="3" s="1"/>
  <c r="AQ211" i="3"/>
  <c r="AC212" i="3" s="1"/>
  <c r="AV211" i="3"/>
  <c r="AE212" i="3" l="1"/>
  <c r="AU212" i="3" s="1"/>
  <c r="AV212" i="3" l="1"/>
  <c r="AJ212" i="3"/>
  <c r="AH212" i="3"/>
  <c r="AK212" i="3"/>
  <c r="AX212" i="3"/>
  <c r="AL212" i="3"/>
  <c r="AS212" i="3"/>
  <c r="AW212" i="3"/>
  <c r="AQ212" i="3"/>
  <c r="AC213" i="3" s="1"/>
  <c r="AG212" i="3"/>
  <c r="AN212" i="3"/>
  <c r="Z213" i="3" s="1"/>
  <c r="AO212" i="3"/>
  <c r="AA213" i="3" s="1"/>
  <c r="AM212" i="3"/>
  <c r="Y213" i="3" s="1"/>
  <c r="AR212" i="3"/>
  <c r="AD213" i="3" s="1"/>
  <c r="AP212" i="3"/>
  <c r="AB213" i="3" s="1"/>
  <c r="AT212" i="3"/>
  <c r="AI212" i="3"/>
  <c r="AE213" i="3" l="1"/>
  <c r="AS213" i="3" s="1"/>
  <c r="AP213" i="3" l="1"/>
  <c r="AB214" i="3" s="1"/>
  <c r="AV213" i="3"/>
  <c r="AX213" i="3"/>
  <c r="AG213" i="3"/>
  <c r="AN213" i="3"/>
  <c r="Z214" i="3" s="1"/>
  <c r="AW213" i="3"/>
  <c r="AK213" i="3"/>
  <c r="AH213" i="3"/>
  <c r="AI213" i="3"/>
  <c r="AO213" i="3"/>
  <c r="AA214" i="3" s="1"/>
  <c r="AJ213" i="3"/>
  <c r="AL213" i="3"/>
  <c r="AT213" i="3"/>
  <c r="AU213" i="3"/>
  <c r="AM213" i="3"/>
  <c r="Y214" i="3" s="1"/>
  <c r="AQ213" i="3"/>
  <c r="AC214" i="3" s="1"/>
  <c r="AR213" i="3"/>
  <c r="AD214" i="3" s="1"/>
  <c r="AE214" i="3" l="1"/>
  <c r="AK214" i="3" s="1"/>
  <c r="AX214" i="3" l="1"/>
  <c r="AW214" i="3"/>
  <c r="AS214" i="3"/>
  <c r="AP214" i="3"/>
  <c r="AB215" i="3" s="1"/>
  <c r="AI214" i="3"/>
  <c r="AG214" i="3"/>
  <c r="AU214" i="3"/>
  <c r="AL214" i="3"/>
  <c r="AO214" i="3"/>
  <c r="AA215" i="3" s="1"/>
  <c r="AH214" i="3"/>
  <c r="AT214" i="3"/>
  <c r="AM214" i="3"/>
  <c r="Y215" i="3" s="1"/>
  <c r="AV214" i="3"/>
  <c r="AJ214" i="3"/>
  <c r="AQ214" i="3"/>
  <c r="AC215" i="3" s="1"/>
  <c r="AN214" i="3"/>
  <c r="Z215" i="3" s="1"/>
  <c r="AR214" i="3"/>
  <c r="AD215" i="3" s="1"/>
  <c r="AE215" i="3" l="1"/>
  <c r="AU215" i="3" s="1"/>
  <c r="AW215" i="3" l="1"/>
  <c r="AG215" i="3"/>
  <c r="AQ215" i="3"/>
  <c r="AC216" i="3" s="1"/>
  <c r="AN215" i="3"/>
  <c r="Z216" i="3" s="1"/>
  <c r="AL215" i="3"/>
  <c r="AS215" i="3"/>
  <c r="AP215" i="3"/>
  <c r="AB216" i="3" s="1"/>
  <c r="AH215" i="3"/>
  <c r="AT215" i="3"/>
  <c r="AJ215" i="3"/>
  <c r="AO215" i="3"/>
  <c r="AA216" i="3" s="1"/>
  <c r="AX215" i="3"/>
  <c r="AR215" i="3"/>
  <c r="AD216" i="3" s="1"/>
  <c r="AI215" i="3"/>
  <c r="AK215" i="3"/>
  <c r="AM215" i="3"/>
  <c r="Y216" i="3" s="1"/>
  <c r="AV215" i="3"/>
  <c r="AE216" i="3" l="1"/>
  <c r="AT216" i="3" s="1"/>
  <c r="AG216" i="3" l="1"/>
  <c r="AJ216" i="3"/>
  <c r="AK216" i="3"/>
  <c r="AX216" i="3"/>
  <c r="AS216" i="3"/>
  <c r="AV216" i="3"/>
  <c r="AI216" i="3"/>
  <c r="AO216" i="3"/>
  <c r="AA217" i="3" s="1"/>
  <c r="AQ216" i="3"/>
  <c r="AC217" i="3" s="1"/>
  <c r="AM216" i="3"/>
  <c r="Y217" i="3" s="1"/>
  <c r="AR216" i="3"/>
  <c r="AD217" i="3" s="1"/>
  <c r="AP216" i="3"/>
  <c r="AB217" i="3" s="1"/>
  <c r="AW216" i="3"/>
  <c r="AU216" i="3"/>
  <c r="AH216" i="3"/>
  <c r="AL216" i="3"/>
  <c r="AN216" i="3"/>
  <c r="Z217" i="3" s="1"/>
  <c r="AE217" i="3" l="1"/>
  <c r="AG217" i="3" s="1"/>
  <c r="AQ217" i="3" l="1"/>
  <c r="AC218" i="3" s="1"/>
  <c r="AU217" i="3"/>
  <c r="AN217" i="3"/>
  <c r="Z218" i="3" s="1"/>
  <c r="AT217" i="3"/>
  <c r="AM217" i="3"/>
  <c r="Y218" i="3" s="1"/>
  <c r="AR217" i="3"/>
  <c r="AD218" i="3" s="1"/>
  <c r="AS217" i="3"/>
  <c r="AW217" i="3"/>
  <c r="AO217" i="3"/>
  <c r="AA218" i="3" s="1"/>
  <c r="AX217" i="3"/>
  <c r="AJ217" i="3"/>
  <c r="AI217" i="3"/>
  <c r="AL217" i="3"/>
  <c r="AH217" i="3"/>
  <c r="AK217" i="3"/>
  <c r="AP217" i="3"/>
  <c r="AB218" i="3" s="1"/>
  <c r="AV217" i="3"/>
  <c r="AE218" i="3" l="1"/>
  <c r="AT218" i="3" s="1"/>
  <c r="AO218" i="3" l="1"/>
  <c r="AA219" i="3" s="1"/>
  <c r="AQ218" i="3"/>
  <c r="AC219" i="3" s="1"/>
  <c r="AM218" i="3"/>
  <c r="Y219" i="3" s="1"/>
  <c r="AW218" i="3"/>
  <c r="AL218" i="3"/>
  <c r="AK218" i="3"/>
  <c r="AS218" i="3"/>
  <c r="AX218" i="3"/>
  <c r="AU218" i="3"/>
  <c r="AJ218" i="3"/>
  <c r="AP218" i="3"/>
  <c r="AB219" i="3" s="1"/>
  <c r="AI218" i="3"/>
  <c r="AH218" i="3"/>
  <c r="AN218" i="3"/>
  <c r="Z219" i="3" s="1"/>
  <c r="AR218" i="3"/>
  <c r="AD219" i="3" s="1"/>
  <c r="AV218" i="3"/>
  <c r="AG218" i="3"/>
  <c r="AE219" i="3" l="1"/>
  <c r="AU219" i="3" s="1"/>
  <c r="AO219" i="3" l="1"/>
  <c r="AA220" i="3" s="1"/>
  <c r="AG219" i="3"/>
  <c r="AQ219" i="3"/>
  <c r="AC220" i="3" s="1"/>
  <c r="AN219" i="3"/>
  <c r="Z220" i="3" s="1"/>
  <c r="AP219" i="3"/>
  <c r="AB220" i="3" s="1"/>
  <c r="AI219" i="3"/>
  <c r="AX219" i="3"/>
  <c r="AS219" i="3"/>
  <c r="AJ219" i="3"/>
  <c r="AR219" i="3"/>
  <c r="AD220" i="3" s="1"/>
  <c r="AT219" i="3"/>
  <c r="AM219" i="3"/>
  <c r="Y220" i="3" s="1"/>
  <c r="AH219" i="3"/>
  <c r="AV219" i="3"/>
  <c r="AW219" i="3"/>
  <c r="AK219" i="3"/>
  <c r="AL219" i="3"/>
  <c r="AE220" i="3" l="1"/>
  <c r="AV220" i="3" s="1"/>
  <c r="AR220" i="3" l="1"/>
  <c r="AD221" i="3" s="1"/>
  <c r="AQ220" i="3"/>
  <c r="AC221" i="3" s="1"/>
  <c r="AK220" i="3"/>
  <c r="AX220" i="3"/>
  <c r="AO220" i="3"/>
  <c r="AA221" i="3" s="1"/>
  <c r="AU220" i="3"/>
  <c r="AT220" i="3"/>
  <c r="AW220" i="3"/>
  <c r="AS220" i="3"/>
  <c r="AH220" i="3"/>
  <c r="AG220" i="3"/>
  <c r="AJ220" i="3"/>
  <c r="AI220" i="3"/>
  <c r="AM220" i="3"/>
  <c r="Y221" i="3" s="1"/>
  <c r="AL220" i="3"/>
  <c r="AP220" i="3"/>
  <c r="AB221" i="3" s="1"/>
  <c r="AN220" i="3"/>
  <c r="Z221" i="3" s="1"/>
  <c r="AE221" i="3" l="1"/>
  <c r="AS221" i="3" s="1"/>
  <c r="AH221" i="3" l="1"/>
  <c r="AJ221" i="3"/>
  <c r="AT221" i="3"/>
  <c r="AX221" i="3"/>
  <c r="AP221" i="3"/>
  <c r="AB222" i="3" s="1"/>
  <c r="AO221" i="3"/>
  <c r="AA222" i="3" s="1"/>
  <c r="AG221" i="3"/>
  <c r="AK221" i="3"/>
  <c r="AR221" i="3"/>
  <c r="AD222" i="3" s="1"/>
  <c r="AU221" i="3"/>
  <c r="AN221" i="3"/>
  <c r="Z222" i="3" s="1"/>
  <c r="AL221" i="3"/>
  <c r="AM221" i="3"/>
  <c r="Y222" i="3" s="1"/>
  <c r="AW221" i="3"/>
  <c r="AI221" i="3"/>
  <c r="AQ221" i="3"/>
  <c r="AC222" i="3" s="1"/>
  <c r="AV221" i="3"/>
  <c r="AE222" i="3" l="1"/>
  <c r="AU222" i="3" s="1"/>
  <c r="AH222" i="3" l="1"/>
  <c r="AK222" i="3"/>
  <c r="AW222" i="3"/>
  <c r="AL222" i="3"/>
  <c r="AP222" i="3"/>
  <c r="AB223" i="3" s="1"/>
  <c r="AN222" i="3"/>
  <c r="Z223" i="3" s="1"/>
  <c r="AT222" i="3"/>
  <c r="AM222" i="3"/>
  <c r="Y223" i="3" s="1"/>
  <c r="AR222" i="3"/>
  <c r="AD223" i="3" s="1"/>
  <c r="AJ222" i="3"/>
  <c r="AQ222" i="3"/>
  <c r="AC223" i="3" s="1"/>
  <c r="AI222" i="3"/>
  <c r="AX222" i="3"/>
  <c r="AV222" i="3"/>
  <c r="AG222" i="3"/>
  <c r="AO222" i="3"/>
  <c r="AA223" i="3" s="1"/>
  <c r="AS222" i="3"/>
  <c r="AE223" i="3" l="1"/>
  <c r="AJ223" i="3" s="1"/>
  <c r="AH223" i="3" l="1"/>
  <c r="AG223" i="3"/>
  <c r="AM223" i="3"/>
  <c r="Y224" i="3" s="1"/>
  <c r="AT223" i="3"/>
  <c r="AO223" i="3"/>
  <c r="AA224" i="3" s="1"/>
  <c r="AN223" i="3"/>
  <c r="Z224" i="3" s="1"/>
  <c r="AL223" i="3"/>
  <c r="AK223" i="3"/>
  <c r="AI223" i="3"/>
  <c r="AV223" i="3"/>
  <c r="AU223" i="3"/>
  <c r="AQ223" i="3"/>
  <c r="AC224" i="3" s="1"/>
  <c r="AR223" i="3"/>
  <c r="AD224" i="3" s="1"/>
  <c r="AW223" i="3"/>
  <c r="AS223" i="3"/>
  <c r="AX223" i="3"/>
  <c r="AP223" i="3"/>
  <c r="AB224" i="3" s="1"/>
  <c r="AE224" i="3" l="1"/>
  <c r="AU224" i="3" s="1"/>
  <c r="AK224" i="3" l="1"/>
  <c r="AJ224" i="3"/>
  <c r="AS224" i="3"/>
  <c r="AH224" i="3"/>
  <c r="AX224" i="3"/>
  <c r="AV224" i="3"/>
  <c r="AM224" i="3"/>
  <c r="Y225" i="3" s="1"/>
  <c r="AN224" i="3"/>
  <c r="Z225" i="3" s="1"/>
  <c r="AG224" i="3"/>
  <c r="AP224" i="3"/>
  <c r="AB225" i="3" s="1"/>
  <c r="AW224" i="3"/>
  <c r="AO224" i="3"/>
  <c r="AA225" i="3" s="1"/>
  <c r="AT224" i="3"/>
  <c r="AQ224" i="3"/>
  <c r="AC225" i="3" s="1"/>
  <c r="AR224" i="3"/>
  <c r="AD225" i="3" s="1"/>
  <c r="AI224" i="3"/>
  <c r="AL224" i="3"/>
  <c r="AE225" i="3" l="1"/>
  <c r="AJ225" i="3" s="1"/>
  <c r="AP225" i="3" l="1"/>
  <c r="AB226" i="3" s="1"/>
  <c r="AK225" i="3"/>
  <c r="AN225" i="3"/>
  <c r="Z226" i="3" s="1"/>
  <c r="AT225" i="3"/>
  <c r="AH225" i="3"/>
  <c r="AG225" i="3"/>
  <c r="AL225" i="3"/>
  <c r="AI225" i="3"/>
  <c r="AM225" i="3"/>
  <c r="Y226" i="3" s="1"/>
  <c r="AW225" i="3"/>
  <c r="AX225" i="3"/>
  <c r="AO225" i="3"/>
  <c r="AA226" i="3" s="1"/>
  <c r="AV225" i="3"/>
  <c r="AU225" i="3"/>
  <c r="AR225" i="3"/>
  <c r="AD226" i="3" s="1"/>
  <c r="AQ225" i="3"/>
  <c r="AC226" i="3" s="1"/>
  <c r="AS225" i="3"/>
  <c r="AE226" i="3" l="1"/>
  <c r="AX226" i="3" s="1"/>
  <c r="AS226" i="3" l="1"/>
  <c r="AG226" i="3"/>
  <c r="AV226" i="3"/>
  <c r="AJ226" i="3"/>
  <c r="AI226" i="3"/>
  <c r="AO226" i="3"/>
  <c r="AA227" i="3" s="1"/>
  <c r="AT226" i="3"/>
  <c r="AU226" i="3"/>
  <c r="AL226" i="3"/>
  <c r="AM226" i="3"/>
  <c r="Y227" i="3" s="1"/>
  <c r="AQ226" i="3"/>
  <c r="AC227" i="3" s="1"/>
  <c r="AN226" i="3"/>
  <c r="Z227" i="3" s="1"/>
  <c r="AP226" i="3"/>
  <c r="AB227" i="3" s="1"/>
  <c r="AR226" i="3"/>
  <c r="AD227" i="3" s="1"/>
  <c r="AK226" i="3"/>
  <c r="AW226" i="3"/>
  <c r="AH226" i="3"/>
  <c r="AE227" i="3" l="1"/>
  <c r="AQ227" i="3" s="1"/>
  <c r="AC228" i="3" s="1"/>
  <c r="AK227" i="3" l="1"/>
  <c r="AM227" i="3"/>
  <c r="Y228" i="3" s="1"/>
  <c r="AG227" i="3"/>
  <c r="AW227" i="3"/>
  <c r="AP227" i="3"/>
  <c r="AB228" i="3" s="1"/>
  <c r="AL227" i="3"/>
  <c r="AO227" i="3"/>
  <c r="AA228" i="3" s="1"/>
  <c r="AT227" i="3"/>
  <c r="AS227" i="3"/>
  <c r="AX227" i="3"/>
  <c r="AV227" i="3"/>
  <c r="AN227" i="3"/>
  <c r="Z228" i="3" s="1"/>
  <c r="AR227" i="3"/>
  <c r="AD228" i="3" s="1"/>
  <c r="AH227" i="3"/>
  <c r="AU227" i="3"/>
  <c r="AI227" i="3"/>
  <c r="AJ227" i="3"/>
  <c r="AE228" i="3" l="1"/>
  <c r="AU228" i="3" s="1"/>
  <c r="AX228" i="3" l="1"/>
  <c r="AM228" i="3"/>
  <c r="Y229" i="3" s="1"/>
  <c r="AQ228" i="3"/>
  <c r="AC229" i="3" s="1"/>
  <c r="AJ228" i="3"/>
  <c r="AV228" i="3"/>
  <c r="AH228" i="3"/>
  <c r="AS228" i="3"/>
  <c r="AR228" i="3"/>
  <c r="AD229" i="3" s="1"/>
  <c r="AW228" i="3"/>
  <c r="AO228" i="3"/>
  <c r="AA229" i="3" s="1"/>
  <c r="AI228" i="3"/>
  <c r="AT228" i="3"/>
  <c r="AP228" i="3"/>
  <c r="AB229" i="3" s="1"/>
  <c r="AN228" i="3"/>
  <c r="Z229" i="3" s="1"/>
  <c r="AG228" i="3"/>
  <c r="AK228" i="3"/>
  <c r="AL228" i="3"/>
  <c r="AE229" i="3" l="1"/>
  <c r="AU229" i="3" s="1"/>
  <c r="AX229" i="3" l="1"/>
  <c r="AG229" i="3"/>
  <c r="AT229" i="3"/>
  <c r="AJ229" i="3"/>
  <c r="AR229" i="3"/>
  <c r="AD230" i="3" s="1"/>
  <c r="AN229" i="3"/>
  <c r="Z230" i="3" s="1"/>
  <c r="AH229" i="3"/>
  <c r="AK229" i="3"/>
  <c r="AI229" i="3"/>
  <c r="AW229" i="3"/>
  <c r="AP229" i="3"/>
  <c r="AB230" i="3" s="1"/>
  <c r="AL229" i="3"/>
  <c r="AV229" i="3"/>
  <c r="AO229" i="3"/>
  <c r="AA230" i="3" s="1"/>
  <c r="AS229" i="3"/>
  <c r="AM229" i="3"/>
  <c r="Y230" i="3" s="1"/>
  <c r="AQ229" i="3"/>
  <c r="AC230" i="3" s="1"/>
  <c r="AE230" i="3" l="1"/>
  <c r="AM230" i="3" s="1"/>
  <c r="Y231" i="3" s="1"/>
  <c r="AU230" i="3" l="1"/>
  <c r="AO230" i="3"/>
  <c r="AA231" i="3" s="1"/>
  <c r="AX230" i="3"/>
  <c r="AJ230" i="3"/>
  <c r="AL230" i="3"/>
  <c r="AV230" i="3"/>
  <c r="AI230" i="3"/>
  <c r="AS230" i="3"/>
  <c r="AW230" i="3"/>
  <c r="AN230" i="3"/>
  <c r="Z231" i="3" s="1"/>
  <c r="AG230" i="3"/>
  <c r="AK230" i="3"/>
  <c r="AP230" i="3"/>
  <c r="AB231" i="3" s="1"/>
  <c r="AT230" i="3"/>
  <c r="AQ230" i="3"/>
  <c r="AC231" i="3" s="1"/>
  <c r="AR230" i="3"/>
  <c r="AD231" i="3" s="1"/>
  <c r="AH230" i="3"/>
  <c r="AE231" i="3" l="1"/>
  <c r="AW231" i="3" s="1"/>
  <c r="AK231" i="3" l="1"/>
  <c r="AT231" i="3"/>
  <c r="AG231" i="3"/>
  <c r="AM231" i="3"/>
  <c r="Y232" i="3" s="1"/>
  <c r="AQ231" i="3"/>
  <c r="AC232" i="3" s="1"/>
  <c r="AX231" i="3"/>
  <c r="AP231" i="3"/>
  <c r="AB232" i="3" s="1"/>
  <c r="AI231" i="3"/>
  <c r="AV231" i="3"/>
  <c r="AR231" i="3"/>
  <c r="AD232" i="3" s="1"/>
  <c r="AS231" i="3"/>
  <c r="AH231" i="3"/>
  <c r="AN231" i="3"/>
  <c r="Z232" i="3" s="1"/>
  <c r="AO231" i="3"/>
  <c r="AA232" i="3" s="1"/>
  <c r="AL231" i="3"/>
  <c r="AU231" i="3"/>
  <c r="AJ231" i="3"/>
  <c r="AE232" i="3" l="1"/>
  <c r="AR232" i="3" s="1"/>
  <c r="AD233" i="3" s="1"/>
  <c r="AV232" i="3" l="1"/>
  <c r="AP232" i="3"/>
  <c r="AB233" i="3" s="1"/>
  <c r="AG232" i="3"/>
  <c r="AS232" i="3"/>
  <c r="AJ232" i="3"/>
  <c r="AU232" i="3"/>
  <c r="AN232" i="3"/>
  <c r="Z233" i="3" s="1"/>
  <c r="AM232" i="3"/>
  <c r="Y233" i="3" s="1"/>
  <c r="AI232" i="3"/>
  <c r="AO232" i="3"/>
  <c r="AA233" i="3" s="1"/>
  <c r="AX232" i="3"/>
  <c r="AT232" i="3"/>
  <c r="AL232" i="3"/>
  <c r="AH232" i="3"/>
  <c r="AK232" i="3"/>
  <c r="AW232" i="3"/>
  <c r="AQ232" i="3"/>
  <c r="AC233" i="3" s="1"/>
  <c r="AE233" i="3" l="1"/>
  <c r="AU233" i="3" s="1"/>
  <c r="AS233" i="3" l="1"/>
  <c r="AM233" i="3"/>
  <c r="Y234" i="3" s="1"/>
  <c r="AK233" i="3"/>
  <c r="AG233" i="3"/>
  <c r="AV233" i="3"/>
  <c r="AN233" i="3"/>
  <c r="Z234" i="3" s="1"/>
  <c r="AJ233" i="3"/>
  <c r="AW233" i="3"/>
  <c r="AQ233" i="3"/>
  <c r="AC234" i="3" s="1"/>
  <c r="AX233" i="3"/>
  <c r="AL233" i="3"/>
  <c r="AP233" i="3"/>
  <c r="AB234" i="3" s="1"/>
  <c r="AO233" i="3"/>
  <c r="AA234" i="3" s="1"/>
  <c r="AH233" i="3"/>
  <c r="AI233" i="3"/>
  <c r="AR233" i="3"/>
  <c r="AD234" i="3" s="1"/>
  <c r="AT233" i="3"/>
  <c r="AE234" i="3" l="1"/>
  <c r="AM234" i="3" s="1"/>
  <c r="Y235" i="3" s="1"/>
  <c r="AG234" i="3" l="1"/>
  <c r="AK234" i="3"/>
  <c r="AH234" i="3"/>
  <c r="AW234" i="3"/>
  <c r="AL234" i="3"/>
  <c r="AX234" i="3"/>
  <c r="AP234" i="3"/>
  <c r="AB235" i="3" s="1"/>
  <c r="AS234" i="3"/>
  <c r="AJ234" i="3"/>
  <c r="AU234" i="3"/>
  <c r="AI234" i="3"/>
  <c r="AQ234" i="3"/>
  <c r="AC235" i="3" s="1"/>
  <c r="AO234" i="3"/>
  <c r="AA235" i="3" s="1"/>
  <c r="AT234" i="3"/>
  <c r="AR234" i="3"/>
  <c r="AD235" i="3" s="1"/>
  <c r="AV234" i="3"/>
  <c r="AN234" i="3"/>
  <c r="Z235" i="3" s="1"/>
  <c r="AE235" i="3" l="1"/>
  <c r="AI235" i="3" s="1"/>
  <c r="AN235" i="3" l="1"/>
  <c r="Z236" i="3" s="1"/>
  <c r="AR235" i="3"/>
  <c r="AD236" i="3" s="1"/>
  <c r="AW235" i="3"/>
  <c r="AH235" i="3"/>
  <c r="AP235" i="3"/>
  <c r="AB236" i="3" s="1"/>
  <c r="AV235" i="3"/>
  <c r="AJ235" i="3"/>
  <c r="AM235" i="3"/>
  <c r="Y236" i="3" s="1"/>
  <c r="AL235" i="3"/>
  <c r="AO235" i="3"/>
  <c r="AA236" i="3" s="1"/>
  <c r="AG235" i="3"/>
  <c r="AQ235" i="3"/>
  <c r="AC236" i="3" s="1"/>
  <c r="AT235" i="3"/>
  <c r="AU235" i="3"/>
  <c r="AK235" i="3"/>
  <c r="AX235" i="3"/>
  <c r="AS235" i="3"/>
  <c r="AE236" i="3" l="1"/>
  <c r="AV236" i="3" s="1"/>
  <c r="AP236" i="3" l="1"/>
  <c r="AB237" i="3" s="1"/>
  <c r="AH236" i="3"/>
  <c r="AU236" i="3"/>
  <c r="AJ236" i="3"/>
  <c r="AM236" i="3"/>
  <c r="Y237" i="3" s="1"/>
  <c r="AS236" i="3"/>
  <c r="AQ236" i="3"/>
  <c r="AC237" i="3" s="1"/>
  <c r="AX236" i="3"/>
  <c r="AO236" i="3"/>
  <c r="AA237" i="3" s="1"/>
  <c r="AK236" i="3"/>
  <c r="AN236" i="3"/>
  <c r="Z237" i="3" s="1"/>
  <c r="AT236" i="3"/>
  <c r="AG236" i="3"/>
  <c r="AW236" i="3"/>
  <c r="AI236" i="3"/>
  <c r="AR236" i="3"/>
  <c r="AD237" i="3" s="1"/>
  <c r="AL236" i="3"/>
  <c r="AE237" i="3" l="1"/>
  <c r="AT237" i="3" s="1"/>
  <c r="AJ237" i="3" l="1"/>
  <c r="AI237" i="3"/>
  <c r="AQ237" i="3"/>
  <c r="AC238" i="3" s="1"/>
  <c r="AW237" i="3"/>
  <c r="AX237" i="3"/>
  <c r="AU237" i="3"/>
  <c r="AH237" i="3"/>
  <c r="AV237" i="3"/>
  <c r="AR237" i="3"/>
  <c r="AD238" i="3" s="1"/>
  <c r="AO237" i="3"/>
  <c r="AA238" i="3" s="1"/>
  <c r="AL237" i="3"/>
  <c r="AS237" i="3"/>
  <c r="AP237" i="3"/>
  <c r="AB238" i="3" s="1"/>
  <c r="AM237" i="3"/>
  <c r="Y238" i="3" s="1"/>
  <c r="AN237" i="3"/>
  <c r="Z238" i="3" s="1"/>
  <c r="AG237" i="3"/>
  <c r="AK237" i="3"/>
  <c r="AE238" i="3" l="1"/>
  <c r="AP238" i="3" s="1"/>
  <c r="AB239" i="3" s="1"/>
  <c r="AN238" i="3" l="1"/>
  <c r="Z239" i="3" s="1"/>
  <c r="AQ238" i="3"/>
  <c r="AC239" i="3" s="1"/>
  <c r="AM238" i="3"/>
  <c r="Y239" i="3" s="1"/>
  <c r="AX238" i="3"/>
  <c r="AS238" i="3"/>
  <c r="AV238" i="3"/>
  <c r="AJ238" i="3"/>
  <c r="AH238" i="3"/>
  <c r="AO238" i="3"/>
  <c r="AA239" i="3" s="1"/>
  <c r="AI238" i="3"/>
  <c r="AW238" i="3"/>
  <c r="AK238" i="3"/>
  <c r="AR238" i="3"/>
  <c r="AD239" i="3" s="1"/>
  <c r="AU238" i="3"/>
  <c r="AG238" i="3"/>
  <c r="AT238" i="3"/>
  <c r="AL238" i="3"/>
  <c r="AE239" i="3" l="1"/>
  <c r="AS239" i="3" s="1"/>
  <c r="AI239" i="3" l="1"/>
  <c r="AJ239" i="3"/>
  <c r="AQ239" i="3"/>
  <c r="AC240" i="3" s="1"/>
  <c r="AV239" i="3"/>
  <c r="AP239" i="3"/>
  <c r="AB240" i="3" s="1"/>
  <c r="AG239" i="3"/>
  <c r="AX239" i="3"/>
  <c r="AW239" i="3"/>
  <c r="AO239" i="3"/>
  <c r="AA240" i="3" s="1"/>
  <c r="AN239" i="3"/>
  <c r="Z240" i="3" s="1"/>
  <c r="AH239" i="3"/>
  <c r="AM239" i="3"/>
  <c r="Y240" i="3" s="1"/>
  <c r="AL239" i="3"/>
  <c r="AR239" i="3"/>
  <c r="AD240" i="3" s="1"/>
  <c r="AT239" i="3"/>
  <c r="AK239" i="3"/>
  <c r="AU239" i="3"/>
  <c r="AE240" i="3" l="1"/>
  <c r="AU240" i="3" s="1"/>
  <c r="AP240" i="3" l="1"/>
  <c r="AB241" i="3" s="1"/>
  <c r="AV240" i="3"/>
  <c r="AK240" i="3"/>
  <c r="AX240" i="3"/>
  <c r="AJ240" i="3"/>
  <c r="AS240" i="3"/>
  <c r="AH240" i="3"/>
  <c r="AL240" i="3"/>
  <c r="AQ240" i="3"/>
  <c r="AC241" i="3" s="1"/>
  <c r="AW240" i="3"/>
  <c r="AG240" i="3"/>
  <c r="AN240" i="3"/>
  <c r="Z241" i="3" s="1"/>
  <c r="AM240" i="3"/>
  <c r="Y241" i="3" s="1"/>
  <c r="AT240" i="3"/>
  <c r="AO240" i="3"/>
  <c r="AA241" i="3" s="1"/>
  <c r="AI240" i="3"/>
  <c r="AR240" i="3"/>
  <c r="AD241" i="3" s="1"/>
  <c r="AE241" i="3" l="1"/>
  <c r="AS241" i="3" s="1"/>
  <c r="AI241" i="3" l="1"/>
  <c r="AN241" i="3"/>
  <c r="Z242" i="3" s="1"/>
  <c r="AV241" i="3"/>
  <c r="AK241" i="3"/>
  <c r="AX241" i="3"/>
  <c r="AJ241" i="3"/>
  <c r="AM241" i="3"/>
  <c r="Y242" i="3" s="1"/>
  <c r="AP241" i="3"/>
  <c r="AB242" i="3" s="1"/>
  <c r="AG241" i="3"/>
  <c r="AR241" i="3"/>
  <c r="AD242" i="3" s="1"/>
  <c r="AW241" i="3"/>
  <c r="AO241" i="3"/>
  <c r="AA242" i="3" s="1"/>
  <c r="AT241" i="3"/>
  <c r="AU241" i="3"/>
  <c r="AQ241" i="3"/>
  <c r="AC242" i="3" s="1"/>
  <c r="AL241" i="3"/>
  <c r="AH241" i="3"/>
  <c r="AE242" i="3" l="1"/>
  <c r="AT242" i="3" s="1"/>
  <c r="AR242" i="3" l="1"/>
  <c r="AD243" i="3" s="1"/>
  <c r="AV242" i="3"/>
  <c r="AU242" i="3"/>
  <c r="AS242" i="3"/>
  <c r="AH242" i="3"/>
  <c r="AW242" i="3"/>
  <c r="AM242" i="3"/>
  <c r="Y243" i="3" s="1"/>
  <c r="AI242" i="3"/>
  <c r="AJ242" i="3"/>
  <c r="AK242" i="3"/>
  <c r="AO242" i="3"/>
  <c r="AA243" i="3" s="1"/>
  <c r="AL242" i="3"/>
  <c r="AN242" i="3"/>
  <c r="Z243" i="3" s="1"/>
  <c r="AP242" i="3"/>
  <c r="AB243" i="3" s="1"/>
  <c r="AQ242" i="3"/>
  <c r="AC243" i="3" s="1"/>
  <c r="AG242" i="3"/>
  <c r="AX242" i="3"/>
  <c r="AE243" i="3" l="1"/>
  <c r="AH243" i="3" s="1"/>
  <c r="AS243" i="3" l="1"/>
  <c r="AJ243" i="3"/>
  <c r="AQ243" i="3"/>
  <c r="AC244" i="3" s="1"/>
  <c r="AG243" i="3"/>
  <c r="AO243" i="3"/>
  <c r="AA244" i="3" s="1"/>
  <c r="AR243" i="3"/>
  <c r="AD244" i="3" s="1"/>
  <c r="AK243" i="3"/>
  <c r="AX243" i="3"/>
  <c r="AW243" i="3"/>
  <c r="AL243" i="3"/>
  <c r="AN243" i="3"/>
  <c r="Z244" i="3" s="1"/>
  <c r="AU243" i="3"/>
  <c r="AV243" i="3"/>
  <c r="AP243" i="3"/>
  <c r="AB244" i="3" s="1"/>
  <c r="AI243" i="3"/>
  <c r="AT243" i="3"/>
  <c r="AM243" i="3"/>
  <c r="Y244" i="3" s="1"/>
  <c r="AE244" i="3" l="1"/>
  <c r="AW244" i="3" s="1"/>
  <c r="AJ244" i="3" l="1"/>
  <c r="AL244" i="3"/>
  <c r="AT244" i="3"/>
  <c r="AK244" i="3"/>
  <c r="AS244" i="3"/>
  <c r="AH244" i="3"/>
  <c r="AR244" i="3"/>
  <c r="AD245" i="3" s="1"/>
  <c r="AP244" i="3"/>
  <c r="AB245" i="3" s="1"/>
  <c r="AQ244" i="3"/>
  <c r="AC245" i="3" s="1"/>
  <c r="AI244" i="3"/>
  <c r="AU244" i="3"/>
  <c r="AX244" i="3"/>
  <c r="AO244" i="3"/>
  <c r="AA245" i="3" s="1"/>
  <c r="AM244" i="3"/>
  <c r="Y245" i="3" s="1"/>
  <c r="AG244" i="3"/>
  <c r="AN244" i="3"/>
  <c r="Z245" i="3" s="1"/>
  <c r="AV244" i="3"/>
  <c r="AE245" i="3" l="1"/>
  <c r="AP245" i="3" s="1"/>
  <c r="AB246" i="3" s="1"/>
  <c r="AG245" i="3" l="1"/>
  <c r="AM245" i="3"/>
  <c r="Y246" i="3" s="1"/>
  <c r="AO245" i="3"/>
  <c r="AA246" i="3" s="1"/>
  <c r="AS245" i="3"/>
  <c r="AH245" i="3"/>
  <c r="AW245" i="3"/>
  <c r="AT245" i="3"/>
  <c r="AK245" i="3"/>
  <c r="AR245" i="3"/>
  <c r="AD246" i="3" s="1"/>
  <c r="AX245" i="3"/>
  <c r="AV245" i="3"/>
  <c r="AU245" i="3"/>
  <c r="AJ245" i="3"/>
  <c r="AQ245" i="3"/>
  <c r="AC246" i="3" s="1"/>
  <c r="AN245" i="3"/>
  <c r="Z246" i="3" s="1"/>
  <c r="AI245" i="3"/>
  <c r="AL245" i="3"/>
  <c r="AE246" i="3" l="1"/>
  <c r="AP246" i="3" s="1"/>
  <c r="AB247" i="3" s="1"/>
  <c r="AO246" i="3" l="1"/>
  <c r="AA247" i="3" s="1"/>
  <c r="AI246" i="3"/>
  <c r="AK246" i="3"/>
  <c r="AJ246" i="3"/>
  <c r="AQ246" i="3"/>
  <c r="AC247" i="3" s="1"/>
  <c r="AN246" i="3"/>
  <c r="Z247" i="3" s="1"/>
  <c r="AW246" i="3"/>
  <c r="AS246" i="3"/>
  <c r="AG246" i="3"/>
  <c r="AM246" i="3"/>
  <c r="Y247" i="3" s="1"/>
  <c r="AH246" i="3"/>
  <c r="AX246" i="3"/>
  <c r="AT246" i="3"/>
  <c r="AU246" i="3"/>
  <c r="AL246" i="3"/>
  <c r="AR246" i="3"/>
  <c r="AD247" i="3" s="1"/>
  <c r="AV246" i="3"/>
  <c r="AE247" i="3" l="1"/>
  <c r="AV247" i="3" s="1"/>
  <c r="AG247" i="3" l="1"/>
  <c r="AI247" i="3"/>
  <c r="AL247" i="3"/>
  <c r="AJ247" i="3"/>
  <c r="AQ247" i="3"/>
  <c r="AC248" i="3" s="1"/>
  <c r="AW247" i="3"/>
  <c r="AS247" i="3"/>
  <c r="AX247" i="3"/>
  <c r="AU247" i="3"/>
  <c r="AR247" i="3"/>
  <c r="AD248" i="3" s="1"/>
  <c r="AP247" i="3"/>
  <c r="AB248" i="3" s="1"/>
  <c r="AK247" i="3"/>
  <c r="AT247" i="3"/>
  <c r="AN247" i="3"/>
  <c r="Z248" i="3" s="1"/>
  <c r="AH247" i="3"/>
  <c r="AM247" i="3"/>
  <c r="Y248" i="3" s="1"/>
  <c r="AO247" i="3"/>
  <c r="AA248" i="3" s="1"/>
  <c r="AE248" i="3" l="1"/>
  <c r="AI248" i="3" s="1"/>
  <c r="V66" i="3" s="1"/>
  <c r="Y27" i="1" s="1"/>
  <c r="AP248" i="3" l="1"/>
  <c r="AU248" i="3"/>
  <c r="AK248" i="3"/>
  <c r="V68" i="3" s="1"/>
  <c r="Y29" i="1" s="1"/>
  <c r="AL248" i="3"/>
  <c r="V69" i="3" s="1"/>
  <c r="Y30" i="1" s="1"/>
  <c r="AJ248" i="3"/>
  <c r="V67" i="3" s="1"/>
  <c r="Y28" i="1" s="1"/>
  <c r="AN248" i="3"/>
  <c r="AR248" i="3"/>
  <c r="AS248" i="3"/>
  <c r="AG248" i="3"/>
  <c r="V64" i="3" s="1"/>
  <c r="Y25" i="1" s="1"/>
  <c r="AT248" i="3"/>
  <c r="AM248" i="3"/>
  <c r="AW248" i="3"/>
  <c r="AH248" i="3"/>
  <c r="V65" i="3" s="1"/>
  <c r="Y26" i="1" s="1"/>
  <c r="AX248" i="3"/>
  <c r="AQ248" i="3"/>
  <c r="AO248" i="3"/>
  <c r="AV248" i="3"/>
  <c r="V72" i="3" l="1"/>
  <c r="V73" i="3" s="1"/>
  <c r="X32" i="1" s="1"/>
</calcChain>
</file>

<file path=xl/sharedStrings.xml><?xml version="1.0" encoding="utf-8"?>
<sst xmlns="http://schemas.openxmlformats.org/spreadsheetml/2006/main" count="733" uniqueCount="371">
  <si>
    <t xml:space="preserve"> 사람들이 가장 많이 궁금해 하는 스탯
 효율이 표시됩니다.</t>
  </si>
  <si>
    <t xml:space="preserve"> 입력한 스펙의 주스탯, 스탯
 퍼, 총 공/마가 표시됩니다.</t>
  </si>
  <si>
    <t>리레</t>
  </si>
  <si>
    <t>출력</t>
  </si>
  <si>
    <t>STR</t>
  </si>
  <si>
    <t>불독</t>
  </si>
  <si>
    <t>히어로</t>
  </si>
  <si>
    <t>아란</t>
  </si>
  <si>
    <t>3%</t>
  </si>
  <si>
    <t>카데나</t>
  </si>
  <si>
    <t>썬콜</t>
  </si>
  <si>
    <t>DEX</t>
  </si>
  <si>
    <t>스공</t>
  </si>
  <si>
    <t>스탯퍼</t>
  </si>
  <si>
    <t>은월</t>
  </si>
  <si>
    <t>미하일</t>
  </si>
  <si>
    <t>너클</t>
  </si>
  <si>
    <t>에반</t>
  </si>
  <si>
    <t>팔라딘</t>
  </si>
  <si>
    <t>카이저</t>
  </si>
  <si>
    <t>비숍</t>
  </si>
  <si>
    <t>제로</t>
  </si>
  <si>
    <t>섀도어</t>
  </si>
  <si>
    <t>메카닉</t>
  </si>
  <si>
    <t>신궁</t>
  </si>
  <si>
    <t>캡틴</t>
  </si>
  <si>
    <t>건</t>
  </si>
  <si>
    <t>직업</t>
  </si>
  <si>
    <t>팬텀</t>
  </si>
  <si>
    <t xml:space="preserve"> 무기</t>
  </si>
  <si>
    <t>리테</t>
  </si>
  <si>
    <t>석궁</t>
  </si>
  <si>
    <t>상승딜</t>
  </si>
  <si>
    <t>무기</t>
  </si>
  <si>
    <t xml:space="preserve"> 직업</t>
  </si>
  <si>
    <t>폴암</t>
  </si>
  <si>
    <t>부스탯</t>
  </si>
  <si>
    <t>바이퍼</t>
  </si>
  <si>
    <t>공마퍼</t>
  </si>
  <si>
    <t>INT</t>
  </si>
  <si>
    <t>활</t>
  </si>
  <si>
    <t>순스탯</t>
  </si>
  <si>
    <t>원래딜</t>
  </si>
  <si>
    <t>일리움</t>
  </si>
  <si>
    <t>공마</t>
  </si>
  <si>
    <t>주스탯</t>
  </si>
  <si>
    <t>한손검</t>
  </si>
  <si>
    <t>케인</t>
  </si>
  <si>
    <t>LUK</t>
  </si>
  <si>
    <t>완드</t>
  </si>
  <si>
    <t>단검</t>
  </si>
  <si>
    <t>스태프</t>
  </si>
  <si>
    <t>입력</t>
  </si>
  <si>
    <t>아크</t>
  </si>
  <si>
    <t>아대</t>
  </si>
  <si>
    <t>두손검</t>
  </si>
  <si>
    <t>6%</t>
  </si>
  <si>
    <t>12%</t>
  </si>
  <si>
    <t>=</t>
  </si>
  <si>
    <t>크뎀</t>
  </si>
  <si>
    <t>창</t>
  </si>
  <si>
    <t>+1</t>
  </si>
  <si>
    <t>방무</t>
  </si>
  <si>
    <t>크리딜</t>
  </si>
  <si>
    <t>계산값</t>
  </si>
  <si>
    <t>크확</t>
  </si>
  <si>
    <t>마력</t>
  </si>
  <si>
    <t>숙련도</t>
  </si>
  <si>
    <t>레벨</t>
  </si>
  <si>
    <t>체인</t>
  </si>
  <si>
    <t>최종뎀</t>
  </si>
  <si>
    <t>방어율</t>
  </si>
  <si>
    <t>공격력</t>
  </si>
  <si>
    <t>NO</t>
  </si>
  <si>
    <t>뎀지</t>
  </si>
  <si>
    <t>기본딜</t>
  </si>
  <si>
    <t xml:space="preserve"> 레벨</t>
  </si>
  <si>
    <t>보공</t>
  </si>
  <si>
    <t>YES</t>
  </si>
  <si>
    <t>공퍼</t>
  </si>
  <si>
    <t>9%</t>
  </si>
  <si>
    <t>남은P</t>
  </si>
  <si>
    <t xml:space="preserve"> 마력</t>
  </si>
  <si>
    <t>주스</t>
  </si>
  <si>
    <t xml:space="preserve"> </t>
  </si>
  <si>
    <t>원래</t>
  </si>
  <si>
    <t>나중딜</t>
  </si>
  <si>
    <t>부스</t>
  </si>
  <si>
    <t>선택</t>
  </si>
  <si>
    <t xml:space="preserve"> 보스 데미지</t>
  </si>
  <si>
    <t xml:space="preserve"> 스탯 공격력</t>
  </si>
  <si>
    <t xml:space="preserve"> 크리 데미지</t>
  </si>
  <si>
    <t xml:space="preserve"> 방어율 무시</t>
  </si>
  <si>
    <t xml:space="preserve"> 무기상수</t>
  </si>
  <si>
    <t xml:space="preserve"> 아케인포스</t>
  </si>
  <si>
    <t xml:space="preserve"> 데미지</t>
  </si>
  <si>
    <t>건틀렛 리볼버</t>
  </si>
  <si>
    <t xml:space="preserve"> 최종 데미지</t>
  </si>
  <si>
    <t>쓸컴뱃 숙련도</t>
  </si>
  <si>
    <t>배틀메이지</t>
  </si>
  <si>
    <t>매직 건틀렛</t>
  </si>
  <si>
    <t>태도(알파)</t>
  </si>
  <si>
    <t>대검(베타)</t>
  </si>
  <si>
    <t>샤이닝 로드</t>
  </si>
  <si>
    <t>ESP 리미터</t>
  </si>
  <si>
    <t>소울 슈터</t>
  </si>
  <si>
    <t>듀얼 보우건</t>
  </si>
  <si>
    <t>핸드 캐논</t>
  </si>
  <si>
    <t>한손둔기</t>
  </si>
  <si>
    <t>무기상수</t>
  </si>
  <si>
    <t>DEX+STR</t>
  </si>
  <si>
    <t>두손둔기</t>
  </si>
  <si>
    <t>두손도끼</t>
  </si>
  <si>
    <t>사용가능무기</t>
  </si>
  <si>
    <t>한손도끼</t>
  </si>
  <si>
    <t>엔젤릭버스터</t>
  </si>
  <si>
    <t>와일드헌터</t>
  </si>
  <si>
    <t>블래스터</t>
  </si>
  <si>
    <t>데몬슬레이어</t>
  </si>
  <si>
    <t>스트라이커</t>
  </si>
  <si>
    <t>루미너스</t>
  </si>
  <si>
    <t>메르세데스</t>
  </si>
  <si>
    <t>키네시스</t>
  </si>
  <si>
    <t>윈드브레이커</t>
  </si>
  <si>
    <t>나이트워커</t>
  </si>
  <si>
    <t>듀얼블레이드</t>
  </si>
  <si>
    <t>소울마스터</t>
  </si>
  <si>
    <t>캐논슈터</t>
  </si>
  <si>
    <t>다크나이트</t>
  </si>
  <si>
    <t>보우마스터</t>
  </si>
  <si>
    <t>플레임위자드</t>
  </si>
  <si>
    <t>나이트로드</t>
  </si>
  <si>
    <t>메용스탯</t>
  </si>
  <si>
    <t xml:space="preserve"> 크리티컬발동</t>
  </si>
  <si>
    <t>쓸컴뱃 사용?</t>
  </si>
  <si>
    <t>부스탯합</t>
  </si>
  <si>
    <t>기본스탯</t>
  </si>
  <si>
    <t>포스스탯</t>
  </si>
  <si>
    <t>유니온스탯</t>
  </si>
  <si>
    <t>퍼센트X스탯합</t>
  </si>
  <si>
    <t>일치후보</t>
  </si>
  <si>
    <t>예상공마</t>
  </si>
  <si>
    <t>계산스공</t>
  </si>
  <si>
    <t>실제공마</t>
  </si>
  <si>
    <t>공마후보</t>
  </si>
  <si>
    <t xml:space="preserve"> 스펙 정보</t>
  </si>
  <si>
    <t>효율 계산</t>
  </si>
  <si>
    <t>효율 비교</t>
  </si>
  <si>
    <t>실제적용스펙</t>
  </si>
  <si>
    <t>공격력+1</t>
  </si>
  <si>
    <t>공퍼+1%</t>
  </si>
  <si>
    <t>크뎀+1%</t>
  </si>
  <si>
    <t>보공+1%</t>
  </si>
  <si>
    <t>스탯+1%후</t>
  </si>
  <si>
    <t>딜상승률</t>
  </si>
  <si>
    <t>시드링효율</t>
  </si>
  <si>
    <t xml:space="preserve"> STR 증가</t>
  </si>
  <si>
    <t xml:space="preserve"> DEX 증가</t>
  </si>
  <si>
    <t xml:space="preserve"> INT 증가</t>
  </si>
  <si>
    <t xml:space="preserve"> LUK 증가</t>
  </si>
  <si>
    <t xml:space="preserve"> 예상 스공</t>
  </si>
  <si>
    <t>잠재효율</t>
  </si>
  <si>
    <t>보스실제방어율</t>
  </si>
  <si>
    <t xml:space="preserve"> 시드링 효율</t>
  </si>
  <si>
    <t xml:space="preserve"> 메용 레벨</t>
  </si>
  <si>
    <t>확실하지 않음</t>
  </si>
  <si>
    <t>기본공마퍼</t>
  </si>
  <si>
    <t xml:space="preserve"> 2레벨</t>
  </si>
  <si>
    <t xml:space="preserve"> 1레벨</t>
  </si>
  <si>
    <t xml:space="preserve"> 4레벨</t>
  </si>
  <si>
    <t xml:space="preserve"> 3레벨</t>
  </si>
  <si>
    <t>안쓰는스탯1</t>
  </si>
  <si>
    <t>방무무한?</t>
  </si>
  <si>
    <t xml:space="preserve"> 링 오브 썸</t>
  </si>
  <si>
    <t>안쓰는스탯2</t>
  </si>
  <si>
    <t xml:space="preserve"> 웨폰퍼프 링</t>
  </si>
  <si>
    <t xml:space="preserve"> 레벨퍼프 링</t>
  </si>
  <si>
    <t xml:space="preserve"> 얼티링</t>
  </si>
  <si>
    <t>모든스탯</t>
  </si>
  <si>
    <t>레벨퍼프</t>
  </si>
  <si>
    <t>웨폰퍼프</t>
  </si>
  <si>
    <t xml:space="preserve"> INT</t>
  </si>
  <si>
    <t>링오브썸</t>
  </si>
  <si>
    <t>원래반지</t>
  </si>
  <si>
    <t xml:space="preserve"> 총 포인트</t>
  </si>
  <si>
    <t xml:space="preserve"> 남은 포인트</t>
  </si>
  <si>
    <t>미리포인트</t>
  </si>
  <si>
    <t>총포인트</t>
  </si>
  <si>
    <t xml:space="preserve"> 유니온 레벨</t>
  </si>
  <si>
    <t xml:space="preserve"> 방어율 무시(%)</t>
  </si>
  <si>
    <t xml:space="preserve"> 상세 스탯 입력</t>
  </si>
  <si>
    <t xml:space="preserve"> 크리티컬발동(%)</t>
  </si>
  <si>
    <t xml:space="preserve"> 기존 반지 옵션</t>
  </si>
  <si>
    <t xml:space="preserve"> 기본 정보 입력</t>
  </si>
  <si>
    <t xml:space="preserve"> 스탯 효율 비교</t>
  </si>
  <si>
    <t xml:space="preserve"> 크리 데미지 1%=</t>
  </si>
  <si>
    <t xml:space="preserve"> 스탯 효율 계산기</t>
  </si>
  <si>
    <t xml:space="preserve"> 무기류 잠재 효율</t>
  </si>
  <si>
    <t xml:space="preserve"> 리스트레인트 링</t>
  </si>
  <si>
    <t xml:space="preserve"> 리스크테이커 링</t>
  </si>
  <si>
    <t xml:space="preserve"> 사용 시 스공</t>
  </si>
  <si>
    <t xml:space="preserve"> 현재 유니온 배치</t>
  </si>
  <si>
    <t xml:space="preserve"> 크리데미지 링</t>
  </si>
  <si>
    <t xml:space="preserve"> 추천 유니온 배치</t>
  </si>
  <si>
    <t xml:space="preserve"> 유니온 공격대원 효과</t>
  </si>
  <si>
    <t xml:space="preserve"> 최적 하이퍼 스탯 계산기</t>
  </si>
  <si>
    <t xml:space="preserve"> 레벨업할 하이퍼 스탯</t>
  </si>
  <si>
    <t xml:space="preserve"> 스펙계산기에 사용되는 스펙</t>
  </si>
  <si>
    <t xml:space="preserve"> 추천 하이퍼 스탯 레벨</t>
  </si>
  <si>
    <t xml:space="preserve"> 현재 하이퍼 스탯 레벨</t>
  </si>
  <si>
    <t>공격대원수</t>
  </si>
  <si>
    <t xml:space="preserve"> 총 블럭 수</t>
  </si>
  <si>
    <t>남은칸수</t>
  </si>
  <si>
    <t xml:space="preserve"> 공격대원 수</t>
  </si>
  <si>
    <t>외부지역칸</t>
  </si>
  <si>
    <t>SS등급</t>
  </si>
  <si>
    <t xml:space="preserve"> SSS등급</t>
  </si>
  <si>
    <t xml:space="preserve"> SS등급</t>
  </si>
  <si>
    <t>남은총칸수</t>
  </si>
  <si>
    <t>S등급</t>
  </si>
  <si>
    <t>선택</t>
  </si>
  <si>
    <t>크뎀</t>
  </si>
  <si>
    <t>S</t>
  </si>
  <si>
    <t>방무</t>
  </si>
  <si>
    <t>SS</t>
  </si>
  <si>
    <t>크확</t>
  </si>
  <si>
    <t>부스탯</t>
  </si>
  <si>
    <t>B</t>
  </si>
  <si>
    <t>없음</t>
  </si>
  <si>
    <t>공</t>
  </si>
  <si>
    <t>주스탯</t>
  </si>
  <si>
    <t>순스탯</t>
  </si>
  <si>
    <t>A등급</t>
  </si>
  <si>
    <t>B등급</t>
  </si>
  <si>
    <t>스탯퍼</t>
  </si>
  <si>
    <t>총칸수</t>
  </si>
  <si>
    <t>방어율</t>
  </si>
  <si>
    <t>보공</t>
  </si>
  <si>
    <t>A</t>
  </si>
  <si>
    <t>SSS</t>
  </si>
  <si>
    <t xml:space="preserve"> S등급</t>
  </si>
  <si>
    <t xml:space="preserve"> B등급</t>
  </si>
  <si>
    <t>포스스탯</t>
  </si>
  <si>
    <t>현재스펙</t>
  </si>
  <si>
    <t xml:space="preserve"> A등급</t>
  </si>
  <si>
    <t>현재칸수</t>
  </si>
  <si>
    <t xml:space="preserve"> 메이플m 등급</t>
  </si>
  <si>
    <t>원래딜</t>
    <phoneticPr fontId="4" type="noConversion"/>
  </si>
  <si>
    <t>나중딜</t>
    <phoneticPr fontId="4" type="noConversion"/>
  </si>
  <si>
    <t>딜상승률</t>
    <phoneticPr fontId="4" type="noConversion"/>
  </si>
  <si>
    <t xml:space="preserve"> 스펙 수정하기</t>
    <phoneticPr fontId="4" type="noConversion"/>
  </si>
  <si>
    <t xml:space="preserve"> 딜 변동률 계산기</t>
    <phoneticPr fontId="4" type="noConversion"/>
  </si>
  <si>
    <t xml:space="preserve"> 기본 스펙에 '스펙 수정하기'에 입력된 수치를
 반영했을 때의 스펙입니다.</t>
    <phoneticPr fontId="4" type="noConversion"/>
  </si>
  <si>
    <t>총칸수&gt;12</t>
    <phoneticPr fontId="4" type="noConversion"/>
  </si>
  <si>
    <t xml:space="preserve"> 최적 유니온 배치 계산기</t>
    <phoneticPr fontId="4" type="noConversion"/>
  </si>
  <si>
    <t xml:space="preserve"> 몬스터/방어율 정보 입력</t>
    <phoneticPr fontId="4" type="noConversion"/>
  </si>
  <si>
    <t xml:space="preserve"> 몬스터 종류</t>
    <phoneticPr fontId="4" type="noConversion"/>
  </si>
  <si>
    <t xml:space="preserve"> 스킬 방무 1</t>
    <phoneticPr fontId="4" type="noConversion"/>
  </si>
  <si>
    <t xml:space="preserve"> 스킬 방무 2</t>
    <phoneticPr fontId="4" type="noConversion"/>
  </si>
  <si>
    <t xml:space="preserve"> 스킬 방무 3</t>
    <phoneticPr fontId="4" type="noConversion"/>
  </si>
  <si>
    <t xml:space="preserve"> 코강 방무</t>
    <phoneticPr fontId="4" type="noConversion"/>
  </si>
  <si>
    <t>방어율</t>
    <phoneticPr fontId="4" type="noConversion"/>
  </si>
  <si>
    <t>방무1</t>
    <phoneticPr fontId="4" type="noConversion"/>
  </si>
  <si>
    <t>방무2</t>
    <phoneticPr fontId="4" type="noConversion"/>
  </si>
  <si>
    <t>방무3</t>
    <phoneticPr fontId="4" type="noConversion"/>
  </si>
  <si>
    <t>방무4</t>
    <phoneticPr fontId="4" type="noConversion"/>
  </si>
  <si>
    <t>보스인가?</t>
    <phoneticPr fontId="4" type="noConversion"/>
  </si>
  <si>
    <t>실제방어율</t>
    <phoneticPr fontId="4" type="noConversion"/>
  </si>
  <si>
    <t>일반 몬스터</t>
    <phoneticPr fontId="4" type="noConversion"/>
  </si>
  <si>
    <t>보스 몬스터</t>
  </si>
  <si>
    <t>보스 몬스터</t>
    <phoneticPr fontId="4" type="noConversion"/>
  </si>
  <si>
    <t xml:space="preserve"> 몬스터 방어율</t>
    <phoneticPr fontId="4" type="noConversion"/>
  </si>
  <si>
    <t>보스 데미지(%)</t>
    <phoneticPr fontId="4" type="noConversion"/>
  </si>
  <si>
    <t>크리 데미지(%)</t>
    <phoneticPr fontId="4" type="noConversion"/>
  </si>
  <si>
    <t xml:space="preserve"> 크리티컬확률</t>
  </si>
  <si>
    <t xml:space="preserve"> 크리티컬발동</t>
    <phoneticPr fontId="4" type="noConversion"/>
  </si>
  <si>
    <t>크리인</t>
    <phoneticPr fontId="4" type="noConversion"/>
  </si>
  <si>
    <t>YES</t>
    <phoneticPr fontId="4" type="noConversion"/>
  </si>
  <si>
    <t>NO</t>
    <phoneticPr fontId="4" type="noConversion"/>
  </si>
  <si>
    <t>크리인퍼센</t>
    <phoneticPr fontId="4" type="noConversion"/>
  </si>
  <si>
    <t>노비스 1단계</t>
    <phoneticPr fontId="4" type="noConversion"/>
  </si>
  <si>
    <t>노비스 2단계</t>
    <phoneticPr fontId="4" type="noConversion"/>
  </si>
  <si>
    <t>노비스 3단계</t>
  </si>
  <si>
    <t>노비스 4단계</t>
  </si>
  <si>
    <t>노비스 5단계</t>
  </si>
  <si>
    <t>베테랑 1단계</t>
    <phoneticPr fontId="4" type="noConversion"/>
  </si>
  <si>
    <t>베테랑 3단계</t>
  </si>
  <si>
    <t>베테랑 4단계</t>
  </si>
  <si>
    <t>베테랑 5단계</t>
  </si>
  <si>
    <t>베테랑 2단계</t>
    <phoneticPr fontId="4" type="noConversion"/>
  </si>
  <si>
    <t>마스터 1단계</t>
    <phoneticPr fontId="4" type="noConversion"/>
  </si>
  <si>
    <t>마스터 2단계</t>
    <phoneticPr fontId="4" type="noConversion"/>
  </si>
  <si>
    <t>마스터 3단계</t>
  </si>
  <si>
    <t>마스터 4단계</t>
  </si>
  <si>
    <t>마스터 5단계</t>
  </si>
  <si>
    <r>
      <t>그랜드 마스터</t>
    </r>
    <r>
      <rPr>
        <sz val="11"/>
        <color rgb="FF000000"/>
        <rFont val="맑은 고딕"/>
        <family val="3"/>
        <charset val="129"/>
      </rPr>
      <t xml:space="preserve"> 1단계</t>
    </r>
    <phoneticPr fontId="4" type="noConversion"/>
  </si>
  <si>
    <t>그랜드 마스터 2단계</t>
    <phoneticPr fontId="4" type="noConversion"/>
  </si>
  <si>
    <r>
      <t>그랜드 마스터</t>
    </r>
    <r>
      <rPr>
        <sz val="11"/>
        <color rgb="FF000000"/>
        <rFont val="맑은 고딕"/>
        <family val="3"/>
        <charset val="129"/>
      </rPr>
      <t xml:space="preserve"> 3단계</t>
    </r>
    <r>
      <rPr>
        <sz val="11"/>
        <color theme="1"/>
        <rFont val="맑은 고딕"/>
        <family val="2"/>
        <scheme val="minor"/>
      </rPr>
      <t/>
    </r>
  </si>
  <si>
    <t>그랜드 마스터 4단계</t>
  </si>
  <si>
    <r>
      <t>그랜드 마스터</t>
    </r>
    <r>
      <rPr>
        <sz val="11"/>
        <color rgb="FF000000"/>
        <rFont val="맑은 고딕"/>
        <family val="3"/>
        <charset val="129"/>
      </rPr>
      <t xml:space="preserve"> 5단계</t>
    </r>
    <r>
      <rPr>
        <sz val="11"/>
        <color theme="1"/>
        <rFont val="맑은 고딕"/>
        <family val="2"/>
        <scheme val="minor"/>
      </rPr>
      <t/>
    </r>
  </si>
  <si>
    <t xml:space="preserve"> 유니온 캐릭터</t>
    <phoneticPr fontId="4" type="noConversion"/>
  </si>
  <si>
    <t>제외블럭수</t>
    <phoneticPr fontId="4" type="noConversion"/>
  </si>
  <si>
    <r>
      <t>데미지(</t>
    </r>
    <r>
      <rPr>
        <sz val="11"/>
        <color rgb="FF000000"/>
        <rFont val="맑은 고딕"/>
        <family val="3"/>
        <charset val="129"/>
      </rPr>
      <t>%)</t>
    </r>
    <phoneticPr fontId="4" type="noConversion"/>
  </si>
  <si>
    <t xml:space="preserve"> 크리티컬 확률</t>
    <phoneticPr fontId="4" type="noConversion"/>
  </si>
  <si>
    <t xml:space="preserve"> 크리티컬 데미지</t>
    <phoneticPr fontId="4" type="noConversion"/>
  </si>
  <si>
    <t xml:space="preserve"> 계산 시 기본 스펙에 추가할 스탯을
 입력하세요. (극딜 버프, 도핑 등)
 방어율 무시,최종 데미지는 곱적용으로
 계산됩니다. 음수도 입력 가능합니다.
 (최종뎀은 음수일 경우 합적용)
 궁수 직업군은 크리인이 표시됩니다.</t>
    <phoneticPr fontId="4" type="noConversion"/>
  </si>
  <si>
    <t xml:space="preserve"> 주스탯, 주스탯%, 공/마, 공/마%, 데미지,
 보스 데미지, 크리티컬 데미지 중 원하는
 스탯을 직접 비교할 수 있습니다.
 주황색 상자를 눌러서 변경이 가능합니다.</t>
    <phoneticPr fontId="4" type="noConversion"/>
  </si>
  <si>
    <t xml:space="preserve"> 몬스터 종류를 선택하고 몬스터의 방어율과
 추가 방무들을 입력합니다.  보스 몬스터일
 경우에만 보스 데미지가 적용됩니다.
 이 정보는 나머지 모든 계산에서 사용됩니다.</t>
    <phoneticPr fontId="4" type="noConversion"/>
  </si>
  <si>
    <t xml:space="preserve"> 입력한 스탯을 반영했을 때 보스에서의 딜 변동률과
 예상 주스탯, 스탯 공격력이 표시됩니다.</t>
    <phoneticPr fontId="4" type="noConversion"/>
  </si>
  <si>
    <t xml:space="preserve"> 입력한 스탯을 반영했을 때 보스에서의 딜 변동률과
 예상 주스탯, 스탯 공격력이 표시됩니다.
 위의 딜 변동률 계산기와 같이 사용하여 아이템의
 효율을 더 쉽게 비교할 수 있습니다.</t>
    <phoneticPr fontId="4" type="noConversion"/>
  </si>
  <si>
    <t xml:space="preserve"> 무기류 잠재 한 줄이 추가될 때의 딜 상승률이 표시됩니다.</t>
    <phoneticPr fontId="4" type="noConversion"/>
  </si>
  <si>
    <t>패스파인더</t>
  </si>
  <si>
    <t>패스파인더</t>
    <phoneticPr fontId="4" type="noConversion"/>
  </si>
  <si>
    <t>에인션트 보우</t>
  </si>
  <si>
    <t>에인션트 보우</t>
    <phoneticPr fontId="4" type="noConversion"/>
  </si>
  <si>
    <t>노메용스탯</t>
    <phoneticPr fontId="4" type="noConversion"/>
  </si>
  <si>
    <t>메용스탯</t>
    <phoneticPr fontId="4" type="noConversion"/>
  </si>
  <si>
    <t>순수메용증가</t>
    <phoneticPr fontId="4" type="noConversion"/>
  </si>
  <si>
    <t>실제메용증가</t>
    <phoneticPr fontId="4" type="noConversion"/>
  </si>
  <si>
    <t>AP</t>
    <phoneticPr fontId="4" type="noConversion"/>
  </si>
  <si>
    <t>메용%</t>
    <phoneticPr fontId="4" type="noConversion"/>
  </si>
  <si>
    <t>계산순스탯2</t>
  </si>
  <si>
    <t>계산순스탯3</t>
  </si>
  <si>
    <t>계산순스탯1</t>
    <phoneticPr fontId="4" type="noConversion"/>
  </si>
  <si>
    <t>메용스탯계산</t>
    <phoneticPr fontId="4" type="noConversion"/>
  </si>
  <si>
    <t>노메용스탯계산</t>
    <phoneticPr fontId="4" type="noConversion"/>
  </si>
  <si>
    <t>일치?(1=YES)</t>
    <phoneticPr fontId="4" type="noConversion"/>
  </si>
  <si>
    <t>조합11</t>
    <phoneticPr fontId="4" type="noConversion"/>
  </si>
  <si>
    <t>조합12</t>
    <phoneticPr fontId="4" type="noConversion"/>
  </si>
  <si>
    <t>조합13</t>
    <phoneticPr fontId="4" type="noConversion"/>
  </si>
  <si>
    <t>조합21</t>
    <phoneticPr fontId="4" type="noConversion"/>
  </si>
  <si>
    <t>조합22</t>
    <phoneticPr fontId="4" type="noConversion"/>
  </si>
  <si>
    <t>조합23</t>
    <phoneticPr fontId="4" type="noConversion"/>
  </si>
  <si>
    <t>조합31</t>
    <phoneticPr fontId="4" type="noConversion"/>
  </si>
  <si>
    <t>조합32</t>
    <phoneticPr fontId="4" type="noConversion"/>
  </si>
  <si>
    <t>조합33</t>
    <phoneticPr fontId="4" type="noConversion"/>
  </si>
  <si>
    <t>일치?</t>
    <phoneticPr fontId="4" type="noConversion"/>
  </si>
  <si>
    <t>스탯%</t>
    <phoneticPr fontId="4" type="noConversion"/>
  </si>
  <si>
    <t>계산스탯퍼1</t>
    <phoneticPr fontId="4" type="noConversion"/>
  </si>
  <si>
    <t>계산스탯퍼2</t>
    <phoneticPr fontId="4" type="noConversion"/>
  </si>
  <si>
    <t>계산스탯퍼3</t>
    <phoneticPr fontId="4" type="noConversion"/>
  </si>
  <si>
    <t>순스탯</t>
    <phoneticPr fontId="4" type="noConversion"/>
  </si>
  <si>
    <t>계산결과</t>
    <phoneticPr fontId="4" type="noConversion"/>
  </si>
  <si>
    <t>:</t>
    <phoneticPr fontId="4" type="noConversion"/>
  </si>
  <si>
    <t>실제 순스탯</t>
    <phoneticPr fontId="4" type="noConversion"/>
  </si>
  <si>
    <t>실제 스탯퍼</t>
    <phoneticPr fontId="4" type="noConversion"/>
  </si>
  <si>
    <t>↑클릭 시 최신 버전 확인</t>
    <phoneticPr fontId="4" type="noConversion"/>
  </si>
  <si>
    <t>공격력</t>
    <phoneticPr fontId="4" type="noConversion"/>
  </si>
  <si>
    <t>공격력</t>
    <phoneticPr fontId="4" type="noConversion"/>
  </si>
  <si>
    <t xml:space="preserve"> 공격력/마력</t>
    <phoneticPr fontId="4" type="noConversion"/>
  </si>
  <si>
    <t xml:space="preserve"> 공격력/마력</t>
    <phoneticPr fontId="4" type="noConversion"/>
  </si>
  <si>
    <t xml:space="preserve"> 획득 경험치</t>
    <phoneticPr fontId="4" type="noConversion"/>
  </si>
  <si>
    <t xml:space="preserve"> 아케인포스</t>
    <phoneticPr fontId="4" type="noConversion"/>
  </si>
  <si>
    <t>공격력</t>
    <phoneticPr fontId="4" type="noConversion"/>
  </si>
  <si>
    <t>공격력</t>
    <phoneticPr fontId="4" type="noConversion"/>
  </si>
  <si>
    <t xml:space="preserve"> 기타 영역에 배치할 블럭</t>
    <phoneticPr fontId="4" type="noConversion"/>
  </si>
  <si>
    <t>최대레벨</t>
    <phoneticPr fontId="4" type="noConversion"/>
  </si>
  <si>
    <r>
      <t>하이퍼스탯 필요</t>
    </r>
    <r>
      <rPr>
        <sz val="11"/>
        <color rgb="FF000000"/>
        <rFont val="맑은 고딕"/>
        <family val="3"/>
        <charset val="129"/>
      </rPr>
      <t xml:space="preserve"> 포인트</t>
    </r>
    <phoneticPr fontId="4" type="noConversion"/>
  </si>
  <si>
    <t>New메용으로주스탯%계산공식</t>
    <phoneticPr fontId="4" type="noConversion"/>
  </si>
  <si>
    <t xml:space="preserve">+∞% </t>
    <phoneticPr fontId="4" type="noConversion"/>
  </si>
  <si>
    <r>
      <t xml:space="preserve">
</t>
    </r>
    <r>
      <rPr>
        <sz val="22"/>
        <color theme="0"/>
        <rFont val="맑은 고딕"/>
        <family val="3"/>
        <charset val="129"/>
      </rPr>
      <t>스펙계산기 3</t>
    </r>
    <r>
      <rPr>
        <sz val="22"/>
        <color theme="8" tint="0.59999389629810485"/>
        <rFont val="맑은 고딕"/>
        <family val="3"/>
        <charset val="129"/>
      </rPr>
      <t>.</t>
    </r>
    <r>
      <rPr>
        <sz val="22"/>
        <color theme="0"/>
        <rFont val="맑은 고딕"/>
        <family val="3"/>
        <charset val="129"/>
      </rPr>
      <t xml:space="preserve"> 
</t>
    </r>
    <r>
      <rPr>
        <sz val="12"/>
        <color theme="0"/>
        <rFont val="맑은 고딕"/>
        <family val="3"/>
        <charset val="129"/>
      </rPr>
      <t>사용설명서</t>
    </r>
    <r>
      <rPr>
        <sz val="12"/>
        <color theme="8" tint="0.59999389629810485"/>
        <rFont val="맑은 고딕"/>
        <family val="3"/>
        <charset val="129"/>
      </rPr>
      <t>..</t>
    </r>
    <r>
      <rPr>
        <sz val="12"/>
        <color theme="0"/>
        <rFont val="맑은 고딕"/>
        <family val="3"/>
        <charset val="129"/>
      </rPr>
      <t xml:space="preserve">  
</t>
    </r>
    <phoneticPr fontId="4" type="noConversion"/>
  </si>
  <si>
    <r>
      <t xml:space="preserve"> * 스펙계산기는 반드시 참고용으로만 사용해 주세요! *
 MS오피스 엑셀 2013 이상 또는 구글 시트에서 여는 것을
 권장합니다.
 계산식이 궁금하시다면 '통합 문서 보호'를 해제하고 숨겨진
 시트에서 '계산'을 숨김 해제 후 '시트 보호' 해제하면 됩니다.
 비밀번호는 </t>
    </r>
    <r>
      <rPr>
        <sz val="11"/>
        <color theme="1" tint="0.14999847407452621"/>
        <rFont val="Consolas"/>
        <family val="3"/>
      </rPr>
      <t>I-like-excel</t>
    </r>
    <r>
      <rPr>
        <sz val="11"/>
        <color theme="1" tint="0.14999847407452621"/>
        <rFont val="맑은 고딕"/>
        <family val="3"/>
        <charset val="129"/>
      </rPr>
      <t xml:space="preserve"> 입니다.
 각종 문의: 0onionion0@naver.com</t>
    </r>
    <phoneticPr fontId="4" type="noConversion"/>
  </si>
  <si>
    <t>보스 데미지(%)</t>
  </si>
  <si>
    <r>
      <t xml:space="preserve">
</t>
    </r>
    <r>
      <rPr>
        <sz val="22"/>
        <color theme="0"/>
        <rFont val="맑은 고딕"/>
        <family val="3"/>
        <charset val="129"/>
      </rPr>
      <t>스펙계산기 3</t>
    </r>
    <r>
      <rPr>
        <sz val="22"/>
        <color theme="8" tint="0.59999389629810485"/>
        <rFont val="맑은 고딕"/>
        <family val="3"/>
        <charset val="129"/>
      </rPr>
      <t xml:space="preserve">. </t>
    </r>
    <r>
      <rPr>
        <sz val="22"/>
        <color theme="0"/>
        <rFont val="맑은 고딕"/>
        <family val="3"/>
        <charset val="129"/>
      </rPr>
      <t xml:space="preserve">
</t>
    </r>
    <r>
      <rPr>
        <sz val="12"/>
        <color theme="0"/>
        <rFont val="맑은 고딕"/>
        <family val="3"/>
        <charset val="129"/>
      </rPr>
      <t>제작자: 시근해스</t>
    </r>
    <r>
      <rPr>
        <sz val="12"/>
        <color theme="8" tint="0.59999389629810485"/>
        <rFont val="맑은 고딕"/>
        <family val="3"/>
        <charset val="129"/>
      </rPr>
      <t xml:space="preserve">.. </t>
    </r>
    <r>
      <rPr>
        <sz val="12"/>
        <color theme="0"/>
        <rFont val="맑은 고딕"/>
        <family val="3"/>
        <charset val="129"/>
      </rPr>
      <t xml:space="preserve"> 
V.3.8.1</t>
    </r>
    <r>
      <rPr>
        <sz val="12"/>
        <color theme="8" tint="0.59999389629810485"/>
        <rFont val="맑은 고딕"/>
        <family val="3"/>
        <charset val="129"/>
      </rPr>
      <t>..</t>
    </r>
    <phoneticPr fontId="4" type="noConversion"/>
  </si>
  <si>
    <t>스탯계산오류?</t>
    <phoneticPr fontId="4" type="noConversion"/>
  </si>
  <si>
    <t xml:space="preserve"> 유니온 공격대원 효과 스탯
 합을 입력하세요. 점령효과
 (테트리스)는 아닙니다!!!</t>
    <phoneticPr fontId="4" type="noConversion"/>
  </si>
  <si>
    <t xml:space="preserve"> 인게임 캐릭터 스탯창을 그대로 입력하세요.
 스공은 최대치(오른쪽)으로 입력하세요.
 특정 직업은 최종 데미지를 소수점 아래까지
 입력해야 정확한 계산이 가능합니다.
 공/마%는 무기, 보조, 엠블의 잠재/에디/소울
 옵션과 영메/컴뱃만 합산하여 입력하세요.
 크확이 100% 초과여도 그대로 입력하세요.
 아케인포스는 '심볼 수치'만 입력하세요.</t>
    <phoneticPr fontId="4" type="noConversion"/>
  </si>
  <si>
    <t xml:space="preserve"> 현재 하이퍼 스탯과 몇 가지 정보를 입력하면
 최적 하이퍼 스탯을 계산해서 알려줍니다.
 계산에 사용되는 하이퍼 스탯 외에 타임/데몬 포스,
 스탠스 등에 투자하려면 '레벨업할 하이퍼 스탯'
 아래에 입력해 주세요.
 실제 크확이 100%를 초과하는데 상세 스탯 입력에
 100%로 입력했다면 결과가 제대로 나오지
 않습니다.
 추천 하이퍼 스탯은 100% 정확하지는 않으니
 참고용으로만 사용해 주세요.</t>
    <phoneticPr fontId="4" type="noConversion"/>
  </si>
  <si>
    <t xml:space="preserve"> 현재 유니온 배치와 몇 가지 정보를 입력하면
 최적 유니온 배치를 계산해서 알려줍니다.
 '기타 영역에 배치할 블럭'은 계산에 사용되는 영역
 외에 다른 곳에 투자하려는 경우 칸 수를 입력하면
 계산에서 제외합니다. (벞지 등)
 이 때 기타 영역을 연결하는 데 사용되는
 블럭 수도 포함하여 입력하셔야 합니다.
 '유니온 캐릭터'에는 자신이 보유한 캐릭터 수
 만큼 각각 입력합니다.
 유니온 배치 방식은 가운데를 ㅡ자로 연결했다고
 가정합니다. (12칸 사용, 주스탯 5칸, 공/마 5칸)
 추천 유니온 배치의 주스탯과 공/마는 이것을
 포함한 수치입니다.</t>
    <phoneticPr fontId="4" type="noConversion"/>
  </si>
  <si>
    <t xml:space="preserve"> 평소 딜을 100%라고 하고 시드링을 발동했을 때의
 딜 상승률을 보여줍니다. 주스탯이 오르는 시드링은
 주스탯도 함께 표시됩니다. 괄호 안은 증가하는 스탯,
 그 뒤는 결과 스탯입니다.
 얼티메이덤 링의 경우는 예상 스공이 함께 표시됩니다.
 '기존 반지 옵션' 항목에는 시드링을 끼면서 빠지는
 반지의 옵션을 입력하세요. 시드링 기본 스탯은 자동으로
 계산됩니다.</t>
    <phoneticPr fontId="4" type="noConversion"/>
  </si>
  <si>
    <t xml:space="preserve"> 스펙계산기는 자버프+메용
 사용 상태로 입력하세요.
 단, 노버프 상태가 궁금하면
 노버프로 입력해도 됩니다.
 영메, 극딜 버프, 도핑 등은
 되도록 '스펙 수정하기'에
 입력하세요.
 빨간 빗금이 표시될 경우
 오차가 있다는 뜻입니다.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</si>
</sst>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76" formatCode="\ 0%"/>
    <numFmt numFmtId="177" formatCode="\ General"/>
    <numFmt numFmtId="178" formatCode="0%\ "/>
    <numFmt numFmtId="179" formatCode="\ @"/>
    <numFmt numFmtId="180" formatCode="\ 0.00%"/>
    <numFmt numFmtId="181" formatCode="General\ "/>
    <numFmt numFmtId="182" formatCode="0.00%\ "/>
    <numFmt numFmtId="183" formatCode="\+General\%\ "/>
    <numFmt numFmtId="184" formatCode="\+@\ "/>
    <numFmt numFmtId="185" formatCode="\+0%\ "/>
    <numFmt numFmtId="186" formatCode="0.0%\ "/>
    <numFmt numFmtId="187" formatCode="\+General\%\ ;\-General\%\ "/>
    <numFmt numFmtId="188" formatCode="General&quot;장&quot;\ "/>
    <numFmt numFmtId="189" formatCode="General&quot;칸&quot;\ "/>
    <numFmt numFmtId="190" formatCode="@\ "/>
    <numFmt numFmtId="191" formatCode="0.000%"/>
    <numFmt numFmtId="192" formatCode="mm&quot;월&quot;\ dd&quot;일&quot;"/>
  </numFmts>
  <fonts count="18" x14ac:knownFonts="1">
    <font>
      <sz val="11"/>
      <color rgb="FF000000"/>
      <name val="맑은 고딕"/>
    </font>
    <font>
      <sz val="11"/>
      <color theme="1"/>
      <name val="맑은 고딕"/>
      <family val="2"/>
      <scheme val="minor"/>
    </font>
    <font>
      <sz val="11"/>
      <color rgb="FFFFFFFF"/>
      <name val="맑은 고딕"/>
      <family val="3"/>
      <charset val="129"/>
    </font>
    <font>
      <sz val="11"/>
      <color rgb="FF595959"/>
      <name val="맑은 고딕"/>
      <family val="3"/>
      <charset val="129"/>
    </font>
    <font>
      <sz val="8"/>
      <name val="돋움"/>
      <family val="3"/>
      <charset val="129"/>
    </font>
    <font>
      <sz val="11"/>
      <color theme="1" tint="0.34998626667073579"/>
      <name val="맑은 고딕"/>
      <family val="3"/>
      <charset val="129"/>
    </font>
    <font>
      <sz val="11"/>
      <color theme="1" tint="0.14999847407452621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22"/>
      <color theme="0"/>
      <name val="맑은 고딕"/>
      <family val="3"/>
      <charset val="129"/>
    </font>
    <font>
      <sz val="12"/>
      <color theme="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22"/>
      <color theme="8" tint="0.59999389629810485"/>
      <name val="맑은 고딕"/>
      <family val="3"/>
      <charset val="129"/>
    </font>
    <font>
      <sz val="12"/>
      <color theme="8" tint="0.59999389629810485"/>
      <name val="맑은 고딕"/>
      <family val="3"/>
      <charset val="129"/>
    </font>
    <font>
      <i/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theme="0" tint="-0.4999847407452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 tint="0.14999847407452621"/>
      <name val="Consolas"/>
      <family val="3"/>
    </font>
  </fonts>
  <fills count="1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88CC0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22BBE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8DC765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71">
    <xf numFmtId="0" fontId="0" fillId="0" borderId="0" xfId="0" applyNumberFormat="1">
      <alignment vertical="center"/>
    </xf>
    <xf numFmtId="0" fontId="0" fillId="15" borderId="14" xfId="0" applyNumberFormat="1" applyFill="1" applyBorder="1" applyAlignment="1" applyProtection="1">
      <alignment horizontal="center" vertical="center"/>
      <protection hidden="1"/>
    </xf>
    <xf numFmtId="0" fontId="0" fillId="0" borderId="14" xfId="0" applyNumberFormat="1" applyBorder="1" applyAlignment="1" applyProtection="1">
      <alignment vertical="center"/>
      <protection hidden="1"/>
    </xf>
    <xf numFmtId="0" fontId="0" fillId="2" borderId="14" xfId="0" applyNumberFormat="1" applyFill="1" applyBorder="1" applyAlignment="1" applyProtection="1">
      <alignment horizontal="center" vertical="center"/>
      <protection hidden="1"/>
    </xf>
    <xf numFmtId="0" fontId="7" fillId="3" borderId="14" xfId="0" applyNumberFormat="1" applyFont="1" applyFill="1" applyBorder="1" applyAlignment="1" applyProtection="1">
      <alignment horizontal="left" vertical="center"/>
      <protection hidden="1"/>
    </xf>
    <xf numFmtId="177" fontId="6" fillId="10" borderId="14" xfId="0" applyNumberFormat="1" applyFont="1" applyFill="1" applyBorder="1" applyAlignment="1" applyProtection="1">
      <alignment horizontal="left" vertical="center"/>
      <protection locked="0"/>
    </xf>
    <xf numFmtId="0" fontId="7" fillId="13" borderId="14" xfId="0" applyNumberFormat="1" applyFont="1" applyFill="1" applyBorder="1" applyAlignment="1" applyProtection="1">
      <alignment horizontal="left" vertical="center"/>
      <protection hidden="1"/>
    </xf>
    <xf numFmtId="179" fontId="6" fillId="10" borderId="14" xfId="0" applyNumberFormat="1" applyFont="1" applyFill="1" applyBorder="1" applyAlignment="1" applyProtection="1">
      <alignment horizontal="left" vertical="center"/>
      <protection locked="0"/>
    </xf>
    <xf numFmtId="178" fontId="6" fillId="10" borderId="14" xfId="0" applyNumberFormat="1" applyFont="1" applyFill="1" applyBorder="1" applyAlignment="1" applyProtection="1">
      <alignment horizontal="right" vertical="center"/>
      <protection locked="0"/>
    </xf>
    <xf numFmtId="186" fontId="6" fillId="10" borderId="14" xfId="0" applyNumberFormat="1" applyFont="1" applyFill="1" applyBorder="1" applyAlignment="1" applyProtection="1">
      <alignment horizontal="right" vertical="center"/>
      <protection locked="0"/>
    </xf>
    <xf numFmtId="177" fontId="5" fillId="4" borderId="14" xfId="0" applyNumberFormat="1" applyFont="1" applyFill="1" applyBorder="1" applyAlignment="1" applyProtection="1">
      <alignment horizontal="left" vertical="center"/>
      <protection hidden="1"/>
    </xf>
    <xf numFmtId="184" fontId="7" fillId="13" borderId="14" xfId="0" quotePrefix="1" applyNumberFormat="1" applyFont="1" applyFill="1" applyBorder="1" applyAlignment="1" applyProtection="1">
      <alignment horizontal="right" vertical="center"/>
      <protection hidden="1"/>
    </xf>
    <xf numFmtId="185" fontId="7" fillId="13" borderId="14" xfId="0" quotePrefix="1" applyNumberFormat="1" applyFont="1" applyFill="1" applyBorder="1" applyAlignment="1" applyProtection="1">
      <alignment horizontal="right" vertical="center"/>
      <protection hidden="1"/>
    </xf>
    <xf numFmtId="181" fontId="6" fillId="10" borderId="14" xfId="0" applyNumberFormat="1" applyFont="1" applyFill="1" applyBorder="1" applyAlignment="1" applyProtection="1">
      <alignment horizontal="right" vertical="center"/>
      <protection locked="0"/>
    </xf>
    <xf numFmtId="0" fontId="0" fillId="0" borderId="14" xfId="0" applyNumberFormat="1" applyBorder="1">
      <alignment vertical="center"/>
    </xf>
    <xf numFmtId="0" fontId="0" fillId="9" borderId="14" xfId="0" applyNumberFormat="1" applyFont="1" applyFill="1" applyBorder="1" applyAlignment="1" applyProtection="1">
      <alignment horizontal="center" vertical="center"/>
      <protection hidden="1"/>
    </xf>
    <xf numFmtId="0" fontId="0" fillId="4" borderId="14" xfId="0" applyNumberFormat="1" applyFont="1" applyFill="1" applyBorder="1" applyAlignment="1" applyProtection="1">
      <alignment horizontal="center" vertical="center"/>
      <protection hidden="1"/>
    </xf>
    <xf numFmtId="190" fontId="6" fillId="10" borderId="14" xfId="0" applyNumberFormat="1" applyFont="1" applyFill="1" applyBorder="1" applyAlignment="1" applyProtection="1">
      <alignment horizontal="right" vertical="center"/>
      <protection locked="0"/>
    </xf>
    <xf numFmtId="189" fontId="6" fillId="10" borderId="14" xfId="0" applyNumberFormat="1" applyFont="1" applyFill="1" applyBorder="1" applyAlignment="1" applyProtection="1">
      <alignment horizontal="right" vertical="center"/>
      <protection locked="0"/>
    </xf>
    <xf numFmtId="188" fontId="6" fillId="10" borderId="14" xfId="0" applyNumberFormat="1" applyFont="1" applyFill="1" applyBorder="1" applyAlignment="1" applyProtection="1">
      <alignment horizontal="right" vertical="center"/>
      <protection locked="0"/>
    </xf>
    <xf numFmtId="189" fontId="5" fillId="4" borderId="14" xfId="0" applyNumberFormat="1" applyFont="1" applyFill="1" applyBorder="1" applyAlignment="1" applyProtection="1">
      <alignment horizontal="right" vertical="center"/>
      <protection hidden="1"/>
    </xf>
    <xf numFmtId="0" fontId="7" fillId="13" borderId="14" xfId="0" applyNumberFormat="1" applyFont="1" applyFill="1" applyBorder="1" applyAlignment="1" applyProtection="1">
      <alignment vertical="center"/>
      <protection hidden="1"/>
    </xf>
    <xf numFmtId="178" fontId="6" fillId="10" borderId="14" xfId="0" applyNumberFormat="1" applyFont="1" applyFill="1" applyBorder="1" applyAlignment="1" applyProtection="1">
      <alignment horizontal="right" vertical="center"/>
      <protection locked="0"/>
    </xf>
    <xf numFmtId="0" fontId="7" fillId="17" borderId="14" xfId="0" applyNumberFormat="1" applyFont="1" applyFill="1" applyBorder="1" applyAlignment="1" applyProtection="1">
      <alignment horizontal="left" vertical="center"/>
      <protection hidden="1"/>
    </xf>
    <xf numFmtId="181" fontId="5" fillId="16" borderId="14" xfId="0" applyNumberFormat="1" applyFont="1" applyFill="1" applyBorder="1" applyAlignment="1" applyProtection="1">
      <alignment horizontal="right" vertical="center"/>
      <protection hidden="1"/>
    </xf>
    <xf numFmtId="189" fontId="5" fillId="16" borderId="14" xfId="0" applyNumberFormat="1" applyFont="1" applyFill="1" applyBorder="1" applyAlignment="1" applyProtection="1">
      <alignment horizontal="right" vertical="center"/>
      <protection hidden="1"/>
    </xf>
    <xf numFmtId="187" fontId="5" fillId="16" borderId="14" xfId="0" applyNumberFormat="1" applyFont="1" applyFill="1" applyBorder="1" applyAlignment="1" applyProtection="1">
      <alignment horizontal="right" vertical="center"/>
      <protection hidden="1"/>
    </xf>
    <xf numFmtId="183" fontId="5" fillId="16" borderId="14" xfId="0" applyNumberFormat="1" applyFont="1" applyFill="1" applyBorder="1" applyAlignment="1" applyProtection="1">
      <alignment horizontal="right" vertical="center"/>
      <protection hidden="1"/>
    </xf>
    <xf numFmtId="178" fontId="5" fillId="16" borderId="14" xfId="0" applyNumberFormat="1" applyFont="1" applyFill="1" applyBorder="1" applyAlignment="1" applyProtection="1">
      <alignment horizontal="right" vertical="center"/>
      <protection hidden="1"/>
    </xf>
    <xf numFmtId="186" fontId="5" fillId="16" borderId="14" xfId="0" applyNumberFormat="1" applyFont="1" applyFill="1" applyBorder="1" applyAlignment="1" applyProtection="1">
      <alignment horizontal="right" vertical="center"/>
      <protection hidden="1"/>
    </xf>
    <xf numFmtId="178" fontId="5" fillId="16" borderId="14" xfId="0" applyNumberFormat="1" applyFont="1" applyFill="1" applyBorder="1" applyAlignment="1" applyProtection="1">
      <alignment vertical="center"/>
      <protection hidden="1"/>
    </xf>
    <xf numFmtId="182" fontId="5" fillId="16" borderId="14" xfId="0" applyNumberFormat="1" applyFont="1" applyFill="1" applyBorder="1" applyAlignment="1" applyProtection="1">
      <alignment vertical="center"/>
      <protection hidden="1"/>
    </xf>
    <xf numFmtId="0" fontId="7" fillId="14" borderId="14" xfId="0" applyNumberFormat="1" applyFont="1" applyFill="1" applyBorder="1" applyAlignment="1" applyProtection="1">
      <alignment horizontal="left" vertical="center"/>
      <protection hidden="1"/>
    </xf>
    <xf numFmtId="178" fontId="6" fillId="10" borderId="14" xfId="0" applyNumberFormat="1" applyFont="1" applyFill="1" applyBorder="1" applyAlignment="1" applyProtection="1">
      <alignment horizontal="right" vertical="center"/>
      <protection locked="0"/>
    </xf>
    <xf numFmtId="177" fontId="6" fillId="10" borderId="14" xfId="0" applyNumberFormat="1" applyFont="1" applyFill="1" applyBorder="1" applyAlignment="1" applyProtection="1">
      <alignment horizontal="left" vertical="center"/>
      <protection locked="0"/>
    </xf>
    <xf numFmtId="0" fontId="7" fillId="13" borderId="14" xfId="0" applyNumberFormat="1" applyFont="1" applyFill="1" applyBorder="1" applyAlignment="1" applyProtection="1">
      <alignment horizontal="left" vertical="center"/>
      <protection hidden="1"/>
    </xf>
    <xf numFmtId="181" fontId="6" fillId="10" borderId="14" xfId="0" applyNumberFormat="1" applyFont="1" applyFill="1" applyBorder="1" applyAlignment="1" applyProtection="1">
      <alignment horizontal="right" vertical="center"/>
      <protection locked="0"/>
    </xf>
    <xf numFmtId="0" fontId="0" fillId="2" borderId="14" xfId="0" applyNumberFormat="1" applyFill="1" applyBorder="1" applyAlignment="1" applyProtection="1">
      <alignment horizontal="left" vertical="center"/>
      <protection hidden="1"/>
    </xf>
    <xf numFmtId="0" fontId="0" fillId="0" borderId="14" xfId="0" applyNumberFormat="1" applyBorder="1" applyAlignment="1" applyProtection="1">
      <alignment horizontal="left" vertical="center"/>
      <protection hidden="1"/>
    </xf>
    <xf numFmtId="181" fontId="5" fillId="16" borderId="14" xfId="0" applyNumberFormat="1" applyFont="1" applyFill="1" applyBorder="1" applyAlignment="1" applyProtection="1">
      <alignment horizontal="right" vertical="center"/>
      <protection hidden="1"/>
    </xf>
    <xf numFmtId="0" fontId="0" fillId="15" borderId="14" xfId="0" applyNumberFormat="1" applyFill="1" applyBorder="1" applyAlignment="1" applyProtection="1">
      <alignment vertical="center"/>
      <protection hidden="1"/>
    </xf>
    <xf numFmtId="0" fontId="0" fillId="15" borderId="14" xfId="0" applyNumberFormat="1" applyFill="1" applyBorder="1" applyAlignment="1" applyProtection="1">
      <alignment horizontal="left" vertical="center"/>
      <protection hidden="1"/>
    </xf>
    <xf numFmtId="0" fontId="14" fillId="0" borderId="14" xfId="0" applyNumberFormat="1" applyFont="1" applyBorder="1" applyAlignment="1" applyProtection="1">
      <alignment vertical="center"/>
      <protection hidden="1"/>
    </xf>
    <xf numFmtId="0" fontId="10" fillId="18" borderId="2" xfId="0" applyNumberFormat="1" applyFont="1" applyFill="1" applyBorder="1" applyProtection="1">
      <alignment vertical="center"/>
      <protection hidden="1"/>
    </xf>
    <xf numFmtId="0" fontId="10" fillId="18" borderId="9" xfId="0" applyNumberFormat="1" applyFont="1" applyFill="1" applyBorder="1" applyProtection="1">
      <alignment vertical="center"/>
      <protection hidden="1"/>
    </xf>
    <xf numFmtId="0" fontId="10" fillId="18" borderId="27" xfId="0" applyNumberFormat="1" applyFont="1" applyFill="1" applyBorder="1" applyProtection="1">
      <alignment vertical="center"/>
      <protection hidden="1"/>
    </xf>
    <xf numFmtId="0" fontId="0" fillId="18" borderId="9" xfId="0" applyNumberFormat="1" applyFill="1" applyBorder="1" applyProtection="1">
      <alignment vertical="center"/>
      <protection hidden="1"/>
    </xf>
    <xf numFmtId="0" fontId="10" fillId="18" borderId="4" xfId="0" applyNumberFormat="1" applyFont="1" applyFill="1" applyBorder="1" applyProtection="1">
      <alignment vertical="center"/>
      <protection hidden="1"/>
    </xf>
    <xf numFmtId="0" fontId="10" fillId="18" borderId="0" xfId="0" applyNumberFormat="1" applyFont="1" applyFill="1" applyBorder="1" applyProtection="1">
      <alignment vertical="center"/>
      <protection hidden="1"/>
    </xf>
    <xf numFmtId="0" fontId="0" fillId="18" borderId="0" xfId="0" applyNumberFormat="1" applyFill="1" applyBorder="1" applyProtection="1">
      <alignment vertical="center"/>
      <protection hidden="1"/>
    </xf>
    <xf numFmtId="0" fontId="10" fillId="18" borderId="1" xfId="0" applyNumberFormat="1" applyFont="1" applyFill="1" applyBorder="1" applyProtection="1">
      <alignment vertical="center"/>
      <protection hidden="1"/>
    </xf>
    <xf numFmtId="0" fontId="10" fillId="18" borderId="0" xfId="0" applyNumberFormat="1" applyFont="1" applyFill="1" applyBorder="1" applyAlignment="1" applyProtection="1">
      <alignment vertical="center"/>
      <protection hidden="1"/>
    </xf>
    <xf numFmtId="9" fontId="10" fillId="18" borderId="0" xfId="0" applyNumberFormat="1" applyFont="1" applyFill="1" applyBorder="1" applyProtection="1">
      <alignment vertical="center"/>
      <protection hidden="1"/>
    </xf>
    <xf numFmtId="9" fontId="10" fillId="18" borderId="1" xfId="0" applyNumberFormat="1" applyFont="1" applyFill="1" applyBorder="1" applyProtection="1">
      <alignment vertical="center"/>
      <protection hidden="1"/>
    </xf>
    <xf numFmtId="9" fontId="13" fillId="18" borderId="0" xfId="0" applyNumberFormat="1" applyFont="1" applyFill="1" applyBorder="1" applyProtection="1">
      <alignment vertical="center"/>
      <protection hidden="1"/>
    </xf>
    <xf numFmtId="0" fontId="13" fillId="18" borderId="0" xfId="0" applyNumberFormat="1" applyFont="1" applyFill="1" applyBorder="1" applyAlignment="1" applyProtection="1">
      <alignment vertical="center"/>
      <protection hidden="1"/>
    </xf>
    <xf numFmtId="0" fontId="0" fillId="18" borderId="0" xfId="0" applyNumberFormat="1" applyFont="1" applyFill="1" applyBorder="1" applyProtection="1">
      <alignment vertical="center"/>
      <protection hidden="1"/>
    </xf>
    <xf numFmtId="0" fontId="10" fillId="18" borderId="3" xfId="0" applyNumberFormat="1" applyFont="1" applyFill="1" applyBorder="1" applyProtection="1">
      <alignment vertical="center"/>
      <protection hidden="1"/>
    </xf>
    <xf numFmtId="0" fontId="10" fillId="18" borderId="5" xfId="0" applyNumberFormat="1" applyFont="1" applyFill="1" applyBorder="1" applyProtection="1">
      <alignment vertical="center"/>
      <protection hidden="1"/>
    </xf>
    <xf numFmtId="0" fontId="10" fillId="18" borderId="6" xfId="0" applyNumberFormat="1" applyFont="1" applyFill="1" applyBorder="1" applyProtection="1">
      <alignment vertical="center"/>
      <protection hidden="1"/>
    </xf>
    <xf numFmtId="0" fontId="10" fillId="18" borderId="7" xfId="0" applyNumberFormat="1" applyFont="1" applyFill="1" applyBorder="1" applyProtection="1">
      <alignment vertical="center"/>
      <protection hidden="1"/>
    </xf>
    <xf numFmtId="0" fontId="10" fillId="18" borderId="0" xfId="0" applyNumberFormat="1" applyFont="1" applyFill="1" applyBorder="1">
      <alignment vertical="center"/>
    </xf>
    <xf numFmtId="0" fontId="14" fillId="18" borderId="0" xfId="0" applyNumberFormat="1" applyFont="1" applyFill="1" applyBorder="1" applyProtection="1">
      <alignment vertical="center"/>
      <protection hidden="1"/>
    </xf>
    <xf numFmtId="0" fontId="0" fillId="18" borderId="0" xfId="0" applyNumberFormat="1" applyFill="1" applyBorder="1">
      <alignment vertical="center"/>
    </xf>
    <xf numFmtId="0" fontId="10" fillId="18" borderId="8" xfId="0" applyNumberFormat="1" applyFont="1" applyFill="1" applyBorder="1" applyProtection="1">
      <alignment vertical="center"/>
      <protection hidden="1"/>
    </xf>
    <xf numFmtId="0" fontId="10" fillId="18" borderId="9" xfId="0" applyNumberFormat="1" applyFont="1" applyFill="1" applyBorder="1">
      <alignment vertical="center"/>
    </xf>
    <xf numFmtId="177" fontId="10" fillId="18" borderId="9" xfId="0" applyNumberFormat="1" applyFont="1" applyFill="1" applyBorder="1">
      <alignment vertical="center"/>
    </xf>
    <xf numFmtId="0" fontId="14" fillId="18" borderId="10" xfId="0" applyNumberFormat="1" applyFont="1" applyFill="1" applyBorder="1" applyProtection="1">
      <alignment vertical="center"/>
      <protection hidden="1"/>
    </xf>
    <xf numFmtId="0" fontId="0" fillId="18" borderId="11" xfId="0" applyNumberFormat="1" applyFill="1" applyBorder="1" applyProtection="1">
      <alignment vertical="center"/>
      <protection hidden="1"/>
    </xf>
    <xf numFmtId="0" fontId="0" fillId="18" borderId="9" xfId="0" applyNumberFormat="1" applyFill="1" applyBorder="1">
      <alignment vertical="center"/>
    </xf>
    <xf numFmtId="0" fontId="0" fillId="18" borderId="3" xfId="0" applyNumberFormat="1" applyFill="1" applyBorder="1">
      <alignment vertical="center"/>
    </xf>
    <xf numFmtId="10" fontId="0" fillId="18" borderId="0" xfId="0" applyNumberFormat="1" applyFont="1" applyFill="1" applyBorder="1" applyAlignment="1" applyProtection="1">
      <alignment vertical="center"/>
      <protection hidden="1"/>
    </xf>
    <xf numFmtId="0" fontId="10" fillId="18" borderId="2" xfId="0" applyNumberFormat="1" applyFont="1" applyFill="1" applyBorder="1">
      <alignment vertical="center"/>
    </xf>
    <xf numFmtId="0" fontId="0" fillId="18" borderId="5" xfId="0" applyNumberFormat="1" applyFill="1" applyBorder="1">
      <alignment vertical="center"/>
    </xf>
    <xf numFmtId="0" fontId="0" fillId="18" borderId="0" xfId="0" applyNumberFormat="1" applyFont="1" applyFill="1" applyBorder="1" applyAlignment="1" applyProtection="1">
      <alignment vertical="center"/>
      <protection hidden="1"/>
    </xf>
    <xf numFmtId="191" fontId="0" fillId="18" borderId="0" xfId="0" applyNumberFormat="1" applyFont="1" applyFill="1" applyBorder="1" applyAlignment="1" applyProtection="1">
      <alignment vertical="center"/>
      <protection hidden="1"/>
    </xf>
    <xf numFmtId="0" fontId="10" fillId="18" borderId="4" xfId="0" applyNumberFormat="1" applyFont="1" applyFill="1" applyBorder="1">
      <alignment vertical="center"/>
    </xf>
    <xf numFmtId="0" fontId="10" fillId="18" borderId="13" xfId="0" applyNumberFormat="1" applyFont="1" applyFill="1" applyBorder="1">
      <alignment vertical="center"/>
    </xf>
    <xf numFmtId="0" fontId="10" fillId="18" borderId="13" xfId="0" applyNumberFormat="1" applyFont="1" applyFill="1" applyBorder="1" applyProtection="1">
      <alignment vertical="center"/>
      <protection hidden="1"/>
    </xf>
    <xf numFmtId="0" fontId="10" fillId="18" borderId="5" xfId="0" applyNumberFormat="1" applyFont="1" applyFill="1" applyBorder="1">
      <alignment vertical="center"/>
    </xf>
    <xf numFmtId="0" fontId="0" fillId="18" borderId="4" xfId="0" applyNumberFormat="1" applyFill="1" applyBorder="1">
      <alignment vertical="center"/>
    </xf>
    <xf numFmtId="0" fontId="10" fillId="18" borderId="10" xfId="0" applyNumberFormat="1" applyFont="1" applyFill="1" applyBorder="1" applyProtection="1">
      <alignment vertical="center"/>
      <protection hidden="1"/>
    </xf>
    <xf numFmtId="0" fontId="10" fillId="18" borderId="12" xfId="0" applyNumberFormat="1" applyFont="1" applyFill="1" applyBorder="1" applyProtection="1">
      <alignment vertical="center"/>
      <protection hidden="1"/>
    </xf>
    <xf numFmtId="0" fontId="0" fillId="18" borderId="4" xfId="0" applyNumberFormat="1" applyFill="1" applyBorder="1" applyProtection="1">
      <alignment vertical="center"/>
      <protection hidden="1"/>
    </xf>
    <xf numFmtId="9" fontId="10" fillId="18" borderId="5" xfId="0" applyNumberFormat="1" applyFont="1" applyFill="1" applyBorder="1" applyAlignment="1" applyProtection="1">
      <alignment vertical="center"/>
    </xf>
    <xf numFmtId="9" fontId="10" fillId="18" borderId="5" xfId="0" applyNumberFormat="1" applyFont="1" applyFill="1" applyBorder="1" applyAlignment="1" applyProtection="1">
      <alignment vertical="center"/>
      <protection hidden="1"/>
    </xf>
    <xf numFmtId="10" fontId="10" fillId="18" borderId="5" xfId="0" applyNumberFormat="1" applyFont="1" applyFill="1" applyBorder="1" applyAlignment="1" applyProtection="1">
      <alignment vertical="center"/>
      <protection hidden="1"/>
    </xf>
    <xf numFmtId="0" fontId="0" fillId="18" borderId="6" xfId="0" applyNumberFormat="1" applyFill="1" applyBorder="1" applyProtection="1">
      <alignment vertical="center"/>
      <protection hidden="1"/>
    </xf>
    <xf numFmtId="0" fontId="0" fillId="18" borderId="13" xfId="0" applyNumberFormat="1" applyFill="1" applyBorder="1" applyProtection="1">
      <alignment vertical="center"/>
      <protection hidden="1"/>
    </xf>
    <xf numFmtId="0" fontId="10" fillId="18" borderId="7" xfId="0" applyNumberFormat="1" applyFont="1" applyFill="1" applyBorder="1" applyAlignment="1" applyProtection="1">
      <alignment vertical="center"/>
      <protection hidden="1"/>
    </xf>
    <xf numFmtId="0" fontId="10" fillId="18" borderId="11" xfId="0" applyNumberFormat="1" applyFont="1" applyFill="1" applyBorder="1" applyProtection="1">
      <alignment vertical="center"/>
      <protection hidden="1"/>
    </xf>
    <xf numFmtId="0" fontId="10" fillId="18" borderId="3" xfId="0" applyNumberFormat="1" applyFont="1" applyFill="1" applyBorder="1">
      <alignment vertical="center"/>
    </xf>
    <xf numFmtId="181" fontId="10" fillId="18" borderId="11" xfId="0" applyNumberFormat="1" applyFont="1" applyFill="1" applyBorder="1" applyProtection="1">
      <alignment vertical="center"/>
      <protection hidden="1"/>
    </xf>
    <xf numFmtId="0" fontId="14" fillId="18" borderId="4" xfId="0" applyNumberFormat="1" applyFont="1" applyFill="1" applyBorder="1" applyProtection="1">
      <alignment vertical="center"/>
      <protection hidden="1"/>
    </xf>
    <xf numFmtId="0" fontId="0" fillId="18" borderId="5" xfId="0" applyNumberFormat="1" applyFill="1" applyBorder="1" applyProtection="1">
      <alignment vertical="center"/>
      <protection hidden="1"/>
    </xf>
    <xf numFmtId="0" fontId="10" fillId="18" borderId="5" xfId="0" quotePrefix="1" applyNumberFormat="1" applyFont="1" applyFill="1" applyBorder="1" applyProtection="1">
      <alignment vertical="center"/>
      <protection hidden="1"/>
    </xf>
    <xf numFmtId="178" fontId="10" fillId="18" borderId="5" xfId="0" applyNumberFormat="1" applyFont="1" applyFill="1" applyBorder="1" applyProtection="1">
      <alignment vertical="center"/>
      <protection hidden="1"/>
    </xf>
    <xf numFmtId="0" fontId="14" fillId="18" borderId="5" xfId="0" applyNumberFormat="1" applyFont="1" applyFill="1" applyBorder="1" applyProtection="1">
      <alignment vertical="center"/>
      <protection hidden="1"/>
    </xf>
    <xf numFmtId="0" fontId="10" fillId="18" borderId="26" xfId="0" applyNumberFormat="1" applyFont="1" applyFill="1" applyBorder="1" applyProtection="1">
      <alignment vertical="center"/>
      <protection hidden="1"/>
    </xf>
    <xf numFmtId="0" fontId="14" fillId="18" borderId="7" xfId="0" applyNumberFormat="1" applyFont="1" applyFill="1" applyBorder="1" applyProtection="1">
      <alignment vertical="center"/>
      <protection hidden="1"/>
    </xf>
    <xf numFmtId="0" fontId="10" fillId="18" borderId="3" xfId="0" quotePrefix="1" applyNumberFormat="1" applyFont="1" applyFill="1" applyBorder="1" applyProtection="1">
      <alignment vertical="center"/>
      <protection hidden="1"/>
    </xf>
    <xf numFmtId="9" fontId="10" fillId="18" borderId="2" xfId="0" applyNumberFormat="1" applyFont="1" applyFill="1" applyBorder="1" applyProtection="1">
      <alignment vertical="center"/>
      <protection hidden="1"/>
    </xf>
    <xf numFmtId="9" fontId="10" fillId="18" borderId="9" xfId="0" applyNumberFormat="1" applyFont="1" applyFill="1" applyBorder="1" applyProtection="1">
      <alignment vertical="center"/>
      <protection hidden="1"/>
    </xf>
    <xf numFmtId="9" fontId="10" fillId="18" borderId="4" xfId="0" applyNumberFormat="1" applyFont="1" applyFill="1" applyBorder="1" applyProtection="1">
      <alignment vertical="center"/>
      <protection hidden="1"/>
    </xf>
    <xf numFmtId="0" fontId="10" fillId="18" borderId="6" xfId="0" applyNumberFormat="1" applyFont="1" applyFill="1" applyBorder="1">
      <alignment vertical="center"/>
    </xf>
    <xf numFmtId="0" fontId="10" fillId="18" borderId="7" xfId="0" applyNumberFormat="1" applyFont="1" applyFill="1" applyBorder="1">
      <alignment vertical="center"/>
    </xf>
    <xf numFmtId="9" fontId="10" fillId="18" borderId="13" xfId="0" applyNumberFormat="1" applyFont="1" applyFill="1" applyBorder="1" applyProtection="1">
      <alignment vertical="center"/>
      <protection hidden="1"/>
    </xf>
    <xf numFmtId="0" fontId="10" fillId="18" borderId="13" xfId="0" applyNumberFormat="1" applyFont="1" applyFill="1" applyBorder="1" applyAlignment="1" applyProtection="1">
      <alignment vertical="center"/>
      <protection hidden="1"/>
    </xf>
    <xf numFmtId="0" fontId="0" fillId="18" borderId="2" xfId="0" applyNumberFormat="1" applyFill="1" applyBorder="1" applyProtection="1">
      <alignment vertical="center"/>
      <protection hidden="1"/>
    </xf>
    <xf numFmtId="0" fontId="14" fillId="18" borderId="9" xfId="0" applyNumberFormat="1" applyFont="1" applyFill="1" applyBorder="1" applyProtection="1">
      <alignment vertical="center"/>
      <protection hidden="1"/>
    </xf>
    <xf numFmtId="192" fontId="14" fillId="18" borderId="4" xfId="0" applyNumberFormat="1" applyFont="1" applyFill="1" applyBorder="1" applyProtection="1">
      <alignment vertical="center"/>
      <protection hidden="1"/>
    </xf>
    <xf numFmtId="0" fontId="14" fillId="18" borderId="6" xfId="0" applyNumberFormat="1" applyFont="1" applyFill="1" applyBorder="1" applyProtection="1">
      <alignment vertical="center"/>
      <protection hidden="1"/>
    </xf>
    <xf numFmtId="0" fontId="0" fillId="18" borderId="7" xfId="0" applyNumberFormat="1" applyFill="1" applyBorder="1" applyProtection="1">
      <alignment vertical="center"/>
      <protection hidden="1"/>
    </xf>
    <xf numFmtId="0" fontId="14" fillId="18" borderId="13" xfId="0" applyNumberFormat="1" applyFont="1" applyFill="1" applyBorder="1" applyProtection="1">
      <alignment vertical="center"/>
      <protection hidden="1"/>
    </xf>
    <xf numFmtId="0" fontId="0" fillId="18" borderId="6" xfId="0" applyNumberFormat="1" applyFill="1" applyBorder="1">
      <alignment vertical="center"/>
    </xf>
    <xf numFmtId="178" fontId="10" fillId="18" borderId="3" xfId="0" applyNumberFormat="1" applyFont="1" applyFill="1" applyBorder="1">
      <alignment vertical="center"/>
    </xf>
    <xf numFmtId="0" fontId="14" fillId="18" borderId="2" xfId="0" applyNumberFormat="1" applyFont="1" applyFill="1" applyBorder="1" applyProtection="1">
      <alignment vertical="center"/>
      <protection hidden="1"/>
    </xf>
    <xf numFmtId="0" fontId="0" fillId="18" borderId="3" xfId="0" applyNumberFormat="1" applyFill="1" applyBorder="1" applyProtection="1">
      <alignment vertical="center"/>
      <protection hidden="1"/>
    </xf>
    <xf numFmtId="0" fontId="15" fillId="15" borderId="15" xfId="0" applyNumberFormat="1" applyFont="1" applyFill="1" applyBorder="1" applyAlignment="1" applyProtection="1">
      <alignment horizontal="center" vertical="center"/>
      <protection hidden="1"/>
    </xf>
    <xf numFmtId="0" fontId="15" fillId="15" borderId="16" xfId="0" applyNumberFormat="1" applyFont="1" applyFill="1" applyBorder="1" applyAlignment="1" applyProtection="1">
      <alignment horizontal="center" vertical="center"/>
      <protection hidden="1"/>
    </xf>
    <xf numFmtId="0" fontId="5" fillId="16" borderId="15" xfId="0" applyNumberFormat="1" applyFont="1" applyFill="1" applyBorder="1" applyAlignment="1" applyProtection="1">
      <alignment horizontal="right" vertical="center"/>
      <protection hidden="1"/>
    </xf>
    <xf numFmtId="0" fontId="5" fillId="16" borderId="16" xfId="0" applyNumberFormat="1" applyFont="1" applyFill="1" applyBorder="1" applyAlignment="1" applyProtection="1">
      <alignment horizontal="right" vertical="center"/>
      <protection hidden="1"/>
    </xf>
    <xf numFmtId="0" fontId="7" fillId="13" borderId="15" xfId="0" applyNumberFormat="1" applyFont="1" applyFill="1" applyBorder="1" applyAlignment="1" applyProtection="1">
      <alignment horizontal="left" vertical="center"/>
      <protection hidden="1"/>
    </xf>
    <xf numFmtId="0" fontId="7" fillId="13" borderId="16" xfId="0" applyNumberFormat="1" applyFont="1" applyFill="1" applyBorder="1" applyAlignment="1" applyProtection="1">
      <alignment horizontal="left" vertical="center"/>
      <protection hidden="1"/>
    </xf>
    <xf numFmtId="0" fontId="7" fillId="13" borderId="17" xfId="0" applyNumberFormat="1" applyFont="1" applyFill="1" applyBorder="1" applyAlignment="1" applyProtection="1">
      <alignment horizontal="left" vertical="center"/>
      <protection hidden="1"/>
    </xf>
    <xf numFmtId="189" fontId="6" fillId="10" borderId="15" xfId="0" applyNumberFormat="1" applyFont="1" applyFill="1" applyBorder="1" applyAlignment="1" applyProtection="1">
      <alignment horizontal="right" vertical="center"/>
      <protection locked="0"/>
    </xf>
    <xf numFmtId="189" fontId="6" fillId="10" borderId="16" xfId="0" applyNumberFormat="1" applyFont="1" applyFill="1" applyBorder="1" applyAlignment="1" applyProtection="1">
      <alignment horizontal="right" vertical="center"/>
      <protection locked="0"/>
    </xf>
    <xf numFmtId="0" fontId="7" fillId="13" borderId="14" xfId="0" applyNumberFormat="1" applyFont="1" applyFill="1" applyBorder="1" applyAlignment="1" applyProtection="1">
      <alignment horizontal="left" vertical="center"/>
      <protection hidden="1"/>
    </xf>
    <xf numFmtId="0" fontId="5" fillId="16" borderId="14" xfId="0" applyNumberFormat="1" applyFont="1" applyFill="1" applyBorder="1" applyAlignment="1" applyProtection="1">
      <alignment horizontal="right" vertical="center"/>
      <protection hidden="1"/>
    </xf>
    <xf numFmtId="0" fontId="7" fillId="12" borderId="14" xfId="0" applyNumberFormat="1" applyFont="1" applyFill="1" applyBorder="1" applyAlignment="1" applyProtection="1">
      <alignment horizontal="left" vertical="center"/>
      <protection hidden="1"/>
    </xf>
    <xf numFmtId="179" fontId="7" fillId="13" borderId="15" xfId="0" applyNumberFormat="1" applyFont="1" applyFill="1" applyBorder="1" applyAlignment="1" applyProtection="1">
      <alignment horizontal="left" vertical="center"/>
      <protection hidden="1"/>
    </xf>
    <xf numFmtId="179" fontId="7" fillId="13" borderId="16" xfId="0" applyNumberFormat="1" applyFont="1" applyFill="1" applyBorder="1" applyAlignment="1" applyProtection="1">
      <alignment horizontal="left" vertical="center"/>
      <protection hidden="1"/>
    </xf>
    <xf numFmtId="0" fontId="7" fillId="13" borderId="14" xfId="0" quotePrefix="1" applyNumberFormat="1" applyFont="1" applyFill="1" applyBorder="1" applyAlignment="1" applyProtection="1">
      <alignment horizontal="left" vertical="center"/>
      <protection hidden="1"/>
    </xf>
    <xf numFmtId="0" fontId="7" fillId="8" borderId="14" xfId="0" applyNumberFormat="1" applyFont="1" applyFill="1" applyBorder="1" applyAlignment="1" applyProtection="1">
      <alignment horizontal="left" vertical="center"/>
      <protection hidden="1"/>
    </xf>
    <xf numFmtId="190" fontId="6" fillId="10" borderId="14" xfId="0" applyNumberFormat="1" applyFont="1" applyFill="1" applyBorder="1" applyAlignment="1" applyProtection="1">
      <alignment horizontal="right" vertical="center"/>
      <protection locked="0"/>
    </xf>
    <xf numFmtId="0" fontId="7" fillId="14" borderId="14" xfId="0" applyNumberFormat="1" applyFont="1" applyFill="1" applyBorder="1" applyAlignment="1" applyProtection="1">
      <alignment horizontal="left" vertical="center"/>
      <protection hidden="1"/>
    </xf>
    <xf numFmtId="181" fontId="6" fillId="10" borderId="14" xfId="0" applyNumberFormat="1" applyFont="1" applyFill="1" applyBorder="1" applyAlignment="1" applyProtection="1">
      <alignment horizontal="right" vertical="center"/>
      <protection locked="0"/>
    </xf>
    <xf numFmtId="0" fontId="7" fillId="13" borderId="15" xfId="0" quotePrefix="1" applyNumberFormat="1" applyFont="1" applyFill="1" applyBorder="1" applyAlignment="1" applyProtection="1">
      <alignment horizontal="left" vertical="center"/>
      <protection hidden="1"/>
    </xf>
    <xf numFmtId="0" fontId="7" fillId="13" borderId="16" xfId="0" quotePrefix="1" applyNumberFormat="1" applyFont="1" applyFill="1" applyBorder="1" applyAlignment="1" applyProtection="1">
      <alignment horizontal="left" vertical="center"/>
      <protection hidden="1"/>
    </xf>
    <xf numFmtId="0" fontId="0" fillId="0" borderId="16" xfId="0" applyNumberFormat="1" applyBorder="1" applyAlignment="1">
      <alignment horizontal="left" vertical="center"/>
    </xf>
    <xf numFmtId="0" fontId="7" fillId="7" borderId="14" xfId="0" applyNumberFormat="1" applyFont="1" applyFill="1" applyBorder="1" applyAlignment="1" applyProtection="1">
      <alignment horizontal="left" vertical="center"/>
      <protection hidden="1"/>
    </xf>
    <xf numFmtId="181" fontId="6" fillId="10" borderId="14" xfId="0" applyNumberFormat="1" applyFont="1" applyFill="1" applyBorder="1" applyAlignment="1" applyProtection="1">
      <alignment vertical="center"/>
      <protection locked="0"/>
    </xf>
    <xf numFmtId="176" fontId="6" fillId="10" borderId="14" xfId="0" applyNumberFormat="1" applyFont="1" applyFill="1" applyBorder="1" applyAlignment="1" applyProtection="1">
      <alignment horizontal="left" vertical="center"/>
      <protection locked="0"/>
    </xf>
    <xf numFmtId="180" fontId="6" fillId="10" borderId="14" xfId="0" applyNumberFormat="1" applyFont="1" applyFill="1" applyBorder="1" applyAlignment="1" applyProtection="1">
      <alignment horizontal="left" vertical="center"/>
      <protection locked="0"/>
    </xf>
    <xf numFmtId="181" fontId="5" fillId="16" borderId="14" xfId="0" applyNumberFormat="1" applyFont="1" applyFill="1" applyBorder="1" applyAlignment="1" applyProtection="1">
      <alignment horizontal="right" vertical="center"/>
      <protection hidden="1"/>
    </xf>
    <xf numFmtId="178" fontId="6" fillId="10" borderId="14" xfId="0" applyNumberFormat="1" applyFont="1" applyFill="1" applyBorder="1" applyAlignment="1" applyProtection="1">
      <alignment horizontal="right" vertical="center"/>
      <protection locked="0"/>
    </xf>
    <xf numFmtId="0" fontId="0" fillId="0" borderId="14" xfId="0" applyNumberFormat="1" applyBorder="1" applyAlignment="1" applyProtection="1">
      <alignment horizontal="right" vertical="center"/>
      <protection locked="0"/>
    </xf>
    <xf numFmtId="179" fontId="7" fillId="6" borderId="14" xfId="0" applyNumberFormat="1" applyFont="1" applyFill="1" applyBorder="1" applyAlignment="1" applyProtection="1">
      <alignment horizontal="left" vertical="center"/>
      <protection locked="0" hidden="1"/>
    </xf>
    <xf numFmtId="0" fontId="3" fillId="2" borderId="14" xfId="0" applyNumberFormat="1" applyFont="1" applyFill="1" applyBorder="1" applyAlignment="1" applyProtection="1">
      <alignment horizontal="center" vertical="center"/>
      <protection hidden="1"/>
    </xf>
    <xf numFmtId="177" fontId="6" fillId="10" borderId="14" xfId="0" applyNumberFormat="1" applyFont="1" applyFill="1" applyBorder="1" applyAlignment="1" applyProtection="1">
      <alignment horizontal="left" vertical="center"/>
      <protection locked="0"/>
    </xf>
    <xf numFmtId="49" fontId="7" fillId="11" borderId="14" xfId="1" applyNumberFormat="1" applyFont="1" applyFill="1" applyBorder="1" applyAlignment="1" applyProtection="1">
      <alignment horizontal="right" vertical="top" wrapText="1"/>
      <protection locked="0" hidden="1"/>
    </xf>
    <xf numFmtId="49" fontId="16" fillId="11" borderId="14" xfId="1" applyNumberFormat="1" applyFill="1" applyBorder="1" applyAlignment="1" applyProtection="1">
      <alignment horizontal="right" vertical="top"/>
      <protection locked="0" hidden="1"/>
    </xf>
    <xf numFmtId="0" fontId="5" fillId="16" borderId="14" xfId="0" applyNumberFormat="1" applyFont="1" applyFill="1" applyBorder="1" applyAlignment="1" applyProtection="1">
      <alignment horizontal="left" vertical="center"/>
      <protection hidden="1"/>
    </xf>
    <xf numFmtId="0" fontId="7" fillId="13" borderId="14" xfId="0" applyNumberFormat="1" applyFont="1" applyFill="1" applyBorder="1" applyAlignment="1" applyProtection="1">
      <alignment vertical="center"/>
      <protection hidden="1"/>
    </xf>
    <xf numFmtId="0" fontId="2" fillId="5" borderId="14" xfId="0" applyNumberFormat="1" applyFont="1" applyFill="1" applyBorder="1" applyAlignment="1" applyProtection="1">
      <alignment horizontal="left" vertical="center"/>
      <protection hidden="1"/>
    </xf>
    <xf numFmtId="0" fontId="6" fillId="16" borderId="14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18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19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20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21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0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22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23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24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25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14" xfId="0" applyNumberFormat="1" applyFont="1" applyFill="1" applyBorder="1" applyAlignment="1" applyProtection="1">
      <alignment horizontal="left" vertical="center"/>
      <protection hidden="1"/>
    </xf>
    <xf numFmtId="0" fontId="7" fillId="11" borderId="0" xfId="0" applyFont="1" applyFill="1" applyAlignment="1">
      <alignment horizontal="right" vertical="top" wrapText="1"/>
    </xf>
    <xf numFmtId="0" fontId="7" fillId="11" borderId="0" xfId="0" applyFont="1" applyFill="1" applyAlignment="1">
      <alignment horizontal="right" vertical="top"/>
    </xf>
    <xf numFmtId="0" fontId="10" fillId="18" borderId="0" xfId="0" applyNumberFormat="1" applyFont="1" applyFill="1" applyBorder="1" applyAlignment="1" applyProtection="1">
      <alignment horizontal="center" vertical="center"/>
      <protection hidden="1"/>
    </xf>
    <xf numFmtId="0" fontId="10" fillId="18" borderId="5" xfId="0" applyNumberFormat="1" applyFont="1" applyFill="1" applyBorder="1" applyAlignment="1" applyProtection="1">
      <alignment horizontal="center" vertical="center"/>
      <protection hidden="1"/>
    </xf>
    <xf numFmtId="0" fontId="10" fillId="18" borderId="4" xfId="0" applyNumberFormat="1" applyFont="1" applyFill="1" applyBorder="1" applyAlignment="1" applyProtection="1">
      <alignment horizontal="center" vertical="center"/>
      <protection hidden="1"/>
    </xf>
  </cellXfs>
  <cellStyles count="2">
    <cellStyle name="표준" xfId="0" builtinId="0"/>
    <cellStyle name="하이퍼링크" xfId="1" builtinId="8"/>
  </cellStyles>
  <dxfs count="12">
    <dxf>
      <font>
        <strike val="0"/>
        <color rgb="FFC00000"/>
      </font>
      <fill>
        <patternFill patternType="lightUp">
          <fgColor theme="5"/>
        </patternFill>
      </fill>
    </dxf>
    <dxf>
      <font>
        <strike val="0"/>
        <color rgb="FFC00000"/>
      </font>
      <fill>
        <patternFill patternType="lightUp">
          <fgColor theme="5"/>
        </patternFill>
      </fill>
    </dxf>
    <dxf>
      <font>
        <strike val="0"/>
        <color rgb="FFC00000"/>
      </font>
      <fill>
        <patternFill patternType="lightUp">
          <fgColor theme="5"/>
        </patternFill>
      </fill>
    </dxf>
    <dxf>
      <font>
        <strike val="0"/>
        <color rgb="FFC00000"/>
      </font>
      <fill>
        <patternFill patternType="lightUp">
          <fgColor theme="5"/>
        </patternFill>
      </fill>
    </dxf>
    <dxf>
      <font>
        <strike val="0"/>
        <color rgb="FFC00000"/>
      </font>
      <fill>
        <patternFill patternType="lightUp">
          <fgColor theme="5"/>
          <bgColor auto="1"/>
        </patternFill>
      </fill>
    </dxf>
    <dxf>
      <font>
        <color rgb="FFE6E6E6"/>
      </font>
      <fill>
        <patternFill>
          <bgColor rgb="FFE6E6E6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E6E6"/>
      </font>
      <fill>
        <patternFill>
          <bgColor rgb="FFE6E6E6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E6E6"/>
      </font>
      <fill>
        <patternFill>
          <bgColor rgb="FFE6E6E6"/>
        </patternFill>
      </fill>
    </dxf>
    <dxf>
      <font>
        <color theme="0"/>
      </font>
      <fill>
        <patternFill>
          <bgColor theme="0" tint="-0.14996795556505021"/>
        </patternFill>
      </fill>
    </dxf>
    <dxf>
      <fill>
        <patternFill patternType="solid">
          <fgColor indexed="65"/>
          <bgColor rgb="FFFFE699"/>
        </patternFill>
      </fill>
    </dxf>
  </dxfs>
  <tableStyles count="0" defaultTableStyle="TableStyleMedium2" defaultPivotStyle="PivotStyleLight16"/>
  <colors>
    <mruColors>
      <color rgb="FF91AF7D"/>
      <color rgb="FF8DC765"/>
      <color rgb="FFADD791"/>
      <color rgb="FF9BDA70"/>
      <color rgb="FF8AD458"/>
      <color rgb="FFA6DE80"/>
      <color rgb="FFA5E47A"/>
      <color rgb="FF9AE16C"/>
      <color rgb="FFC3EEC1"/>
      <color rgb="FF4E89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nionion-.github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4"/>
  <sheetViews>
    <sheetView tabSelected="1" zoomScaleNormal="100" workbookViewId="0">
      <selection activeCell="C3" sqref="C3"/>
    </sheetView>
  </sheetViews>
  <sheetFormatPr defaultColWidth="9" defaultRowHeight="16.5" customHeight="1" thickBottom="1" x14ac:dyDescent="0.35"/>
  <cols>
    <col min="1" max="1" width="3" style="2" customWidth="1"/>
    <col min="2" max="2" width="12.5" style="2" customWidth="1"/>
    <col min="3" max="3" width="13.75" style="2" customWidth="1"/>
    <col min="4" max="4" width="3" style="2" customWidth="1"/>
    <col min="5" max="5" width="13.125" style="2" customWidth="1"/>
    <col min="6" max="6" width="7.5" style="2" customWidth="1"/>
    <col min="7" max="7" width="13.125" style="2" customWidth="1"/>
    <col min="8" max="8" width="7.5" style="2" customWidth="1"/>
    <col min="9" max="9" width="3" style="2" customWidth="1"/>
    <col min="10" max="10" width="13.125" style="2" customWidth="1"/>
    <col min="11" max="11" width="9.375" style="2" customWidth="1"/>
    <col min="12" max="12" width="13.125" style="2" customWidth="1"/>
    <col min="13" max="13" width="9.375" style="2" customWidth="1"/>
    <col min="14" max="14" width="3" style="2" customWidth="1"/>
    <col min="15" max="20" width="8.75" style="2" customWidth="1"/>
    <col min="21" max="21" width="3" style="2" customWidth="1"/>
    <col min="22" max="22" width="13.125" style="2" customWidth="1"/>
    <col min="23" max="23" width="9.375" style="2" customWidth="1"/>
    <col min="24" max="24" width="13.125" style="2" customWidth="1"/>
    <col min="25" max="25" width="9.375" style="2" customWidth="1"/>
    <col min="26" max="26" width="3" style="2" customWidth="1"/>
    <col min="27" max="16384" width="9" style="2"/>
  </cols>
  <sheetData>
    <row r="1" spans="1:27" ht="16.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7" ht="16.5" customHeight="1" thickBot="1" x14ac:dyDescent="0.35">
      <c r="A2" s="1"/>
      <c r="B2" s="129" t="s">
        <v>193</v>
      </c>
      <c r="C2" s="129"/>
      <c r="D2" s="1"/>
      <c r="E2" s="129" t="s">
        <v>190</v>
      </c>
      <c r="F2" s="129"/>
      <c r="G2" s="129"/>
      <c r="H2" s="129"/>
      <c r="I2" s="3"/>
      <c r="J2" s="129" t="s">
        <v>207</v>
      </c>
      <c r="K2" s="129"/>
      <c r="L2" s="129"/>
      <c r="M2" s="129"/>
      <c r="N2" s="1"/>
      <c r="O2" s="129" t="s">
        <v>197</v>
      </c>
      <c r="P2" s="129"/>
      <c r="Q2" s="129"/>
      <c r="R2" s="129"/>
      <c r="S2" s="129"/>
      <c r="T2" s="129"/>
      <c r="U2" s="1"/>
      <c r="V2" s="129" t="s">
        <v>205</v>
      </c>
      <c r="W2" s="129"/>
      <c r="X2" s="129"/>
      <c r="Y2" s="129"/>
      <c r="Z2" s="1"/>
    </row>
    <row r="3" spans="1:27" ht="16.5" customHeight="1" thickBot="1" x14ac:dyDescent="0.35">
      <c r="A3" s="1"/>
      <c r="B3" s="4" t="s">
        <v>76</v>
      </c>
      <c r="C3" s="34"/>
      <c r="D3" s="1"/>
      <c r="E3" s="6" t="s">
        <v>90</v>
      </c>
      <c r="F3" s="136"/>
      <c r="G3" s="136"/>
      <c r="H3" s="136"/>
      <c r="I3" s="1"/>
      <c r="J3" s="6" t="s">
        <v>90</v>
      </c>
      <c r="K3" s="144">
        <f ca="1">ROUNDDOWN((4*(ROUNDDOWN(순스탯*(1+스탯퍼/100)+계산!D57,))+부스탯)*ROUNDDOWN(공마*(1+공마퍼),)*(1+데미지)*(1+최종뎀)*계산!D30/100,)</f>
        <v>0</v>
      </c>
      <c r="L3" s="144"/>
      <c r="M3" s="144"/>
      <c r="N3" s="1"/>
      <c r="O3" s="137" t="str">
        <f ca="1">" "&amp;공마종류</f>
        <v xml:space="preserve"> 공격력</v>
      </c>
      <c r="P3" s="138"/>
      <c r="Q3" s="137" t="s">
        <v>89</v>
      </c>
      <c r="R3" s="139"/>
      <c r="S3" s="137" t="s">
        <v>92</v>
      </c>
      <c r="T3" s="139"/>
      <c r="U3" s="1"/>
      <c r="V3" s="127" t="s">
        <v>206</v>
      </c>
      <c r="W3" s="127"/>
      <c r="X3" s="127"/>
      <c r="Y3" s="127"/>
      <c r="Z3" s="1"/>
    </row>
    <row r="4" spans="1:27" ht="16.5" customHeight="1" thickBot="1" x14ac:dyDescent="0.35">
      <c r="A4" s="1"/>
      <c r="B4" s="4" t="s">
        <v>34</v>
      </c>
      <c r="C4" s="7" t="s">
        <v>311</v>
      </c>
      <c r="D4" s="1"/>
      <c r="E4" s="6" t="s">
        <v>95</v>
      </c>
      <c r="F4" s="8"/>
      <c r="G4" s="6" t="s">
        <v>89</v>
      </c>
      <c r="H4" s="8"/>
      <c r="I4" s="1"/>
      <c r="J4" s="6" t="s">
        <v>95</v>
      </c>
      <c r="K4" s="28">
        <f>데미지</f>
        <v>0</v>
      </c>
      <c r="L4" s="6" t="s">
        <v>89</v>
      </c>
      <c r="M4" s="28">
        <f>보공</f>
        <v>0</v>
      </c>
      <c r="N4" s="1"/>
      <c r="O4" s="11" t="s">
        <v>8</v>
      </c>
      <c r="P4" s="27">
        <f ca="1">IFERROR(ROUND(계산!L74,2),"- ")</f>
        <v>2.5</v>
      </c>
      <c r="Q4" s="12">
        <v>0.05</v>
      </c>
      <c r="R4" s="27">
        <f>계산!N74</f>
        <v>5</v>
      </c>
      <c r="S4" s="12">
        <v>0.1</v>
      </c>
      <c r="T4" s="27" t="str">
        <f>계산!P74</f>
        <v xml:space="preserve">+∞% </v>
      </c>
      <c r="U4" s="1"/>
      <c r="V4" s="6" t="str">
        <f>IF(OR(계산!$A$1="데몬슬레이어",계산!$A$1="제로")," DF/TF"," -")</f>
        <v xml:space="preserve"> -</v>
      </c>
      <c r="W4" s="13">
        <v>0</v>
      </c>
      <c r="X4" s="6" t="str">
        <f>IF(OR(계산!A1="히어로",계산!A1="팔라딘",계산!A1="다크나이트",계산!A1="소울마스터",계산!A1="아란",계산!A1="데몬슬레이어",계산!A1="배틀메이지",계산!A1="키네시스",계산!A1="바이퍼",계산!A1="은월")," -"," 스탠스")</f>
        <v xml:space="preserve"> 스탠스</v>
      </c>
      <c r="Y4" s="13">
        <v>0</v>
      </c>
      <c r="Z4" s="1"/>
    </row>
    <row r="5" spans="1:27" ht="16.5" customHeight="1" thickBot="1" x14ac:dyDescent="0.35">
      <c r="A5" s="1"/>
      <c r="B5" s="4" t="s">
        <v>29</v>
      </c>
      <c r="C5" s="7" t="s">
        <v>313</v>
      </c>
      <c r="D5" s="1"/>
      <c r="E5" s="6" t="s">
        <v>97</v>
      </c>
      <c r="F5" s="9"/>
      <c r="G5" s="6" t="s">
        <v>92</v>
      </c>
      <c r="H5" s="9"/>
      <c r="I5" s="1"/>
      <c r="J5" s="6" t="s">
        <v>97</v>
      </c>
      <c r="K5" s="29">
        <f>최종뎀</f>
        <v>0</v>
      </c>
      <c r="L5" s="6" t="s">
        <v>92</v>
      </c>
      <c r="M5" s="29">
        <f>방무</f>
        <v>0</v>
      </c>
      <c r="N5" s="1"/>
      <c r="O5" s="11" t="s">
        <v>56</v>
      </c>
      <c r="P5" s="27">
        <f ca="1">IFERROR(ROUND(계산!L75,2),"- ")</f>
        <v>5</v>
      </c>
      <c r="Q5" s="12">
        <v>0.1</v>
      </c>
      <c r="R5" s="27">
        <f>ROUND(계산!N75,2)</f>
        <v>10</v>
      </c>
      <c r="S5" s="12">
        <v>0.15</v>
      </c>
      <c r="T5" s="27" t="str">
        <f>계산!P75</f>
        <v xml:space="preserve">+∞% </v>
      </c>
      <c r="U5" s="1"/>
      <c r="V5" s="35" t="s">
        <v>351</v>
      </c>
      <c r="W5" s="36">
        <v>0</v>
      </c>
      <c r="X5" s="35" t="s">
        <v>352</v>
      </c>
      <c r="Y5" s="36">
        <v>0</v>
      </c>
      <c r="Z5" s="1"/>
    </row>
    <row r="6" spans="1:27" ht="16.5" customHeight="1" thickBot="1" x14ac:dyDescent="0.35">
      <c r="A6" s="1"/>
      <c r="B6" s="4" t="s">
        <v>93</v>
      </c>
      <c r="C6" s="10">
        <f ca="1">계산!D30</f>
        <v>1.3</v>
      </c>
      <c r="D6" s="1"/>
      <c r="E6" s="6" t="s">
        <v>275</v>
      </c>
      <c r="F6" s="142"/>
      <c r="G6" s="142"/>
      <c r="H6" s="142"/>
      <c r="I6" s="1"/>
      <c r="J6" s="6" t="s">
        <v>274</v>
      </c>
      <c r="K6" s="30">
        <f>크확</f>
        <v>0</v>
      </c>
      <c r="L6" s="6" t="s">
        <v>91</v>
      </c>
      <c r="M6" s="31">
        <f>크뎀</f>
        <v>0</v>
      </c>
      <c r="N6" s="1"/>
      <c r="O6" s="11" t="s">
        <v>80</v>
      </c>
      <c r="P6" s="27">
        <f ca="1">IFERROR(ROUND(계산!L76,2),"- ")</f>
        <v>7.5</v>
      </c>
      <c r="Q6" s="12">
        <v>0.2</v>
      </c>
      <c r="R6" s="27">
        <f>ROUND(계산!N76,2)</f>
        <v>20</v>
      </c>
      <c r="S6" s="12">
        <v>0.2</v>
      </c>
      <c r="T6" s="27" t="str">
        <f>계산!P76</f>
        <v xml:space="preserve">+∞% </v>
      </c>
      <c r="U6" s="1"/>
      <c r="V6" s="127" t="s">
        <v>209</v>
      </c>
      <c r="W6" s="132"/>
      <c r="X6" s="127" t="s">
        <v>208</v>
      </c>
      <c r="Y6" s="132"/>
      <c r="Z6" s="1"/>
    </row>
    <row r="7" spans="1:27" ht="16.5" customHeight="1" thickBot="1" x14ac:dyDescent="0.35">
      <c r="A7" s="1"/>
      <c r="B7" s="1"/>
      <c r="C7" s="1"/>
      <c r="D7" s="1"/>
      <c r="E7" s="6" t="s">
        <v>91</v>
      </c>
      <c r="F7" s="143"/>
      <c r="G7" s="143"/>
      <c r="H7" s="143"/>
      <c r="I7" s="1"/>
      <c r="J7" s="6" t="str">
        <f ca="1">" "&amp;주스탯종류</f>
        <v xml:space="preserve"> DEX</v>
      </c>
      <c r="K7" s="24">
        <f ca="1">순스탯</f>
        <v>0</v>
      </c>
      <c r="L7" s="6" t="str">
        <f ca="1">" "&amp;공마종류</f>
        <v xml:space="preserve"> 공격력</v>
      </c>
      <c r="M7" s="24">
        <f ca="1">공마</f>
        <v>0</v>
      </c>
      <c r="N7" s="1"/>
      <c r="O7" s="11" t="s">
        <v>57</v>
      </c>
      <c r="P7" s="27">
        <f ca="1">IFERROR(ROUND(계산!L77,2),"- ")</f>
        <v>10</v>
      </c>
      <c r="Q7" s="12">
        <v>0.3</v>
      </c>
      <c r="R7" s="27">
        <f>ROUND(계산!N77,2)</f>
        <v>30</v>
      </c>
      <c r="S7" s="12">
        <v>0.3</v>
      </c>
      <c r="T7" s="27" t="str">
        <f>계산!P77</f>
        <v xml:space="preserve">+∞% </v>
      </c>
      <c r="U7" s="1"/>
      <c r="V7" s="6" t="str">
        <f ca="1">" "&amp;주스탯종류</f>
        <v xml:space="preserve"> DEX</v>
      </c>
      <c r="W7" s="24">
        <f>계산!T30</f>
        <v>0</v>
      </c>
      <c r="X7" s="6" t="str">
        <f ca="1">" "&amp;주스탯종류</f>
        <v xml:space="preserve"> DEX</v>
      </c>
      <c r="Y7" s="24">
        <f ca="1">IFERROR(계산!V30,0)</f>
        <v>0</v>
      </c>
      <c r="Z7" s="1"/>
    </row>
    <row r="8" spans="1:27" ht="16.5" customHeight="1" thickBot="1" x14ac:dyDescent="0.35">
      <c r="A8" s="1"/>
      <c r="B8" s="4" t="str">
        <f ca="1">" "&amp;주스탯종류&amp;"(메용O)"</f>
        <v xml:space="preserve"> DEX(메용O)</v>
      </c>
      <c r="C8" s="5"/>
      <c r="D8" s="1"/>
      <c r="E8" s="6" t="str">
        <f ca="1">" 템 "&amp;공마종류&amp;"%"</f>
        <v xml:space="preserve"> 템 공격력%</v>
      </c>
      <c r="F8" s="8"/>
      <c r="G8" s="6" t="s">
        <v>94</v>
      </c>
      <c r="H8" s="13"/>
      <c r="I8" s="1"/>
      <c r="J8" s="6" t="str">
        <f ca="1">" "&amp;주스탯종류&amp;"%"</f>
        <v xml:space="preserve"> DEX%</v>
      </c>
      <c r="K8" s="28">
        <f ca="1">스탯퍼/100</f>
        <v>0</v>
      </c>
      <c r="L8" s="6" t="str">
        <f ca="1">" "&amp;공마종류&amp;"%"</f>
        <v xml:space="preserve"> 공격력%</v>
      </c>
      <c r="M8" s="28">
        <f ca="1">공마퍼</f>
        <v>0.2</v>
      </c>
      <c r="N8" s="1"/>
      <c r="O8" s="15"/>
      <c r="P8" s="16"/>
      <c r="Q8" s="12">
        <v>0.35</v>
      </c>
      <c r="R8" s="27">
        <f>ROUND(계산!N78,2)</f>
        <v>35</v>
      </c>
      <c r="S8" s="12">
        <v>0.35</v>
      </c>
      <c r="T8" s="27" t="str">
        <f>계산!P78</f>
        <v xml:space="preserve">+∞% </v>
      </c>
      <c r="U8" s="1"/>
      <c r="V8" s="6" t="s">
        <v>274</v>
      </c>
      <c r="W8" s="13">
        <v>0</v>
      </c>
      <c r="X8" s="6" t="s">
        <v>274</v>
      </c>
      <c r="Y8" s="39">
        <f ca="1">IFERROR(계산!V31,0)</f>
        <v>0</v>
      </c>
      <c r="Z8" s="1"/>
    </row>
    <row r="9" spans="1:27" ht="16.5" customHeight="1" thickBot="1" x14ac:dyDescent="0.35">
      <c r="A9" s="1"/>
      <c r="B9" s="4" t="str">
        <f ca="1">" "&amp;주스탯종류&amp;"(메용X)"</f>
        <v xml:space="preserve"> DEX(메용X)</v>
      </c>
      <c r="C9" s="5"/>
      <c r="D9" s="1"/>
      <c r="E9" s="140" t="str">
        <f ca="1">" 어빌리티 "&amp;주스탯종류</f>
        <v xml:space="preserve"> 어빌리티 DEX</v>
      </c>
      <c r="F9" s="140"/>
      <c r="G9" s="141"/>
      <c r="H9" s="141"/>
      <c r="I9" s="1"/>
      <c r="J9" s="1"/>
      <c r="K9" s="1"/>
      <c r="L9" s="1"/>
      <c r="M9" s="1"/>
      <c r="N9" s="1"/>
      <c r="O9" s="15"/>
      <c r="P9" s="16"/>
      <c r="Q9" s="12">
        <v>0.4</v>
      </c>
      <c r="R9" s="27">
        <f>ROUND(계산!N79,2)</f>
        <v>40</v>
      </c>
      <c r="S9" s="12">
        <v>0.4</v>
      </c>
      <c r="T9" s="27" t="str">
        <f>계산!P79</f>
        <v xml:space="preserve">+∞% </v>
      </c>
      <c r="U9" s="1"/>
      <c r="V9" s="6" t="s">
        <v>91</v>
      </c>
      <c r="W9" s="13">
        <v>0</v>
      </c>
      <c r="X9" s="6" t="s">
        <v>91</v>
      </c>
      <c r="Y9" s="39">
        <f ca="1">IFERROR(계산!V32,0)</f>
        <v>0</v>
      </c>
      <c r="Z9" s="1"/>
    </row>
    <row r="10" spans="1:27" ht="16.5" customHeight="1" thickBot="1" x14ac:dyDescent="0.35">
      <c r="A10" s="1"/>
      <c r="B10" s="4" t="str">
        <f ca="1">" "&amp;부스탯종류</f>
        <v xml:space="preserve"> STR</v>
      </c>
      <c r="C10" s="5"/>
      <c r="D10" s="1"/>
      <c r="E10" s="140" t="str">
        <f ca="1">" 하이퍼 스탯 "&amp;주스탯종류</f>
        <v xml:space="preserve"> 하이퍼 스탯 DEX</v>
      </c>
      <c r="F10" s="140"/>
      <c r="G10" s="141"/>
      <c r="H10" s="141"/>
      <c r="I10" s="1"/>
      <c r="J10" s="129" t="s">
        <v>255</v>
      </c>
      <c r="K10" s="129"/>
      <c r="L10" s="129"/>
      <c r="M10" s="129"/>
      <c r="N10" s="1"/>
      <c r="O10" s="40"/>
      <c r="P10" s="40"/>
      <c r="Q10" s="40"/>
      <c r="R10" s="40"/>
      <c r="S10" s="40"/>
      <c r="T10" s="40"/>
      <c r="U10" s="1"/>
      <c r="V10" s="6" t="s">
        <v>92</v>
      </c>
      <c r="W10" s="13">
        <v>0</v>
      </c>
      <c r="X10" s="6" t="s">
        <v>92</v>
      </c>
      <c r="Y10" s="39">
        <f ca="1">IFERROR(계산!V33,0)</f>
        <v>0</v>
      </c>
      <c r="Z10" s="1"/>
    </row>
    <row r="11" spans="1:27" ht="16.5" customHeight="1" thickBot="1" x14ac:dyDescent="0.35">
      <c r="A11" s="1" t="s">
        <v>84</v>
      </c>
      <c r="B11" s="4" t="str">
        <f ca="1">" "&amp;계산!B4&amp;IF(계산!B5="-",," + "&amp;계산!B5)</f>
        <v xml:space="preserve"> INT + LUK</v>
      </c>
      <c r="C11" s="5"/>
      <c r="D11" s="1"/>
      <c r="E11" s="1"/>
      <c r="F11" s="1"/>
      <c r="G11" s="1"/>
      <c r="H11" s="1"/>
      <c r="I11" s="1"/>
      <c r="J11" s="135" t="s">
        <v>256</v>
      </c>
      <c r="K11" s="135"/>
      <c r="L11" s="134" t="s">
        <v>269</v>
      </c>
      <c r="M11" s="134"/>
      <c r="N11" s="1"/>
      <c r="O11" s="129" t="s">
        <v>163</v>
      </c>
      <c r="P11" s="129"/>
      <c r="Q11" s="129"/>
      <c r="R11" s="129"/>
      <c r="S11" s="129"/>
      <c r="T11" s="129"/>
      <c r="U11" s="1"/>
      <c r="V11" s="6" t="s">
        <v>95</v>
      </c>
      <c r="W11" s="13">
        <v>0</v>
      </c>
      <c r="X11" s="6" t="s">
        <v>95</v>
      </c>
      <c r="Y11" s="39">
        <f ca="1">IFERROR(계산!V34,0)</f>
        <v>0</v>
      </c>
      <c r="Z11" s="1"/>
    </row>
    <row r="12" spans="1:27" ht="16.5" customHeight="1" thickBot="1" x14ac:dyDescent="0.35">
      <c r="A12" s="1"/>
      <c r="B12" s="4" t="s">
        <v>164</v>
      </c>
      <c r="C12" s="5"/>
      <c r="D12" s="1"/>
      <c r="E12" s="129" t="s">
        <v>250</v>
      </c>
      <c r="F12" s="129"/>
      <c r="G12" s="129"/>
      <c r="H12" s="129"/>
      <c r="I12" s="1"/>
      <c r="J12" s="135" t="s">
        <v>271</v>
      </c>
      <c r="K12" s="135"/>
      <c r="L12" s="145">
        <v>3</v>
      </c>
      <c r="M12" s="146"/>
      <c r="N12" s="1"/>
      <c r="O12" s="127" t="str">
        <f ca="1">" 주무기 총 "&amp;공마종류</f>
        <v xml:space="preserve"> 주무기 총 공격력</v>
      </c>
      <c r="P12" s="127"/>
      <c r="Q12" s="127"/>
      <c r="R12" s="136">
        <v>0</v>
      </c>
      <c r="S12" s="136"/>
      <c r="T12" s="136"/>
      <c r="U12" s="1"/>
      <c r="V12" s="6" t="s">
        <v>89</v>
      </c>
      <c r="W12" s="13">
        <v>0</v>
      </c>
      <c r="X12" s="6" t="s">
        <v>89</v>
      </c>
      <c r="Y12" s="39">
        <f ca="1">IFERROR(계산!V35,0)</f>
        <v>0</v>
      </c>
      <c r="Z12" s="1"/>
      <c r="AA12" s="14"/>
    </row>
    <row r="13" spans="1:27" ht="16.5" customHeight="1" thickBot="1" x14ac:dyDescent="0.35">
      <c r="A13" s="1"/>
      <c r="B13" s="1"/>
      <c r="C13" s="1"/>
      <c r="D13" s="1"/>
      <c r="E13" s="6" t="str">
        <f ca="1">" "&amp;주스탯종류</f>
        <v xml:space="preserve"> DEX</v>
      </c>
      <c r="F13" s="13">
        <v>0</v>
      </c>
      <c r="G13" s="6" t="str">
        <f ca="1">" "&amp;주스탯종류&amp;"%"</f>
        <v xml:space="preserve"> DEX%</v>
      </c>
      <c r="H13" s="8">
        <v>0</v>
      </c>
      <c r="I13" s="1"/>
      <c r="J13" s="32" t="s">
        <v>257</v>
      </c>
      <c r="K13" s="33">
        <v>0</v>
      </c>
      <c r="L13" s="32" t="s">
        <v>258</v>
      </c>
      <c r="M13" s="33">
        <v>0</v>
      </c>
      <c r="N13" s="1"/>
      <c r="O13" s="122" t="s">
        <v>192</v>
      </c>
      <c r="P13" s="124"/>
      <c r="Q13" s="124"/>
      <c r="R13" s="124"/>
      <c r="S13" s="124"/>
      <c r="T13" s="123"/>
      <c r="U13" s="1"/>
      <c r="V13" s="35" t="s">
        <v>349</v>
      </c>
      <c r="W13" s="36">
        <v>0</v>
      </c>
      <c r="X13" s="35" t="s">
        <v>350</v>
      </c>
      <c r="Y13" s="39">
        <f ca="1">IFERROR(계산!V36,0)</f>
        <v>0</v>
      </c>
      <c r="Z13" s="1"/>
    </row>
    <row r="14" spans="1:27" ht="16.5" customHeight="1" thickBot="1" x14ac:dyDescent="0.35">
      <c r="A14" s="1"/>
      <c r="B14" s="129" t="s">
        <v>145</v>
      </c>
      <c r="C14" s="129"/>
      <c r="D14" s="1"/>
      <c r="E14" s="6" t="str">
        <f ca="1">" "&amp;공마종류</f>
        <v xml:space="preserve"> 공격력</v>
      </c>
      <c r="F14" s="13">
        <v>0</v>
      </c>
      <c r="G14" s="6" t="str">
        <f ca="1">" "&amp;공마종류&amp;"%"</f>
        <v xml:space="preserve"> 공격력%</v>
      </c>
      <c r="H14" s="8">
        <v>0</v>
      </c>
      <c r="I14" s="1"/>
      <c r="J14" s="32" t="s">
        <v>259</v>
      </c>
      <c r="K14" s="33">
        <v>0</v>
      </c>
      <c r="L14" s="32" t="s">
        <v>260</v>
      </c>
      <c r="M14" s="33">
        <v>0</v>
      </c>
      <c r="N14" s="1"/>
      <c r="O14" s="127" t="str">
        <f ca="1">" "&amp;주스탯종류</f>
        <v xml:space="preserve"> DEX</v>
      </c>
      <c r="P14" s="127"/>
      <c r="Q14" s="13">
        <v>0</v>
      </c>
      <c r="R14" s="127" t="str">
        <f ca="1">" "&amp;주스탯종류&amp;"%"</f>
        <v xml:space="preserve"> DEX%</v>
      </c>
      <c r="S14" s="127"/>
      <c r="T14" s="8">
        <v>0</v>
      </c>
      <c r="U14" s="1"/>
      <c r="V14" s="6" t="s">
        <v>184</v>
      </c>
      <c r="W14" s="24">
        <f>IFERROR(계산!V37,0)</f>
        <v>0</v>
      </c>
      <c r="X14" s="6" t="s">
        <v>185</v>
      </c>
      <c r="Y14" s="24">
        <f ca="1">IFERROR(계산!BG128,0)</f>
        <v>0</v>
      </c>
      <c r="Z14" s="1"/>
    </row>
    <row r="15" spans="1:27" ht="16.5" customHeight="1" thickBot="1" x14ac:dyDescent="0.35">
      <c r="A15" s="1"/>
      <c r="B15" s="6" t="str">
        <f ca="1">" 총 "&amp;주스탯종류</f>
        <v xml:space="preserve"> 총 DEX</v>
      </c>
      <c r="C15" s="24">
        <f ca="1">계산!D88</f>
        <v>0</v>
      </c>
      <c r="D15" s="1"/>
      <c r="E15" s="6" t="s">
        <v>95</v>
      </c>
      <c r="F15" s="8">
        <v>0</v>
      </c>
      <c r="G15" s="6" t="s">
        <v>89</v>
      </c>
      <c r="H15" s="8">
        <v>0</v>
      </c>
      <c r="I15" s="1"/>
      <c r="J15" s="1"/>
      <c r="K15" s="1"/>
      <c r="L15" s="1"/>
      <c r="M15" s="1"/>
      <c r="N15" s="1"/>
      <c r="O15" s="127" t="str">
        <f ca="1">" "&amp;공마종류</f>
        <v xml:space="preserve"> 공격력</v>
      </c>
      <c r="P15" s="127"/>
      <c r="Q15" s="13">
        <v>0</v>
      </c>
      <c r="R15" s="127" t="s">
        <v>89</v>
      </c>
      <c r="S15" s="127"/>
      <c r="T15" s="8">
        <v>0</v>
      </c>
      <c r="U15" s="1"/>
      <c r="V15" s="122" t="str">
        <f>" "&amp;IF(보스=1,"보스 몬스터","일반 몬스터")&amp;" 딜 변동률"</f>
        <v xml:space="preserve"> 보스 몬스터 딜 변동률</v>
      </c>
      <c r="W15" s="123"/>
      <c r="X15" s="120" t="str">
        <f ca="1">IFERROR(IF(ROUND(계산!O39*100,3)&lt;0,ROUND(계산!O39*100,3)&amp;"% ","+"&amp;ROUND(계산!O39*100,3)&amp;"% "),"- ")</f>
        <v xml:space="preserve">- </v>
      </c>
      <c r="Y15" s="121"/>
      <c r="Z15" s="1"/>
    </row>
    <row r="16" spans="1:27" ht="16.5" customHeight="1" thickBot="1" x14ac:dyDescent="0.35">
      <c r="A16" s="1"/>
      <c r="B16" s="6" t="str">
        <f ca="1">" "&amp;주스탯종류&amp;"%"</f>
        <v xml:space="preserve"> DEX%</v>
      </c>
      <c r="C16" s="28">
        <f ca="1">계산!D89/100</f>
        <v>0</v>
      </c>
      <c r="D16" s="1"/>
      <c r="E16" s="6" t="s">
        <v>97</v>
      </c>
      <c r="F16" s="8">
        <v>0</v>
      </c>
      <c r="G16" s="6" t="s">
        <v>92</v>
      </c>
      <c r="H16" s="8">
        <v>0</v>
      </c>
      <c r="I16" s="1"/>
      <c r="J16" s="129" t="s">
        <v>251</v>
      </c>
      <c r="K16" s="129"/>
      <c r="L16" s="129"/>
      <c r="M16" s="129"/>
      <c r="N16" s="1"/>
      <c r="O16" s="127" t="s">
        <v>303</v>
      </c>
      <c r="P16" s="127"/>
      <c r="Q16" s="22">
        <v>0</v>
      </c>
      <c r="R16" s="127" t="s">
        <v>304</v>
      </c>
      <c r="S16" s="127"/>
      <c r="T16" s="8">
        <v>0</v>
      </c>
      <c r="U16" s="1"/>
      <c r="V16" s="1"/>
      <c r="W16" s="1"/>
      <c r="X16" s="1"/>
      <c r="Y16" s="1"/>
      <c r="Z16" s="1"/>
    </row>
    <row r="17" spans="1:26" ht="16.5" customHeight="1" thickBot="1" x14ac:dyDescent="0.35">
      <c r="A17" s="1"/>
      <c r="B17" s="6" t="str">
        <f ca="1">" "&amp;공마종류</f>
        <v xml:space="preserve"> 공격력</v>
      </c>
      <c r="C17" s="24">
        <f ca="1">계산!F44</f>
        <v>0</v>
      </c>
      <c r="D17" s="1"/>
      <c r="E17" s="6" t="s">
        <v>274</v>
      </c>
      <c r="F17" s="8">
        <v>0</v>
      </c>
      <c r="G17" s="6" t="s">
        <v>91</v>
      </c>
      <c r="H17" s="8">
        <v>0</v>
      </c>
      <c r="I17" s="1"/>
      <c r="J17" s="6" t="str">
        <f ca="1">" "&amp;주스탯종류</f>
        <v xml:space="preserve"> DEX</v>
      </c>
      <c r="K17" s="13">
        <v>0</v>
      </c>
      <c r="L17" s="6" t="str">
        <f ca="1">" "&amp;주스탯종류&amp;"%"</f>
        <v xml:space="preserve"> DEX%</v>
      </c>
      <c r="M17" s="8">
        <v>0</v>
      </c>
      <c r="N17" s="1"/>
      <c r="O17" s="132" t="s">
        <v>199</v>
      </c>
      <c r="P17" s="132"/>
      <c r="Q17" s="132" t="s">
        <v>175</v>
      </c>
      <c r="R17" s="132"/>
      <c r="S17" s="133" t="str">
        <f ca="1">" 사용 시 "&amp;주스탯종류</f>
        <v xml:space="preserve"> 사용 시 DEX</v>
      </c>
      <c r="T17" s="133"/>
      <c r="U17" s="1"/>
      <c r="V17" s="129" t="s">
        <v>254</v>
      </c>
      <c r="W17" s="129"/>
      <c r="X17" s="129"/>
      <c r="Y17" s="129"/>
      <c r="Z17" s="1"/>
    </row>
    <row r="18" spans="1:26" ht="16.5" customHeight="1" thickBot="1" x14ac:dyDescent="0.35">
      <c r="A18" s="1"/>
      <c r="B18" s="1"/>
      <c r="C18" s="1"/>
      <c r="D18" s="1"/>
      <c r="E18" s="23" t="str">
        <f>IF(OR(C4="보우마스터",C4="신궁",C4="윈드브레이커",C4="메르세데스",C4="와일드헌터",C4="패스파인더")," 크리인 레벨"," -")</f>
        <v xml:space="preserve"> 크리인 레벨</v>
      </c>
      <c r="F18" s="13">
        <v>0</v>
      </c>
      <c r="G18" s="23" t="str">
        <f>IF(OR(C4="보우마스터",C4="신궁",C4="윈드브레이커",C4="메르세데스",C4="와일드헌터",C4="패스파인더")," 크리인 사용"," -")</f>
        <v xml:space="preserve"> 크리인 사용</v>
      </c>
      <c r="H18" s="17" t="s">
        <v>73</v>
      </c>
      <c r="I18" s="1"/>
      <c r="J18" s="6" t="str">
        <f ca="1">" "&amp;공마종류</f>
        <v xml:space="preserve"> 공격력</v>
      </c>
      <c r="K18" s="13">
        <v>0</v>
      </c>
      <c r="L18" s="6" t="str">
        <f ca="1">" "&amp;공마종류&amp;"%"</f>
        <v xml:space="preserve"> 공격력%</v>
      </c>
      <c r="M18" s="8">
        <v>0</v>
      </c>
      <c r="N18" s="1"/>
      <c r="O18" s="6" t="s">
        <v>168</v>
      </c>
      <c r="P18" s="26" t="str">
        <f ca="1">IFERROR(ROUND(계산!M60*100,2),"- ")</f>
        <v xml:space="preserve">- </v>
      </c>
      <c r="Q18" s="6" t="str">
        <f ca="1">" "&amp;LEFT(주스탯종류,1)&amp;" 1레벨"</f>
        <v xml:space="preserve"> D 1레벨</v>
      </c>
      <c r="R18" s="26" t="str">
        <f ca="1">IFERROR(ROUND(계산!N47*100,2),"- ")</f>
        <v xml:space="preserve">- </v>
      </c>
      <c r="S18" s="128" t="str">
        <f ca="1">IF(R18="- ","- ","("&amp;IF(계산!P47&lt;0,,"+")&amp;계산!P47&amp;") "&amp;계산!O47&amp;" ")</f>
        <v xml:space="preserve">- </v>
      </c>
      <c r="T18" s="128"/>
      <c r="U18" s="1"/>
      <c r="V18" s="6" t="s">
        <v>188</v>
      </c>
      <c r="W18" s="13">
        <v>500</v>
      </c>
      <c r="X18" s="130" t="str">
        <f>VLOOKUP(계산!V54,계산!R47:T66,3)</f>
        <v>노비스 1단계</v>
      </c>
      <c r="Y18" s="131"/>
      <c r="Z18" s="1"/>
    </row>
    <row r="19" spans="1:26" ht="16.5" customHeight="1" thickBot="1" x14ac:dyDescent="0.35">
      <c r="A19" s="1"/>
      <c r="B19" s="129" t="s">
        <v>204</v>
      </c>
      <c r="C19" s="129"/>
      <c r="D19" s="1"/>
      <c r="E19" s="1"/>
      <c r="F19" s="1"/>
      <c r="G19" s="1"/>
      <c r="H19" s="1"/>
      <c r="I19" s="1"/>
      <c r="J19" s="6" t="s">
        <v>95</v>
      </c>
      <c r="K19" s="8">
        <v>0</v>
      </c>
      <c r="L19" s="6" t="s">
        <v>89</v>
      </c>
      <c r="M19" s="8">
        <v>0</v>
      </c>
      <c r="N19" s="1"/>
      <c r="O19" s="6" t="s">
        <v>167</v>
      </c>
      <c r="P19" s="26" t="str">
        <f ca="1">IFERROR(ROUND(계산!M61*100,2),"- ")</f>
        <v xml:space="preserve">- </v>
      </c>
      <c r="Q19" s="6" t="str">
        <f ca="1">" "&amp;LEFT(주스탯종류,1)&amp;" 2레벨"</f>
        <v xml:space="preserve"> D 2레벨</v>
      </c>
      <c r="R19" s="26" t="str">
        <f ca="1">IFERROR(ROUND(계산!N48*100,2),"- ")</f>
        <v xml:space="preserve">- </v>
      </c>
      <c r="S19" s="128" t="str">
        <f ca="1">IF(R19="- ","- ","("&amp;IF(계산!P48&lt;0,,"+")&amp;계산!P48&amp;") "&amp;계산!O48&amp;" ")</f>
        <v xml:space="preserve">- </v>
      </c>
      <c r="T19" s="128"/>
      <c r="U19" s="1"/>
      <c r="V19" s="6" t="s">
        <v>213</v>
      </c>
      <c r="W19" s="24">
        <f>계산!V55</f>
        <v>9</v>
      </c>
      <c r="X19" s="6" t="s">
        <v>211</v>
      </c>
      <c r="Y19" s="20">
        <f>계산!V57</f>
        <v>0</v>
      </c>
      <c r="Z19" s="1"/>
    </row>
    <row r="20" spans="1:26" ht="16.5" customHeight="1" thickBot="1" x14ac:dyDescent="0.35">
      <c r="A20" s="1"/>
      <c r="B20" s="6" t="s">
        <v>156</v>
      </c>
      <c r="C20" s="13"/>
      <c r="D20" s="1"/>
      <c r="E20" s="129" t="s">
        <v>194</v>
      </c>
      <c r="F20" s="129"/>
      <c r="G20" s="129"/>
      <c r="H20" s="129"/>
      <c r="I20" s="1"/>
      <c r="J20" s="6" t="s">
        <v>274</v>
      </c>
      <c r="K20" s="8">
        <v>0</v>
      </c>
      <c r="L20" s="6" t="s">
        <v>92</v>
      </c>
      <c r="M20" s="8">
        <v>0</v>
      </c>
      <c r="N20" s="1"/>
      <c r="O20" s="6" t="s">
        <v>170</v>
      </c>
      <c r="P20" s="26" t="str">
        <f ca="1">IFERROR(ROUND(계산!M62*100,2),"- ")</f>
        <v xml:space="preserve">- </v>
      </c>
      <c r="Q20" s="6" t="str">
        <f ca="1">" "&amp;LEFT(주스탯종류,1)&amp;" 3레벨"</f>
        <v xml:space="preserve"> D 3레벨</v>
      </c>
      <c r="R20" s="26" t="str">
        <f ca="1">IFERROR(ROUND(계산!N49*100,2),"- ")</f>
        <v xml:space="preserve">- </v>
      </c>
      <c r="S20" s="128" t="str">
        <f ca="1">IF(R20="- ","- ","("&amp;IF(계산!P49&lt;0,,"+")&amp;계산!P49&amp;") "&amp;계산!O49&amp;" ")</f>
        <v xml:space="preserve">- </v>
      </c>
      <c r="T20" s="128"/>
      <c r="U20" s="1"/>
      <c r="V20" s="127" t="s">
        <v>300</v>
      </c>
      <c r="W20" s="127"/>
      <c r="X20" s="127"/>
      <c r="Y20" s="127"/>
      <c r="Z20" s="1"/>
    </row>
    <row r="21" spans="1:26" ht="16.5" customHeight="1" thickBot="1" x14ac:dyDescent="0.35">
      <c r="A21" s="1"/>
      <c r="B21" s="6" t="s">
        <v>157</v>
      </c>
      <c r="C21" s="13"/>
      <c r="D21" s="1"/>
      <c r="E21" s="127" t="str">
        <f ca="1">" "&amp;주스탯종류&amp;" 1%="</f>
        <v xml:space="preserve"> DEX 1%=</v>
      </c>
      <c r="F21" s="127"/>
      <c r="G21" s="144" t="str">
        <f ca="1">주스탯종류&amp;" "&amp;ROUNDDOWN(계산!C61,3)&amp;" "</f>
        <v xml:space="preserve">DEX 0 </v>
      </c>
      <c r="H21" s="144"/>
      <c r="I21" s="1"/>
      <c r="J21" s="6" t="s">
        <v>91</v>
      </c>
      <c r="K21" s="8">
        <v>0</v>
      </c>
      <c r="L21" s="6" t="s">
        <v>94</v>
      </c>
      <c r="M21" s="13">
        <v>0</v>
      </c>
      <c r="N21" s="1"/>
      <c r="O21" s="6" t="s">
        <v>169</v>
      </c>
      <c r="P21" s="26" t="str">
        <f ca="1">IFERROR(ROUND(계산!M63*100,2),"- ")</f>
        <v xml:space="preserve">- </v>
      </c>
      <c r="Q21" s="6" t="str">
        <f ca="1">" "&amp;LEFT(주스탯종류,1)&amp;" 4레벨"</f>
        <v xml:space="preserve"> D 4레벨</v>
      </c>
      <c r="R21" s="26" t="str">
        <f ca="1">IFERROR(ROUND(계산!N50*100,2),"- ")</f>
        <v xml:space="preserve">- </v>
      </c>
      <c r="S21" s="128" t="str">
        <f ca="1">IF(R21="- ","- ","("&amp;IF(계산!P50&lt;0,,"+")&amp;계산!P50&amp;") "&amp;계산!O50&amp;" ")</f>
        <v xml:space="preserve">- </v>
      </c>
      <c r="T21" s="128"/>
      <c r="U21" s="1"/>
      <c r="V21" s="6" t="s">
        <v>216</v>
      </c>
      <c r="W21" s="19">
        <v>0</v>
      </c>
      <c r="X21" s="6" t="s">
        <v>217</v>
      </c>
      <c r="Y21" s="19">
        <v>0</v>
      </c>
      <c r="Z21" s="1"/>
    </row>
    <row r="22" spans="1:26" ht="16.5" customHeight="1" thickBot="1" x14ac:dyDescent="0.35">
      <c r="A22" s="1"/>
      <c r="B22" s="6" t="s">
        <v>158</v>
      </c>
      <c r="C22" s="13"/>
      <c r="D22" s="1"/>
      <c r="E22" s="127" t="str">
        <f ca="1">" "&amp;주스탯종류&amp;" 1%="</f>
        <v xml:space="preserve"> DEX 1%=</v>
      </c>
      <c r="F22" s="127"/>
      <c r="G22" s="144" t="str">
        <f ca="1">IFERROR(공마종류&amp;" "&amp;ROUND(계산!C64,3)&amp;" ",공마종류&amp;" 0 ")</f>
        <v xml:space="preserve">공격력 0 </v>
      </c>
      <c r="H22" s="144"/>
      <c r="I22" s="1"/>
      <c r="J22" s="127" t="str">
        <f>" "&amp;IF(보스=1,"보스 몬스터","일반 몬스터")&amp;" 딜 변동률"</f>
        <v xml:space="preserve"> 보스 몬스터 딜 변동률</v>
      </c>
      <c r="K22" s="127"/>
      <c r="L22" s="128" t="str">
        <f ca="1">IFERROR(IF(ROUND(계산!H61*100,3)&lt;0,ROUND(계산!H61*100,3)&amp;"% ","+"&amp;ROUND(계산!H61*100,3)&amp;"% "),"- ")</f>
        <v xml:space="preserve">- </v>
      </c>
      <c r="M22" s="128"/>
      <c r="N22" s="1"/>
      <c r="O22" s="132" t="s">
        <v>198</v>
      </c>
      <c r="P22" s="132"/>
      <c r="Q22" s="132" t="s">
        <v>176</v>
      </c>
      <c r="R22" s="132"/>
      <c r="S22" s="133" t="str">
        <f ca="1">" 사용 시 "&amp;주스탯종류</f>
        <v xml:space="preserve"> 사용 시 DEX</v>
      </c>
      <c r="T22" s="133"/>
      <c r="U22" s="1"/>
      <c r="V22" s="6" t="s">
        <v>240</v>
      </c>
      <c r="W22" s="19">
        <v>0</v>
      </c>
      <c r="X22" s="6" t="s">
        <v>244</v>
      </c>
      <c r="Y22" s="19">
        <v>0</v>
      </c>
      <c r="Z22" s="1"/>
    </row>
    <row r="23" spans="1:26" ht="16.5" customHeight="1" thickBot="1" x14ac:dyDescent="0.35">
      <c r="A23" s="1" t="s">
        <v>84</v>
      </c>
      <c r="B23" s="6" t="s">
        <v>159</v>
      </c>
      <c r="C23" s="13"/>
      <c r="D23" s="1"/>
      <c r="E23" s="127" t="str">
        <f ca="1">" "&amp;공마종류&amp;" 1="</f>
        <v xml:space="preserve"> 공격력 1=</v>
      </c>
      <c r="F23" s="127"/>
      <c r="G23" s="144" t="str">
        <f ca="1">IFERROR(주스탯종류&amp;" "&amp;ROUND(계산!C67,3)&amp;" ",주스탯종류&amp;" 0 ")</f>
        <v xml:space="preserve">DEX 0 </v>
      </c>
      <c r="H23" s="144"/>
      <c r="I23" s="1"/>
      <c r="J23" s="6" t="str">
        <f ca="1">" 예상 "&amp;주스탯종류</f>
        <v xml:space="preserve"> 예상 DEX</v>
      </c>
      <c r="K23" s="24">
        <f ca="1">계산!H63</f>
        <v>0</v>
      </c>
      <c r="L23" s="6" t="s">
        <v>160</v>
      </c>
      <c r="M23" s="24" t="str">
        <f ca="1">계산!H62&amp;" "</f>
        <v xml:space="preserve">0 </v>
      </c>
      <c r="N23" s="1"/>
      <c r="O23" s="6" t="s">
        <v>168</v>
      </c>
      <c r="P23" s="26" t="str">
        <f ca="1">IFERROR(ROUND(계산!P60*100,2),"- ")</f>
        <v xml:space="preserve">- </v>
      </c>
      <c r="Q23" s="6" t="str">
        <f ca="1">" "&amp;LEFT(주스탯종류,1)&amp;" 1레벨"</f>
        <v xml:space="preserve"> D 1레벨</v>
      </c>
      <c r="R23" s="26" t="str">
        <f ca="1">IFERROR(ROUND(계산!N51*100,2),"- ")</f>
        <v xml:space="preserve">- </v>
      </c>
      <c r="S23" s="128" t="str">
        <f ca="1">IF(R23="- ","- ","("&amp;IF(계산!P51&lt;0,,"+")&amp;계산!P51&amp;") "&amp;계산!O51&amp;" ")</f>
        <v xml:space="preserve">- </v>
      </c>
      <c r="T23" s="128"/>
      <c r="U23" s="1"/>
      <c r="V23" s="6" t="s">
        <v>241</v>
      </c>
      <c r="W23" s="19">
        <v>0</v>
      </c>
      <c r="X23" s="6" t="s">
        <v>246</v>
      </c>
      <c r="Y23" s="17" t="s">
        <v>228</v>
      </c>
      <c r="Z23" s="1"/>
    </row>
    <row r="24" spans="1:26" ht="16.5" customHeight="1" thickBot="1" x14ac:dyDescent="0.35">
      <c r="A24" s="1" t="s">
        <v>84</v>
      </c>
      <c r="B24" s="1"/>
      <c r="C24" s="1"/>
      <c r="D24" s="1"/>
      <c r="E24" s="127" t="str">
        <f ca="1">" "&amp;공마종류&amp;" 1%="</f>
        <v xml:space="preserve"> 공격력 1%=</v>
      </c>
      <c r="F24" s="127"/>
      <c r="G24" s="144" t="str">
        <f ca="1">공마종류&amp;" "&amp;ROUNDDOWN(계산!C70,3)&amp;" "</f>
        <v xml:space="preserve">공격력 0 </v>
      </c>
      <c r="H24" s="144"/>
      <c r="I24" s="1"/>
      <c r="J24" s="1"/>
      <c r="K24" s="1"/>
      <c r="L24" s="1"/>
      <c r="M24" s="1"/>
      <c r="N24" s="1"/>
      <c r="O24" s="6" t="s">
        <v>167</v>
      </c>
      <c r="P24" s="26" t="str">
        <f ca="1">IFERROR(ROUND(계산!P61*100,2),"- ")</f>
        <v xml:space="preserve">- </v>
      </c>
      <c r="Q24" s="6" t="str">
        <f ca="1">" "&amp;LEFT(주스탯종류,1)&amp;" 2레벨"</f>
        <v xml:space="preserve"> D 2레벨</v>
      </c>
      <c r="R24" s="26" t="str">
        <f ca="1">IFERROR(ROUND(계산!N52*100,2),"- ")</f>
        <v xml:space="preserve">- </v>
      </c>
      <c r="S24" s="128" t="str">
        <f ca="1">IF(R24="- ","- ","("&amp;IF(계산!P52&lt;0,,"+")&amp;계산!P52&amp;") "&amp;계산!O52&amp;" ")</f>
        <v xml:space="preserve">- </v>
      </c>
      <c r="T24" s="128"/>
      <c r="U24" s="1"/>
      <c r="V24" s="127" t="s">
        <v>201</v>
      </c>
      <c r="W24" s="132"/>
      <c r="X24" s="127" t="s">
        <v>203</v>
      </c>
      <c r="Y24" s="132"/>
      <c r="Z24" s="1"/>
    </row>
    <row r="25" spans="1:26" ht="16.5" customHeight="1" thickBot="1" x14ac:dyDescent="0.35">
      <c r="A25" s="1"/>
      <c r="B25" s="150" t="s">
        <v>363</v>
      </c>
      <c r="C25" s="151"/>
      <c r="D25" s="1"/>
      <c r="E25" s="153" t="s">
        <v>195</v>
      </c>
      <c r="F25" s="153"/>
      <c r="G25" s="144" t="str">
        <f ca="1">IFERROR(주스탯종류&amp;" "&amp;ROUND(계산!C73,3)&amp;"% ",주스탯종류&amp;" 0 ")</f>
        <v xml:space="preserve">DEX 0 </v>
      </c>
      <c r="H25" s="144"/>
      <c r="I25" s="1"/>
      <c r="J25" s="129" t="s">
        <v>251</v>
      </c>
      <c r="K25" s="129"/>
      <c r="L25" s="129"/>
      <c r="M25" s="129"/>
      <c r="N25" s="1"/>
      <c r="O25" s="6" t="s">
        <v>170</v>
      </c>
      <c r="P25" s="26" t="str">
        <f ca="1">IFERROR(ROUND(계산!P62*100,2),"- ")</f>
        <v xml:space="preserve">- </v>
      </c>
      <c r="Q25" s="6" t="str">
        <f ca="1">" "&amp;LEFT(주스탯종류,1)&amp;" 3레벨"</f>
        <v xml:space="preserve"> D 3레벨</v>
      </c>
      <c r="R25" s="26" t="str">
        <f ca="1">IFERROR(ROUND(계산!N53*100,2),"- ")</f>
        <v xml:space="preserve">- </v>
      </c>
      <c r="S25" s="128" t="str">
        <f ca="1">IF(R25="- ","- ","("&amp;IF(계산!P53&lt;0,,"+")&amp;계산!P53&amp;") "&amp;계산!O53&amp;" ")</f>
        <v xml:space="preserve">- </v>
      </c>
      <c r="T25" s="128"/>
      <c r="U25" s="1"/>
      <c r="V25" s="6" t="str">
        <f ca="1">" "&amp;주스탯종류</f>
        <v xml:space="preserve"> DEX</v>
      </c>
      <c r="W25" s="18">
        <v>0</v>
      </c>
      <c r="X25" s="6" t="str">
        <f ca="1">" "&amp;주스탯종류</f>
        <v xml:space="preserve"> DEX</v>
      </c>
      <c r="Y25" s="25">
        <f ca="1">IFERROR(계산!V64,0)</f>
        <v>0</v>
      </c>
      <c r="Z25" s="1"/>
    </row>
    <row r="26" spans="1:26" ht="16.5" customHeight="1" thickBot="1" x14ac:dyDescent="0.35">
      <c r="A26" s="1"/>
      <c r="B26" s="151"/>
      <c r="C26" s="151"/>
      <c r="D26" s="1"/>
      <c r="E26" s="1"/>
      <c r="F26" s="1"/>
      <c r="G26" s="1"/>
      <c r="H26" s="1"/>
      <c r="I26" s="1"/>
      <c r="J26" s="6" t="str">
        <f ca="1">" "&amp;주스탯종류</f>
        <v xml:space="preserve"> DEX</v>
      </c>
      <c r="K26" s="13">
        <v>0</v>
      </c>
      <c r="L26" s="6" t="str">
        <f ca="1">" "&amp;주스탯종류&amp;"%"</f>
        <v xml:space="preserve"> DEX%</v>
      </c>
      <c r="M26" s="8">
        <v>0</v>
      </c>
      <c r="N26" s="1"/>
      <c r="O26" s="6" t="s">
        <v>169</v>
      </c>
      <c r="P26" s="26" t="str">
        <f ca="1">IFERROR(ROUND(계산!P63*100,2),"- ")</f>
        <v xml:space="preserve">- </v>
      </c>
      <c r="Q26" s="6" t="str">
        <f ca="1">" "&amp;LEFT(주스탯종류,1)&amp;" 4레벨"</f>
        <v xml:space="preserve"> D 4레벨</v>
      </c>
      <c r="R26" s="26" t="str">
        <f ca="1">IFERROR(ROUND(계산!N54*100,2),"- ")</f>
        <v xml:space="preserve">- </v>
      </c>
      <c r="S26" s="128" t="str">
        <f ca="1">IF(R26="- ","- ","("&amp;IF(계산!P54&lt;0,,"+")&amp;계산!P54&amp;") "&amp;계산!O54&amp;" ")</f>
        <v xml:space="preserve">- </v>
      </c>
      <c r="T26" s="128"/>
      <c r="U26" s="1"/>
      <c r="V26" s="6" t="str">
        <f ca="1">" "&amp;공마종류</f>
        <v xml:space="preserve"> 공격력</v>
      </c>
      <c r="W26" s="18">
        <v>0</v>
      </c>
      <c r="X26" s="6" t="str">
        <f ca="1">" "&amp;공마종류</f>
        <v xml:space="preserve"> 공격력</v>
      </c>
      <c r="Y26" s="25">
        <f ca="1">IFERROR(계산!V65,0)</f>
        <v>0</v>
      </c>
      <c r="Z26" s="1"/>
    </row>
    <row r="27" spans="1:26" ht="16.5" customHeight="1" thickBot="1" x14ac:dyDescent="0.35">
      <c r="A27" s="1"/>
      <c r="B27" s="151"/>
      <c r="C27" s="151"/>
      <c r="D27" s="1"/>
      <c r="E27" s="129" t="s">
        <v>196</v>
      </c>
      <c r="F27" s="129"/>
      <c r="G27" s="129"/>
      <c r="H27" s="129"/>
      <c r="I27" s="1"/>
      <c r="J27" s="6" t="str">
        <f ca="1">" "&amp;공마종류</f>
        <v xml:space="preserve"> 공격력</v>
      </c>
      <c r="K27" s="13">
        <v>0</v>
      </c>
      <c r="L27" s="6" t="str">
        <f ca="1">" "&amp;공마종류&amp;"%"</f>
        <v xml:space="preserve"> 공격력%</v>
      </c>
      <c r="M27" s="8">
        <v>0</v>
      </c>
      <c r="N27" s="1"/>
      <c r="O27" s="127" t="s">
        <v>202</v>
      </c>
      <c r="P27" s="127"/>
      <c r="Q27" s="132" t="s">
        <v>173</v>
      </c>
      <c r="R27" s="132"/>
      <c r="S27" s="133" t="str">
        <f ca="1">" 사용 시 "&amp;주스탯종류</f>
        <v xml:space="preserve"> 사용 시 DEX</v>
      </c>
      <c r="T27" s="133"/>
      <c r="U27" s="1"/>
      <c r="V27" s="6" t="s">
        <v>91</v>
      </c>
      <c r="W27" s="18">
        <v>0</v>
      </c>
      <c r="X27" s="6" t="s">
        <v>91</v>
      </c>
      <c r="Y27" s="25">
        <f>IFERROR(계산!V66,0)</f>
        <v>0</v>
      </c>
      <c r="Z27" s="1"/>
    </row>
    <row r="28" spans="1:26" ht="16.5" customHeight="1" thickBot="1" x14ac:dyDescent="0.35">
      <c r="A28" s="1"/>
      <c r="B28" s="151"/>
      <c r="C28" s="151"/>
      <c r="D28" s="1"/>
      <c r="E28" s="147" t="s">
        <v>362</v>
      </c>
      <c r="F28" s="147"/>
      <c r="G28" s="147"/>
      <c r="H28" s="147"/>
      <c r="I28" s="1"/>
      <c r="J28" s="6" t="s">
        <v>95</v>
      </c>
      <c r="K28" s="8">
        <v>0</v>
      </c>
      <c r="L28" s="6" t="s">
        <v>89</v>
      </c>
      <c r="M28" s="8">
        <v>0</v>
      </c>
      <c r="N28" s="1"/>
      <c r="O28" s="21" t="s">
        <v>168</v>
      </c>
      <c r="P28" s="26" t="str">
        <f ca="1">IFERROR(ROUND(계산!M65*100,2),"- ")</f>
        <v xml:space="preserve">- </v>
      </c>
      <c r="Q28" s="21" t="s">
        <v>168</v>
      </c>
      <c r="R28" s="26" t="str">
        <f ca="1">IFERROR(ROUND(계산!N55*100,2),"- ")</f>
        <v xml:space="preserve">- </v>
      </c>
      <c r="S28" s="128" t="str">
        <f ca="1">IF(R28="- ","- ","("&amp;IF(계산!P55&lt;0,,"+")&amp;계산!P55&amp;") "&amp;계산!O55&amp;" ")</f>
        <v xml:space="preserve">- </v>
      </c>
      <c r="T28" s="128"/>
      <c r="U28" s="1"/>
      <c r="V28" s="6" t="s">
        <v>274</v>
      </c>
      <c r="W28" s="18">
        <v>0</v>
      </c>
      <c r="X28" s="6" t="s">
        <v>274</v>
      </c>
      <c r="Y28" s="25">
        <f>IFERROR(계산!V67,0)</f>
        <v>0</v>
      </c>
      <c r="Z28" s="1"/>
    </row>
    <row r="29" spans="1:26" ht="16.5" customHeight="1" thickBot="1" x14ac:dyDescent="0.35">
      <c r="A29" s="1"/>
      <c r="B29" s="151"/>
      <c r="C29" s="151"/>
      <c r="D29" s="1"/>
      <c r="E29" s="149">
        <v>0</v>
      </c>
      <c r="F29" s="149"/>
      <c r="G29" s="149"/>
      <c r="H29" s="149"/>
      <c r="I29" s="1"/>
      <c r="J29" s="6" t="s">
        <v>274</v>
      </c>
      <c r="K29" s="8">
        <v>0</v>
      </c>
      <c r="L29" s="6" t="s">
        <v>92</v>
      </c>
      <c r="M29" s="8">
        <v>0</v>
      </c>
      <c r="N29" s="1"/>
      <c r="O29" s="21" t="s">
        <v>167</v>
      </c>
      <c r="P29" s="26" t="str">
        <f ca="1">IFERROR(ROUND(계산!M66*100,2),"- ")</f>
        <v xml:space="preserve">- </v>
      </c>
      <c r="Q29" s="21" t="s">
        <v>167</v>
      </c>
      <c r="R29" s="26" t="str">
        <f ca="1">IFERROR(ROUND(계산!N56*100,2),"- ")</f>
        <v xml:space="preserve">- </v>
      </c>
      <c r="S29" s="120" t="str">
        <f ca="1">IF(R29="- ","- ","("&amp;IF(계산!P56&lt;0,,"+")&amp;계산!P56&amp;") "&amp;계산!O56&amp;" ")</f>
        <v xml:space="preserve">- </v>
      </c>
      <c r="T29" s="121"/>
      <c r="U29" s="1"/>
      <c r="V29" s="6" t="s">
        <v>89</v>
      </c>
      <c r="W29" s="18">
        <v>0</v>
      </c>
      <c r="X29" s="6" t="s">
        <v>89</v>
      </c>
      <c r="Y29" s="25">
        <f>IFERROR(계산!V68,0)</f>
        <v>0</v>
      </c>
      <c r="Z29" s="1"/>
    </row>
    <row r="30" spans="1:26" ht="16.5" customHeight="1" thickBot="1" x14ac:dyDescent="0.35">
      <c r="A30" s="1"/>
      <c r="B30" s="151"/>
      <c r="C30" s="151"/>
      <c r="D30" s="1"/>
      <c r="E30" s="148" t="s">
        <v>58</v>
      </c>
      <c r="F30" s="148"/>
      <c r="G30" s="148"/>
      <c r="H30" s="148"/>
      <c r="I30" s="1"/>
      <c r="J30" s="6" t="s">
        <v>91</v>
      </c>
      <c r="K30" s="8">
        <v>0</v>
      </c>
      <c r="L30" s="6" t="s">
        <v>94</v>
      </c>
      <c r="M30" s="13">
        <v>0</v>
      </c>
      <c r="N30" s="1"/>
      <c r="O30" s="21" t="s">
        <v>170</v>
      </c>
      <c r="P30" s="26" t="str">
        <f ca="1">IFERROR(ROUND(계산!M67*100,2),"- ")</f>
        <v xml:space="preserve">- </v>
      </c>
      <c r="Q30" s="21" t="s">
        <v>170</v>
      </c>
      <c r="R30" s="26" t="str">
        <f ca="1">IFERROR(ROUND(계산!N57*100,2),"- ")</f>
        <v xml:space="preserve">- </v>
      </c>
      <c r="S30" s="120" t="str">
        <f ca="1">IF(R30="- ","- ","("&amp;IF(계산!P57&lt;0,,"+")&amp;계산!P57&amp;") "&amp;계산!O57&amp;" ")</f>
        <v xml:space="preserve">- </v>
      </c>
      <c r="T30" s="121"/>
      <c r="U30" s="1"/>
      <c r="V30" s="6" t="s">
        <v>92</v>
      </c>
      <c r="W30" s="18">
        <v>0</v>
      </c>
      <c r="X30" s="6" t="s">
        <v>92</v>
      </c>
      <c r="Y30" s="25">
        <f>IFERROR(계산!V69,0)</f>
        <v>0</v>
      </c>
      <c r="Z30" s="1"/>
    </row>
    <row r="31" spans="1:26" ht="16.5" customHeight="1" thickBot="1" x14ac:dyDescent="0.35">
      <c r="A31" s="1"/>
      <c r="B31" s="151"/>
      <c r="C31" s="151"/>
      <c r="D31" s="1"/>
      <c r="E31" s="147" t="s">
        <v>72</v>
      </c>
      <c r="F31" s="147"/>
      <c r="G31" s="147"/>
      <c r="H31" s="147"/>
      <c r="I31" s="1"/>
      <c r="J31" s="127" t="str">
        <f>" "&amp;IF(보스=1,"보스 몬스터","일반 몬스터")&amp;" 딜 변동률"</f>
        <v xml:space="preserve"> 보스 몬스터 딜 변동률</v>
      </c>
      <c r="K31" s="127"/>
      <c r="L31" s="128" t="str">
        <f ca="1">IFERROR(IF(ROUND(계산!J61*100,3)&lt;0,ROUND(계산!J61*100,3)&amp;"% ","+"&amp;ROUND(계산!J61*100,3)&amp;"% "),"- ")</f>
        <v xml:space="preserve">- </v>
      </c>
      <c r="M31" s="128"/>
      <c r="N31" s="1"/>
      <c r="O31" s="21" t="s">
        <v>169</v>
      </c>
      <c r="P31" s="26" t="str">
        <f ca="1">IFERROR(ROUND(계산!M68*100,2),"- ")</f>
        <v xml:space="preserve">- </v>
      </c>
      <c r="Q31" s="21" t="s">
        <v>169</v>
      </c>
      <c r="R31" s="26" t="str">
        <f ca="1">IFERROR(ROUND(계산!N58*100,2),"- ")</f>
        <v xml:space="preserve">- </v>
      </c>
      <c r="S31" s="120" t="str">
        <f ca="1">IF(R31="- ","- ","("&amp;IF(계산!P58&lt;0,,"+")&amp;계산!P58&amp;") "&amp;계산!O58&amp;" ")</f>
        <v xml:space="preserve">- </v>
      </c>
      <c r="T31" s="121"/>
      <c r="U31" s="1"/>
      <c r="V31" s="122" t="s">
        <v>355</v>
      </c>
      <c r="W31" s="124"/>
      <c r="X31" s="125">
        <v>0</v>
      </c>
      <c r="Y31" s="126"/>
      <c r="Z31" s="1"/>
    </row>
    <row r="32" spans="1:26" ht="16.5" customHeight="1" thickBot="1" x14ac:dyDescent="0.35">
      <c r="A32" s="1"/>
      <c r="B32" s="151"/>
      <c r="C32" s="151"/>
      <c r="D32" s="1"/>
      <c r="E32" s="152" t="str">
        <f ca="1">IFERROR(" "&amp;ROUND(계산!F47,4)," -")</f>
        <v xml:space="preserve"> 0</v>
      </c>
      <c r="F32" s="152"/>
      <c r="G32" s="152"/>
      <c r="H32" s="152"/>
      <c r="I32" s="1"/>
      <c r="J32" s="21" t="str">
        <f ca="1">" 예상 "&amp;주스탯종류</f>
        <v xml:space="preserve"> 예상 DEX</v>
      </c>
      <c r="K32" s="24">
        <f ca="1">계산!J63</f>
        <v>0</v>
      </c>
      <c r="L32" s="21" t="s">
        <v>160</v>
      </c>
      <c r="M32" s="24">
        <f ca="1">계산!J62</f>
        <v>0</v>
      </c>
      <c r="N32" s="1"/>
      <c r="O32" s="21" t="s">
        <v>177</v>
      </c>
      <c r="P32" s="27" t="str">
        <f ca="1">IFERROR(ROUND(계산!M69*100,2),"- ")</f>
        <v xml:space="preserve">- </v>
      </c>
      <c r="Q32" s="127" t="s">
        <v>200</v>
      </c>
      <c r="R32" s="127"/>
      <c r="S32" s="128" t="str">
        <f>계산!N69&amp;" "</f>
        <v xml:space="preserve">2000000 </v>
      </c>
      <c r="T32" s="128"/>
      <c r="U32" s="1"/>
      <c r="V32" s="127" t="str">
        <f>" "&amp;IF(보스=1,"보스 몬스터","일반 몬스터")&amp;" 딜 변동률"</f>
        <v xml:space="preserve"> 보스 몬스터 딜 변동률</v>
      </c>
      <c r="W32" s="127"/>
      <c r="X32" s="128" t="str">
        <f ca="1">IFERROR(IF(W18&lt;500,"유니온 레벨 부족 ",IF(OR(SUM(W25:W30)&gt;Y19,SUM(W31:W31,Y31:Y31)&gt;Y19),"오류 ",IF(ROUND(계산!V73*100,3)&lt;0,ROUND(계산!V73*100,3)&amp;"% ","+"&amp;ROUND(계산!V73*100,3)&amp;"% "))),"- ")</f>
        <v xml:space="preserve">- </v>
      </c>
      <c r="Y32" s="128"/>
      <c r="Z32" s="1"/>
    </row>
    <row r="33" spans="1:26" ht="16.5" customHeight="1" thickBot="1" x14ac:dyDescent="0.35">
      <c r="A33" s="1"/>
      <c r="B33" s="118" t="s">
        <v>346</v>
      </c>
      <c r="C33" s="11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thickBot="1" x14ac:dyDescent="0.35">
      <c r="J34" s="42"/>
    </row>
  </sheetData>
  <sheetProtection algorithmName="SHA-512" hashValue="xnk7/cGMzPnLN+qwT5bfJL4LJSjVzKCYcv7e+5ORPArUTb+z6Eegk04PQym0EZGNzHLmSOvx3OjYkhgg/kzclQ==" saltValue="1b9evfkjZ6eFQglDOQJaYw==" spinCount="100000" sheet="1" objects="1" scenarios="1" selectLockedCells="1"/>
  <dataConsolidate/>
  <mergeCells count="96">
    <mergeCell ref="B14:C14"/>
    <mergeCell ref="J22:K22"/>
    <mergeCell ref="E20:H20"/>
    <mergeCell ref="O14:P14"/>
    <mergeCell ref="R15:S15"/>
    <mergeCell ref="R14:S14"/>
    <mergeCell ref="S22:T22"/>
    <mergeCell ref="Q22:R22"/>
    <mergeCell ref="O22:P22"/>
    <mergeCell ref="R16:S16"/>
    <mergeCell ref="G21:H21"/>
    <mergeCell ref="E21:F21"/>
    <mergeCell ref="Q17:R17"/>
    <mergeCell ref="O17:P17"/>
    <mergeCell ref="S17:T17"/>
    <mergeCell ref="S18:T18"/>
    <mergeCell ref="B19:C19"/>
    <mergeCell ref="S19:T19"/>
    <mergeCell ref="S20:T20"/>
    <mergeCell ref="S21:T21"/>
    <mergeCell ref="B25:C32"/>
    <mergeCell ref="E32:H32"/>
    <mergeCell ref="S32:T32"/>
    <mergeCell ref="Q32:R32"/>
    <mergeCell ref="Q27:R27"/>
    <mergeCell ref="E25:F25"/>
    <mergeCell ref="G25:H25"/>
    <mergeCell ref="E22:F22"/>
    <mergeCell ref="S29:T29"/>
    <mergeCell ref="O27:P27"/>
    <mergeCell ref="G24:H24"/>
    <mergeCell ref="S23:T23"/>
    <mergeCell ref="S24:T24"/>
    <mergeCell ref="S25:T25"/>
    <mergeCell ref="S26:T26"/>
    <mergeCell ref="L12:M12"/>
    <mergeCell ref="E31:H31"/>
    <mergeCell ref="E27:H27"/>
    <mergeCell ref="E30:H30"/>
    <mergeCell ref="E28:H28"/>
    <mergeCell ref="E29:H29"/>
    <mergeCell ref="E23:F23"/>
    <mergeCell ref="E24:F24"/>
    <mergeCell ref="G23:H23"/>
    <mergeCell ref="L22:M22"/>
    <mergeCell ref="J31:K31"/>
    <mergeCell ref="L31:M31"/>
    <mergeCell ref="G22:H22"/>
    <mergeCell ref="J25:M25"/>
    <mergeCell ref="B2:C2"/>
    <mergeCell ref="E2:H2"/>
    <mergeCell ref="E12:H12"/>
    <mergeCell ref="E10:F10"/>
    <mergeCell ref="G10:H10"/>
    <mergeCell ref="F3:H3"/>
    <mergeCell ref="F6:H6"/>
    <mergeCell ref="G9:H9"/>
    <mergeCell ref="E9:F9"/>
    <mergeCell ref="F7:H7"/>
    <mergeCell ref="J10:M10"/>
    <mergeCell ref="J2:M2"/>
    <mergeCell ref="K3:M3"/>
    <mergeCell ref="J16:M16"/>
    <mergeCell ref="J11:K11"/>
    <mergeCell ref="O16:P16"/>
    <mergeCell ref="O2:T2"/>
    <mergeCell ref="O15:P15"/>
    <mergeCell ref="O3:P3"/>
    <mergeCell ref="Q3:R3"/>
    <mergeCell ref="S3:T3"/>
    <mergeCell ref="O13:T13"/>
    <mergeCell ref="L11:M11"/>
    <mergeCell ref="J12:K12"/>
    <mergeCell ref="V2:Y2"/>
    <mergeCell ref="V6:W6"/>
    <mergeCell ref="X6:Y6"/>
    <mergeCell ref="V3:Y3"/>
    <mergeCell ref="O11:T11"/>
    <mergeCell ref="R12:T12"/>
    <mergeCell ref="O12:Q12"/>
    <mergeCell ref="B33:C33"/>
    <mergeCell ref="X15:Y15"/>
    <mergeCell ref="V15:W15"/>
    <mergeCell ref="V31:W31"/>
    <mergeCell ref="X31:Y31"/>
    <mergeCell ref="V32:W32"/>
    <mergeCell ref="X32:Y32"/>
    <mergeCell ref="V17:Y17"/>
    <mergeCell ref="X18:Y18"/>
    <mergeCell ref="V24:W24"/>
    <mergeCell ref="X24:Y24"/>
    <mergeCell ref="V20:Y20"/>
    <mergeCell ref="S31:T31"/>
    <mergeCell ref="S30:T30"/>
    <mergeCell ref="S27:T27"/>
    <mergeCell ref="S28:T28"/>
  </mergeCells>
  <phoneticPr fontId="4" type="noConversion"/>
  <conditionalFormatting sqref="P32">
    <cfRule type="cellIs" dxfId="11" priority="20" operator="greaterThan">
      <formula>0</formula>
    </cfRule>
  </conditionalFormatting>
  <conditionalFormatting sqref="P18:P21 R18:R21 P23:P26 R23:R26 P28:P31 R28:R31">
    <cfRule type="colorScale" priority="19">
      <colorScale>
        <cfvo type="num" val="0"/>
        <cfvo type="max"/>
        <color rgb="FFE6E6E6"/>
        <color theme="7" tint="0.59999389629810485"/>
      </colorScale>
    </cfRule>
  </conditionalFormatting>
  <conditionalFormatting sqref="E18 G18">
    <cfRule type="expression" dxfId="10" priority="16">
      <formula>$E$18=" -"</formula>
    </cfRule>
  </conditionalFormatting>
  <conditionalFormatting sqref="F18 H18">
    <cfRule type="expression" dxfId="9" priority="15">
      <formula>$E$18=" -"</formula>
    </cfRule>
  </conditionalFormatting>
  <conditionalFormatting sqref="V4">
    <cfRule type="expression" dxfId="8" priority="14">
      <formula>$V$4=" -"</formula>
    </cfRule>
  </conditionalFormatting>
  <conditionalFormatting sqref="W4">
    <cfRule type="expression" dxfId="7" priority="13">
      <formula>$V$4=" -"</formula>
    </cfRule>
  </conditionalFormatting>
  <conditionalFormatting sqref="X4">
    <cfRule type="expression" dxfId="6" priority="12">
      <formula>$X$4=" -"</formula>
    </cfRule>
  </conditionalFormatting>
  <conditionalFormatting sqref="Y4">
    <cfRule type="expression" dxfId="5" priority="11">
      <formula>$X$4=" -"</formula>
    </cfRule>
  </conditionalFormatting>
  <conditionalFormatting sqref="R4:R9 P4:P7 T4:T9">
    <cfRule type="colorScale" priority="21">
      <colorScale>
        <cfvo type="min"/>
        <cfvo type="max"/>
        <color rgb="FFE6E6E6"/>
        <color theme="9" tint="0.59999389629810485"/>
      </colorScale>
    </cfRule>
  </conditionalFormatting>
  <dataValidations count="41">
    <dataValidation type="list" allowBlank="1" showInputMessage="1" showErrorMessage="1" sqref="C5">
      <formula1>INDIRECT($C$4)</formula1>
    </dataValidation>
    <dataValidation type="whole" allowBlank="1" showInputMessage="1" showErrorMessage="1" sqref="C3">
      <formula1>1</formula1>
      <formula2>275</formula2>
    </dataValidation>
    <dataValidation type="decimal" operator="greaterThanOrEqual" allowBlank="1" showInputMessage="1" showErrorMessage="1" sqref="F8 L12:M12 H4 F4:F5 F7:H7 E29:H29">
      <formula1>0</formula1>
    </dataValidation>
    <dataValidation type="decimal" allowBlank="1" showInputMessage="1" showErrorMessage="1" sqref="K13:K14 H5 M13:M14">
      <formula1>0</formula1>
      <formula2>1</formula2>
    </dataValidation>
    <dataValidation type="whole" allowBlank="1" showInputMessage="1" showErrorMessage="1" sqref="G10:H10">
      <formula1>0</formula1>
      <formula2>450</formula2>
    </dataValidation>
    <dataValidation type="whole" operator="greaterThanOrEqual" allowBlank="1" showInputMessage="1" showErrorMessage="1" sqref="G9:H9 C20:C23 H8 R12:T12">
      <formula1>0</formula1>
    </dataValidation>
    <dataValidation type="whole" operator="greaterThanOrEqual" allowBlank="1" showInputMessage="1" showErrorMessage="1" sqref="K26">
      <formula1>-순스탯</formula1>
    </dataValidation>
    <dataValidation operator="greaterThan" allowBlank="1" showInputMessage="1" showErrorMessage="1" sqref="E20:H25 J22:M23 J31:M32 C15:C17 O17:T32"/>
    <dataValidation type="whole" operator="greaterThan" allowBlank="1" showInputMessage="1" showErrorMessage="1" sqref="K27">
      <formula1>-공마</formula1>
    </dataValidation>
    <dataValidation type="list" allowBlank="1" showInputMessage="1" showErrorMessage="1" sqref="E28 E31">
      <formula1>효율계산</formula1>
    </dataValidation>
    <dataValidation type="decimal" allowBlank="1" showInputMessage="1" showErrorMessage="1" sqref="K29 K20">
      <formula1>-3</formula1>
      <formula2>3</formula2>
    </dataValidation>
    <dataValidation type="decimal" operator="greaterThanOrEqual" allowBlank="1" showInputMessage="1" showErrorMessage="1" sqref="T16 K30 K21">
      <formula1>-크뎀</formula1>
    </dataValidation>
    <dataValidation type="decimal" operator="greaterThanOrEqual" allowBlank="1" showInputMessage="1" showErrorMessage="1" sqref="M26 M17">
      <formula1>-스탯퍼/100</formula1>
    </dataValidation>
    <dataValidation type="decimal" operator="greaterThanOrEqual" allowBlank="1" showInputMessage="1" showErrorMessage="1" sqref="M27 M18">
      <formula1>-공마퍼</formula1>
    </dataValidation>
    <dataValidation type="decimal" operator="greaterThanOrEqual" allowBlank="1" showInputMessage="1" showErrorMessage="1" sqref="T15 M28 M19">
      <formula1>-보공</formula1>
    </dataValidation>
    <dataValidation type="decimal" operator="greaterThanOrEqual" allowBlank="1" showInputMessage="1" showErrorMessage="1" sqref="K28 K19">
      <formula1>-데미지</formula1>
    </dataValidation>
    <dataValidation type="decimal" operator="greaterThanOrEqual" allowBlank="1" showInputMessage="1" showErrorMessage="1" sqref="H14">
      <formula1>-F8</formula1>
    </dataValidation>
    <dataValidation type="decimal" allowBlank="1" showInputMessage="1" showErrorMessage="1" sqref="F17">
      <formula1>-F6</formula1>
      <formula2>3</formula2>
    </dataValidation>
    <dataValidation type="decimal" operator="greaterThanOrEqual" allowBlank="1" showInputMessage="1" showErrorMessage="1" sqref="H15 F15:F16">
      <formula1>-F4</formula1>
    </dataValidation>
    <dataValidation type="whole" operator="greaterThanOrEqual" allowBlank="1" showInputMessage="1" showErrorMessage="1" sqref="C8:C11">
      <formula1>4</formula1>
    </dataValidation>
    <dataValidation type="whole" operator="greaterThanOrEqual" allowBlank="1" showInputMessage="1" showErrorMessage="1" sqref="F3:H3">
      <formula1>1</formula1>
    </dataValidation>
    <dataValidation type="whole" allowBlank="1" showInputMessage="1" showErrorMessage="1" sqref="C12">
      <formula1>0</formula1>
      <formula2>32</formula2>
    </dataValidation>
    <dataValidation type="decimal" operator="greaterThanOrEqual" allowBlank="1" showInputMessage="1" showErrorMessage="1" sqref="H17">
      <formula1>-F7</formula1>
    </dataValidation>
    <dataValidation type="whole" operator="greaterThanOrEqual" allowBlank="1" showInputMessage="1" showErrorMessage="1" sqref="Q14 K17">
      <formula1>-순스탯</formula1>
    </dataValidation>
    <dataValidation type="decimal" operator="greaterThanOrEqual" allowBlank="1" showInputMessage="1" showErrorMessage="1" sqref="T14">
      <formula1>-스탯퍼</formula1>
    </dataValidation>
    <dataValidation type="whole" operator="greaterThanOrEqual" allowBlank="1" showInputMessage="1" showErrorMessage="1" sqref="M30 M21">
      <formula1>-$H$8</formula1>
    </dataValidation>
    <dataValidation type="whole" operator="greaterThanOrEqual" allowBlank="1" showInputMessage="1" showErrorMessage="1" sqref="Q15 K18">
      <formula1>-공마</formula1>
    </dataValidation>
    <dataValidation type="whole" allowBlank="1" showInputMessage="1" showErrorMessage="1" sqref="W4 Y4">
      <formula1>0</formula1>
      <formula2>10</formula2>
    </dataValidation>
    <dataValidation type="whole" allowBlank="1" showInputMessage="1" showErrorMessage="1" sqref="W8:W13 W25:W26 W5 Y5">
      <formula1>0</formula1>
      <formula2>15</formula2>
    </dataValidation>
    <dataValidation type="whole" allowBlank="1" showInputMessage="1" showErrorMessage="1" sqref="W18">
      <formula1>1</formula1>
      <formula2>10000</formula2>
    </dataValidation>
    <dataValidation type="list" allowBlank="1" showInputMessage="1" showErrorMessage="1" sqref="Y23">
      <formula1>유니온엠</formula1>
    </dataValidation>
    <dataValidation type="whole" allowBlank="1" showInputMessage="1" showErrorMessage="1" sqref="W27:W30">
      <formula1>0</formula1>
      <formula2>40</formula2>
    </dataValidation>
    <dataValidation type="list" allowBlank="1" showInputMessage="1" showErrorMessage="1" sqref="C4">
      <formula1>직업</formula1>
    </dataValidation>
    <dataValidation type="list" allowBlank="1" showInputMessage="1" showErrorMessage="1" sqref="L11:M11">
      <formula1>몬스터종류</formula1>
    </dataValidation>
    <dataValidation type="decimal" allowBlank="1" showInputMessage="1" showErrorMessage="1" sqref="F6:H6">
      <formula1>0</formula1>
      <formula2>3</formula2>
    </dataValidation>
    <dataValidation type="whole" allowBlank="1" showInputMessage="1" showErrorMessage="1" sqref="F18">
      <formula1>0</formula1>
      <formula2>30</formula2>
    </dataValidation>
    <dataValidation type="list" allowBlank="1" showInputMessage="1" showErrorMessage="1" sqref="H18">
      <formula1>크리인사용</formula1>
    </dataValidation>
    <dataValidation type="whole" allowBlank="1" showInputMessage="1" showErrorMessage="1" sqref="X31">
      <formula1>0</formula1>
      <formula2>200</formula2>
    </dataValidation>
    <dataValidation type="decimal" allowBlank="1" showInputMessage="1" showErrorMessage="1" sqref="H16">
      <formula1>-H5</formula1>
      <formula2>1</formula2>
    </dataValidation>
    <dataValidation type="decimal" operator="greaterThanOrEqual" allowBlank="1" showInputMessage="1" showErrorMessage="1" sqref="Q16">
      <formula1>-크확</formula1>
    </dataValidation>
    <dataValidation type="decimal" allowBlank="1" showInputMessage="1" showErrorMessage="1" sqref="M20 M29">
      <formula1>-방무</formula1>
      <formula2>1</formula2>
    </dataValidation>
  </dataValidations>
  <hyperlinks>
    <hyperlink ref="B25:C32" r:id="rId1" display="https://onionion-.github.io/"/>
  </hyperlinks>
  <pageMargins left="0.69972223043441772" right="0.69972223043441772" top="0.75" bottom="0.75" header="0.30000001192092896" footer="0.30000001192092896"/>
  <pageSetup paperSize="66" orientation="portrait" horizontalDpi="4294967293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AB6DE5A9-55B1-4F42-992D-4933E55A494A}">
            <xm:f>계산!$C$91=TRUE</xm:f>
            <x14:dxf>
              <font>
                <strike val="0"/>
                <color rgb="FFC00000"/>
              </font>
              <fill>
                <patternFill patternType="lightUp">
                  <fgColor theme="5"/>
                  <bgColor auto="1"/>
                </patternFill>
              </fill>
            </x14:dxf>
          </x14:cfRule>
          <xm:sqref>C3 C8:C9 C12 G9:H10 H8</xm:sqref>
        </x14:conditionalFormatting>
        <x14:conditionalFormatting xmlns:xm="http://schemas.microsoft.com/office/excel/2006/main">
          <x14:cfRule type="expression" priority="4" id="{A36C7B69-FDA7-43B5-9493-A8A457BF0F24}">
            <xm:f>계산!$C$92=TRUE</xm:f>
            <x14:dxf>
              <font>
                <strike val="0"/>
                <color rgb="FFC00000"/>
              </font>
              <fill>
                <patternFill patternType="lightUp">
                  <fgColor theme="5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3" id="{7F10BC61-1BEC-4435-88C6-8F5EC8A57F35}">
            <xm:f>계산!$D$92=TRUE</xm:f>
            <x14:dxf>
              <font>
                <strike val="0"/>
                <color rgb="FFC00000"/>
              </font>
              <fill>
                <patternFill patternType="lightUp">
                  <fgColor theme="5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" id="{F5D312B0-86D8-4B73-9025-7A14F6C710C7}">
            <xm:f>계산!$C$93=TRUE</xm:f>
            <x14:dxf>
              <font>
                <strike val="0"/>
                <color rgb="FFC00000"/>
              </font>
              <fill>
                <patternFill patternType="lightUp">
                  <fgColor theme="5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1" id="{8EB1A186-D835-4577-B1F8-574538D79ABF}">
            <xm:f>계산!$D$93=TRUE</xm:f>
            <x14:dxf>
              <font>
                <strike val="0"/>
                <color rgb="FFC00000"/>
              </font>
              <fill>
                <patternFill patternType="lightUp">
                  <fgColor theme="5"/>
                </patternFill>
              </fill>
            </x14:dxf>
          </x14:cfRule>
          <xm:sqref>C23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whole" operator="greaterThanOrEqual" allowBlank="1" showInputMessage="1" showErrorMessage="1">
          <x14:formula1>
            <xm:f>-계산!D88</xm:f>
          </x14:formula1>
          <xm:sqref>F13</xm:sqref>
        </x14:dataValidation>
        <x14:dataValidation type="decimal" operator="greaterThanOrEqual" allowBlank="1" showInputMessage="1" showErrorMessage="1">
          <x14:formula1>
            <xm:f>-계산!D89/100</xm:f>
          </x14:formula1>
          <xm:sqref>H13</xm:sqref>
        </x14:dataValidation>
        <x14:dataValidation type="whole" operator="greaterThanOrEqual" allowBlank="1" showInputMessage="1" showErrorMessage="1">
          <x14:formula1>
            <xm:f>-계산!F44</xm:f>
          </x14:formula1>
          <xm:sqref>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3"/>
  <sheetViews>
    <sheetView zoomScaleNormal="100" workbookViewId="0"/>
  </sheetViews>
  <sheetFormatPr defaultColWidth="9" defaultRowHeight="16.5" customHeight="1" thickBottom="1" x14ac:dyDescent="0.35"/>
  <cols>
    <col min="1" max="1" width="3" style="38" customWidth="1"/>
    <col min="2" max="2" width="12.5" style="38" customWidth="1"/>
    <col min="3" max="3" width="13.75" style="38" customWidth="1"/>
    <col min="4" max="4" width="3" style="38" customWidth="1"/>
    <col min="5" max="5" width="13.125" style="38" customWidth="1"/>
    <col min="6" max="6" width="7.5" style="38" customWidth="1"/>
    <col min="7" max="7" width="13.125" style="38" customWidth="1"/>
    <col min="8" max="8" width="7.5" style="38" customWidth="1"/>
    <col min="9" max="9" width="3" style="38" customWidth="1"/>
    <col min="10" max="10" width="13.125" style="38" customWidth="1"/>
    <col min="11" max="11" width="9.375" style="38" customWidth="1"/>
    <col min="12" max="12" width="13" style="38" customWidth="1"/>
    <col min="13" max="13" width="9.375" style="38" customWidth="1"/>
    <col min="14" max="14" width="3" style="38" customWidth="1"/>
    <col min="15" max="20" width="8.75" style="38" customWidth="1"/>
    <col min="21" max="21" width="3" style="38" customWidth="1"/>
    <col min="22" max="22" width="13.125" style="2" customWidth="1"/>
    <col min="23" max="23" width="9.375" style="2" customWidth="1"/>
    <col min="24" max="24" width="13" style="2" customWidth="1"/>
    <col min="25" max="25" width="9.375" style="2" customWidth="1"/>
    <col min="26" max="26" width="3" style="2" customWidth="1"/>
    <col min="27" max="16384" width="9" style="38"/>
  </cols>
  <sheetData>
    <row r="1" spans="1:26" ht="16.5" customHeight="1" thickBot="1" x14ac:dyDescent="0.3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"/>
      <c r="W1" s="3"/>
      <c r="X1" s="3"/>
      <c r="Y1" s="3"/>
      <c r="Z1" s="3"/>
    </row>
    <row r="2" spans="1:26" ht="16.5" customHeight="1" thickBot="1" x14ac:dyDescent="0.35">
      <c r="A2" s="37"/>
      <c r="B2" s="154" t="s">
        <v>193</v>
      </c>
      <c r="C2" s="154"/>
      <c r="D2" s="37"/>
      <c r="E2" s="154" t="s">
        <v>190</v>
      </c>
      <c r="F2" s="154"/>
      <c r="G2" s="154"/>
      <c r="H2" s="154"/>
      <c r="I2" s="37"/>
      <c r="J2" s="154" t="s">
        <v>207</v>
      </c>
      <c r="K2" s="154"/>
      <c r="L2" s="154"/>
      <c r="M2" s="154"/>
      <c r="N2" s="37"/>
      <c r="O2" s="154" t="s">
        <v>197</v>
      </c>
      <c r="P2" s="154"/>
      <c r="Q2" s="154"/>
      <c r="R2" s="154"/>
      <c r="S2" s="154"/>
      <c r="T2" s="154"/>
      <c r="U2" s="37"/>
      <c r="V2" s="154" t="s">
        <v>205</v>
      </c>
      <c r="W2" s="154"/>
      <c r="X2" s="154"/>
      <c r="Y2" s="154"/>
      <c r="Z2" s="3"/>
    </row>
    <row r="3" spans="1:26" ht="16.5" customHeight="1" thickBot="1" x14ac:dyDescent="0.35">
      <c r="A3" s="37"/>
      <c r="B3" s="155" t="s">
        <v>370</v>
      </c>
      <c r="C3" s="165"/>
      <c r="D3" s="37"/>
      <c r="E3" s="155" t="s">
        <v>366</v>
      </c>
      <c r="F3" s="165"/>
      <c r="G3" s="165"/>
      <c r="H3" s="165"/>
      <c r="I3" s="37"/>
      <c r="J3" s="155" t="s">
        <v>252</v>
      </c>
      <c r="K3" s="165"/>
      <c r="L3" s="165"/>
      <c r="M3" s="165"/>
      <c r="N3" s="37"/>
      <c r="O3" s="156" t="s">
        <v>310</v>
      </c>
      <c r="P3" s="157"/>
      <c r="Q3" s="157"/>
      <c r="R3" s="157"/>
      <c r="S3" s="157"/>
      <c r="T3" s="158"/>
      <c r="U3" s="37"/>
      <c r="V3" s="155" t="s">
        <v>367</v>
      </c>
      <c r="W3" s="165"/>
      <c r="X3" s="165"/>
      <c r="Y3" s="165"/>
      <c r="Z3" s="3"/>
    </row>
    <row r="4" spans="1:26" ht="16.5" customHeight="1" thickBot="1" x14ac:dyDescent="0.35">
      <c r="A4" s="37"/>
      <c r="B4" s="165"/>
      <c r="C4" s="165"/>
      <c r="D4" s="37"/>
      <c r="E4" s="165"/>
      <c r="F4" s="165"/>
      <c r="G4" s="165"/>
      <c r="H4" s="165"/>
      <c r="I4" s="37"/>
      <c r="J4" s="165"/>
      <c r="K4" s="165"/>
      <c r="L4" s="165"/>
      <c r="M4" s="165"/>
      <c r="N4" s="37"/>
      <c r="O4" s="159"/>
      <c r="P4" s="160"/>
      <c r="Q4" s="160"/>
      <c r="R4" s="160"/>
      <c r="S4" s="160"/>
      <c r="T4" s="161"/>
      <c r="U4" s="37"/>
      <c r="V4" s="165"/>
      <c r="W4" s="165"/>
      <c r="X4" s="165"/>
      <c r="Y4" s="165"/>
      <c r="Z4" s="3"/>
    </row>
    <row r="5" spans="1:26" ht="16.5" customHeight="1" thickBot="1" x14ac:dyDescent="0.35">
      <c r="A5" s="37"/>
      <c r="B5" s="165"/>
      <c r="C5" s="165"/>
      <c r="D5" s="37"/>
      <c r="E5" s="165"/>
      <c r="F5" s="165"/>
      <c r="G5" s="165"/>
      <c r="H5" s="165"/>
      <c r="I5" s="37"/>
      <c r="J5" s="165"/>
      <c r="K5" s="165"/>
      <c r="L5" s="165"/>
      <c r="M5" s="165"/>
      <c r="N5" s="37"/>
      <c r="O5" s="159"/>
      <c r="P5" s="160"/>
      <c r="Q5" s="160"/>
      <c r="R5" s="160"/>
      <c r="S5" s="160"/>
      <c r="T5" s="161"/>
      <c r="U5" s="37"/>
      <c r="V5" s="165"/>
      <c r="W5" s="165"/>
      <c r="X5" s="165"/>
      <c r="Y5" s="165"/>
      <c r="Z5" s="3"/>
    </row>
    <row r="6" spans="1:26" ht="16.5" customHeight="1" thickBot="1" x14ac:dyDescent="0.35">
      <c r="A6" s="37"/>
      <c r="B6" s="165"/>
      <c r="C6" s="165"/>
      <c r="D6" s="37"/>
      <c r="E6" s="165"/>
      <c r="F6" s="165"/>
      <c r="G6" s="165"/>
      <c r="H6" s="165"/>
      <c r="I6" s="37"/>
      <c r="J6" s="165"/>
      <c r="K6" s="165"/>
      <c r="L6" s="165"/>
      <c r="M6" s="165"/>
      <c r="N6" s="37"/>
      <c r="O6" s="159"/>
      <c r="P6" s="160"/>
      <c r="Q6" s="160"/>
      <c r="R6" s="160"/>
      <c r="S6" s="160"/>
      <c r="T6" s="161"/>
      <c r="U6" s="37"/>
      <c r="V6" s="165"/>
      <c r="W6" s="165"/>
      <c r="X6" s="165"/>
      <c r="Y6" s="165"/>
      <c r="Z6" s="3"/>
    </row>
    <row r="7" spans="1:26" ht="16.5" customHeight="1" thickBot="1" x14ac:dyDescent="0.35">
      <c r="A7" s="37"/>
      <c r="B7" s="165"/>
      <c r="C7" s="165"/>
      <c r="D7" s="37"/>
      <c r="E7" s="165"/>
      <c r="F7" s="165"/>
      <c r="G7" s="165"/>
      <c r="H7" s="165"/>
      <c r="I7" s="37"/>
      <c r="J7" s="165"/>
      <c r="K7" s="165"/>
      <c r="L7" s="165"/>
      <c r="M7" s="165"/>
      <c r="N7" s="37"/>
      <c r="O7" s="159"/>
      <c r="P7" s="160"/>
      <c r="Q7" s="160"/>
      <c r="R7" s="160"/>
      <c r="S7" s="160"/>
      <c r="T7" s="161"/>
      <c r="U7" s="37"/>
      <c r="V7" s="165"/>
      <c r="W7" s="165"/>
      <c r="X7" s="165"/>
      <c r="Y7" s="165"/>
      <c r="Z7" s="3"/>
    </row>
    <row r="8" spans="1:26" ht="16.5" customHeight="1" thickBot="1" x14ac:dyDescent="0.35">
      <c r="A8" s="37"/>
      <c r="B8" s="165"/>
      <c r="C8" s="165"/>
      <c r="D8" s="37"/>
      <c r="E8" s="165"/>
      <c r="F8" s="165"/>
      <c r="G8" s="165"/>
      <c r="H8" s="165"/>
      <c r="I8" s="37"/>
      <c r="J8" s="165"/>
      <c r="K8" s="165"/>
      <c r="L8" s="165"/>
      <c r="M8" s="165"/>
      <c r="N8" s="37"/>
      <c r="O8" s="159"/>
      <c r="P8" s="160"/>
      <c r="Q8" s="160"/>
      <c r="R8" s="160"/>
      <c r="S8" s="160"/>
      <c r="T8" s="161"/>
      <c r="U8" s="37"/>
      <c r="V8" s="165"/>
      <c r="W8" s="165"/>
      <c r="X8" s="165"/>
      <c r="Y8" s="165"/>
      <c r="Z8" s="3"/>
    </row>
    <row r="9" spans="1:26" ht="16.5" customHeight="1" thickBot="1" x14ac:dyDescent="0.35">
      <c r="A9" s="37"/>
      <c r="B9" s="165"/>
      <c r="C9" s="165"/>
      <c r="D9" s="37"/>
      <c r="E9" s="165"/>
      <c r="F9" s="165"/>
      <c r="G9" s="165"/>
      <c r="H9" s="165"/>
      <c r="I9" s="37"/>
      <c r="J9" s="37"/>
      <c r="K9" s="37"/>
      <c r="L9" s="37"/>
      <c r="M9" s="37"/>
      <c r="N9" s="37"/>
      <c r="O9" s="162"/>
      <c r="P9" s="163"/>
      <c r="Q9" s="163"/>
      <c r="R9" s="163"/>
      <c r="S9" s="163"/>
      <c r="T9" s="164"/>
      <c r="U9" s="37"/>
      <c r="V9" s="165"/>
      <c r="W9" s="165"/>
      <c r="X9" s="165"/>
      <c r="Y9" s="165"/>
      <c r="Z9" s="3"/>
    </row>
    <row r="10" spans="1:26" ht="16.5" customHeight="1" thickBot="1" x14ac:dyDescent="0.35">
      <c r="A10" s="37"/>
      <c r="B10" s="165"/>
      <c r="C10" s="165"/>
      <c r="D10" s="37"/>
      <c r="E10" s="165"/>
      <c r="F10" s="165"/>
      <c r="G10" s="165"/>
      <c r="H10" s="165"/>
      <c r="I10" s="37"/>
      <c r="J10" s="129" t="s">
        <v>255</v>
      </c>
      <c r="K10" s="129"/>
      <c r="L10" s="129"/>
      <c r="M10" s="129"/>
      <c r="N10" s="37"/>
      <c r="O10" s="37"/>
      <c r="P10" s="37"/>
      <c r="Q10" s="37"/>
      <c r="R10" s="37"/>
      <c r="S10" s="37"/>
      <c r="T10" s="37"/>
      <c r="U10" s="37"/>
      <c r="V10" s="165"/>
      <c r="W10" s="165"/>
      <c r="X10" s="165"/>
      <c r="Y10" s="165"/>
      <c r="Z10" s="3"/>
    </row>
    <row r="11" spans="1:26" ht="16.5" customHeight="1" thickBot="1" x14ac:dyDescent="0.35">
      <c r="A11" s="37"/>
      <c r="B11" s="165"/>
      <c r="C11" s="165"/>
      <c r="D11" s="37"/>
      <c r="E11" s="37"/>
      <c r="F11" s="37"/>
      <c r="G11" s="37"/>
      <c r="H11" s="37"/>
      <c r="I11" s="37"/>
      <c r="J11" s="156" t="s">
        <v>307</v>
      </c>
      <c r="K11" s="157"/>
      <c r="L11" s="157"/>
      <c r="M11" s="158"/>
      <c r="N11" s="37"/>
      <c r="O11" s="154" t="s">
        <v>163</v>
      </c>
      <c r="P11" s="154"/>
      <c r="Q11" s="154"/>
      <c r="R11" s="154"/>
      <c r="S11" s="154"/>
      <c r="T11" s="154"/>
      <c r="U11" s="37"/>
      <c r="V11" s="165"/>
      <c r="W11" s="165"/>
      <c r="X11" s="165"/>
      <c r="Y11" s="165"/>
      <c r="Z11" s="3"/>
    </row>
    <row r="12" spans="1:26" ht="16.5" customHeight="1" thickBot="1" x14ac:dyDescent="0.35">
      <c r="A12" s="37"/>
      <c r="B12" s="165"/>
      <c r="C12" s="165"/>
      <c r="D12" s="37"/>
      <c r="E12" s="154" t="s">
        <v>250</v>
      </c>
      <c r="F12" s="154"/>
      <c r="G12" s="154"/>
      <c r="H12" s="154"/>
      <c r="I12" s="37"/>
      <c r="J12" s="159"/>
      <c r="K12" s="160"/>
      <c r="L12" s="160"/>
      <c r="M12" s="161"/>
      <c r="N12" s="37"/>
      <c r="O12" s="156" t="s">
        <v>369</v>
      </c>
      <c r="P12" s="157"/>
      <c r="Q12" s="157"/>
      <c r="R12" s="157"/>
      <c r="S12" s="157"/>
      <c r="T12" s="158"/>
      <c r="U12" s="37"/>
      <c r="V12" s="165"/>
      <c r="W12" s="165"/>
      <c r="X12" s="165"/>
      <c r="Y12" s="165"/>
      <c r="Z12" s="3"/>
    </row>
    <row r="13" spans="1:26" ht="16.5" customHeight="1" thickBot="1" x14ac:dyDescent="0.35">
      <c r="A13" s="37"/>
      <c r="B13" s="37"/>
      <c r="C13" s="37"/>
      <c r="D13" s="37"/>
      <c r="E13" s="156" t="s">
        <v>305</v>
      </c>
      <c r="F13" s="157"/>
      <c r="G13" s="157"/>
      <c r="H13" s="158"/>
      <c r="I13" s="37"/>
      <c r="J13" s="159"/>
      <c r="K13" s="160"/>
      <c r="L13" s="160"/>
      <c r="M13" s="161"/>
      <c r="N13" s="37"/>
      <c r="O13" s="159"/>
      <c r="P13" s="160"/>
      <c r="Q13" s="160"/>
      <c r="R13" s="160"/>
      <c r="S13" s="160"/>
      <c r="T13" s="161"/>
      <c r="U13" s="37"/>
      <c r="V13" s="165"/>
      <c r="W13" s="165"/>
      <c r="X13" s="165"/>
      <c r="Y13" s="165"/>
      <c r="Z13" s="3"/>
    </row>
    <row r="14" spans="1:26" ht="16.5" customHeight="1" thickBot="1" x14ac:dyDescent="0.35">
      <c r="A14" s="37"/>
      <c r="B14" s="154" t="s">
        <v>145</v>
      </c>
      <c r="C14" s="154"/>
      <c r="D14" s="37"/>
      <c r="E14" s="159"/>
      <c r="F14" s="160"/>
      <c r="G14" s="160"/>
      <c r="H14" s="161"/>
      <c r="I14" s="37"/>
      <c r="J14" s="159"/>
      <c r="K14" s="160"/>
      <c r="L14" s="160"/>
      <c r="M14" s="161"/>
      <c r="N14" s="37"/>
      <c r="O14" s="159"/>
      <c r="P14" s="160"/>
      <c r="Q14" s="160"/>
      <c r="R14" s="160"/>
      <c r="S14" s="160"/>
      <c r="T14" s="161"/>
      <c r="U14" s="37"/>
      <c r="V14" s="165"/>
      <c r="W14" s="165"/>
      <c r="X14" s="165"/>
      <c r="Y14" s="165"/>
      <c r="Z14" s="3"/>
    </row>
    <row r="15" spans="1:26" ht="16.5" customHeight="1" thickBot="1" x14ac:dyDescent="0.35">
      <c r="A15" s="37"/>
      <c r="B15" s="155" t="s">
        <v>1</v>
      </c>
      <c r="C15" s="165"/>
      <c r="D15" s="37"/>
      <c r="E15" s="159"/>
      <c r="F15" s="160"/>
      <c r="G15" s="160"/>
      <c r="H15" s="161"/>
      <c r="I15" s="37"/>
      <c r="J15" s="1"/>
      <c r="K15" s="1"/>
      <c r="L15" s="1"/>
      <c r="M15" s="1"/>
      <c r="N15" s="37"/>
      <c r="O15" s="159"/>
      <c r="P15" s="160"/>
      <c r="Q15" s="160"/>
      <c r="R15" s="160"/>
      <c r="S15" s="160"/>
      <c r="T15" s="161"/>
      <c r="U15" s="37"/>
      <c r="V15" s="165"/>
      <c r="W15" s="165"/>
      <c r="X15" s="165"/>
      <c r="Y15" s="165"/>
      <c r="Z15" s="3"/>
    </row>
    <row r="16" spans="1:26" ht="16.5" customHeight="1" thickBot="1" x14ac:dyDescent="0.35">
      <c r="A16" s="37"/>
      <c r="B16" s="165"/>
      <c r="C16" s="165"/>
      <c r="D16" s="37"/>
      <c r="E16" s="159"/>
      <c r="F16" s="160"/>
      <c r="G16" s="160"/>
      <c r="H16" s="161"/>
      <c r="I16" s="37"/>
      <c r="J16" s="129" t="s">
        <v>251</v>
      </c>
      <c r="K16" s="129"/>
      <c r="L16" s="129"/>
      <c r="M16" s="129"/>
      <c r="N16" s="37"/>
      <c r="O16" s="159"/>
      <c r="P16" s="160"/>
      <c r="Q16" s="160"/>
      <c r="R16" s="160"/>
      <c r="S16" s="160"/>
      <c r="T16" s="161"/>
      <c r="U16" s="37"/>
      <c r="V16" s="3"/>
      <c r="W16" s="3"/>
      <c r="X16" s="3"/>
      <c r="Y16" s="3"/>
      <c r="Z16" s="3"/>
    </row>
    <row r="17" spans="1:26" ht="16.5" customHeight="1" thickBot="1" x14ac:dyDescent="0.35">
      <c r="A17" s="37"/>
      <c r="B17" s="165"/>
      <c r="C17" s="165"/>
      <c r="D17" s="37"/>
      <c r="E17" s="159"/>
      <c r="F17" s="160"/>
      <c r="G17" s="160"/>
      <c r="H17" s="161"/>
      <c r="I17" s="37"/>
      <c r="J17" s="156" t="s">
        <v>308</v>
      </c>
      <c r="K17" s="157"/>
      <c r="L17" s="157"/>
      <c r="M17" s="158"/>
      <c r="N17" s="37"/>
      <c r="O17" s="159"/>
      <c r="P17" s="160"/>
      <c r="Q17" s="160"/>
      <c r="R17" s="160"/>
      <c r="S17" s="160"/>
      <c r="T17" s="161"/>
      <c r="U17" s="37"/>
      <c r="V17" s="154" t="s">
        <v>254</v>
      </c>
      <c r="W17" s="154"/>
      <c r="X17" s="154"/>
      <c r="Y17" s="154"/>
      <c r="Z17" s="3"/>
    </row>
    <row r="18" spans="1:26" ht="16.5" customHeight="1" thickBot="1" x14ac:dyDescent="0.35">
      <c r="A18" s="37"/>
      <c r="B18" s="37"/>
      <c r="C18" s="37"/>
      <c r="D18" s="37"/>
      <c r="E18" s="162"/>
      <c r="F18" s="163"/>
      <c r="G18" s="163"/>
      <c r="H18" s="164"/>
      <c r="I18" s="37"/>
      <c r="J18" s="159"/>
      <c r="K18" s="160"/>
      <c r="L18" s="160"/>
      <c r="M18" s="161"/>
      <c r="N18" s="37"/>
      <c r="O18" s="159"/>
      <c r="P18" s="160"/>
      <c r="Q18" s="160"/>
      <c r="R18" s="160"/>
      <c r="S18" s="160"/>
      <c r="T18" s="161"/>
      <c r="U18" s="37"/>
      <c r="V18" s="155" t="s">
        <v>368</v>
      </c>
      <c r="W18" s="165"/>
      <c r="X18" s="165"/>
      <c r="Y18" s="165"/>
      <c r="Z18" s="3"/>
    </row>
    <row r="19" spans="1:26" ht="16.5" customHeight="1" thickBot="1" x14ac:dyDescent="0.35">
      <c r="A19" s="37"/>
      <c r="B19" s="154" t="s">
        <v>204</v>
      </c>
      <c r="C19" s="154"/>
      <c r="D19" s="37"/>
      <c r="E19" s="41"/>
      <c r="F19" s="41"/>
      <c r="G19" s="41"/>
      <c r="H19" s="41"/>
      <c r="I19" s="37"/>
      <c r="J19" s="159"/>
      <c r="K19" s="160"/>
      <c r="L19" s="160"/>
      <c r="M19" s="161"/>
      <c r="N19" s="37"/>
      <c r="O19" s="159"/>
      <c r="P19" s="160"/>
      <c r="Q19" s="160"/>
      <c r="R19" s="160"/>
      <c r="S19" s="160"/>
      <c r="T19" s="161"/>
      <c r="U19" s="37"/>
      <c r="V19" s="165"/>
      <c r="W19" s="165"/>
      <c r="X19" s="165"/>
      <c r="Y19" s="165"/>
      <c r="Z19" s="3"/>
    </row>
    <row r="20" spans="1:26" ht="16.5" customHeight="1" thickBot="1" x14ac:dyDescent="0.35">
      <c r="A20" s="37"/>
      <c r="B20" s="155" t="s">
        <v>365</v>
      </c>
      <c r="C20" s="165"/>
      <c r="D20" s="37"/>
      <c r="E20" s="154" t="s">
        <v>194</v>
      </c>
      <c r="F20" s="154"/>
      <c r="G20" s="154"/>
      <c r="H20" s="154"/>
      <c r="I20" s="37"/>
      <c r="J20" s="159"/>
      <c r="K20" s="160"/>
      <c r="L20" s="160"/>
      <c r="M20" s="161"/>
      <c r="N20" s="37"/>
      <c r="O20" s="159"/>
      <c r="P20" s="160"/>
      <c r="Q20" s="160"/>
      <c r="R20" s="160"/>
      <c r="S20" s="160"/>
      <c r="T20" s="161"/>
      <c r="U20" s="37"/>
      <c r="V20" s="165"/>
      <c r="W20" s="165"/>
      <c r="X20" s="165"/>
      <c r="Y20" s="165"/>
      <c r="Z20" s="3"/>
    </row>
    <row r="21" spans="1:26" ht="16.5" customHeight="1" thickBot="1" x14ac:dyDescent="0.35">
      <c r="A21" s="37"/>
      <c r="B21" s="165"/>
      <c r="C21" s="165"/>
      <c r="D21" s="37"/>
      <c r="E21" s="156" t="s">
        <v>0</v>
      </c>
      <c r="F21" s="157"/>
      <c r="G21" s="157"/>
      <c r="H21" s="158"/>
      <c r="I21" s="37"/>
      <c r="J21" s="159"/>
      <c r="K21" s="160"/>
      <c r="L21" s="160"/>
      <c r="M21" s="161"/>
      <c r="N21" s="37"/>
      <c r="O21" s="159"/>
      <c r="P21" s="160"/>
      <c r="Q21" s="160"/>
      <c r="R21" s="160"/>
      <c r="S21" s="160"/>
      <c r="T21" s="161"/>
      <c r="U21" s="37"/>
      <c r="V21" s="165"/>
      <c r="W21" s="165"/>
      <c r="X21" s="165"/>
      <c r="Y21" s="165"/>
      <c r="Z21" s="3"/>
    </row>
    <row r="22" spans="1:26" ht="16.5" customHeight="1" thickBot="1" x14ac:dyDescent="0.35">
      <c r="A22" s="37"/>
      <c r="B22" s="165"/>
      <c r="C22" s="165"/>
      <c r="D22" s="37"/>
      <c r="E22" s="159"/>
      <c r="F22" s="160"/>
      <c r="G22" s="160"/>
      <c r="H22" s="161"/>
      <c r="I22" s="37"/>
      <c r="J22" s="159"/>
      <c r="K22" s="160"/>
      <c r="L22" s="160"/>
      <c r="M22" s="161"/>
      <c r="N22" s="37"/>
      <c r="O22" s="159"/>
      <c r="P22" s="160"/>
      <c r="Q22" s="160"/>
      <c r="R22" s="160"/>
      <c r="S22" s="160"/>
      <c r="T22" s="161"/>
      <c r="U22" s="37"/>
      <c r="V22" s="165"/>
      <c r="W22" s="165"/>
      <c r="X22" s="165"/>
      <c r="Y22" s="165"/>
      <c r="Z22" s="3"/>
    </row>
    <row r="23" spans="1:26" ht="16.5" customHeight="1" thickBot="1" x14ac:dyDescent="0.35">
      <c r="A23" s="37" t="s">
        <v>84</v>
      </c>
      <c r="B23" s="165"/>
      <c r="C23" s="165"/>
      <c r="D23" s="37"/>
      <c r="E23" s="159"/>
      <c r="F23" s="160"/>
      <c r="G23" s="160"/>
      <c r="H23" s="161"/>
      <c r="I23" s="37"/>
      <c r="J23" s="162"/>
      <c r="K23" s="163"/>
      <c r="L23" s="163"/>
      <c r="M23" s="164"/>
      <c r="N23" s="37"/>
      <c r="O23" s="162"/>
      <c r="P23" s="163"/>
      <c r="Q23" s="163"/>
      <c r="R23" s="163"/>
      <c r="S23" s="163"/>
      <c r="T23" s="164"/>
      <c r="U23" s="37"/>
      <c r="V23" s="165"/>
      <c r="W23" s="165"/>
      <c r="X23" s="165"/>
      <c r="Y23" s="165"/>
      <c r="Z23" s="3"/>
    </row>
    <row r="24" spans="1:26" ht="16.5" customHeight="1" thickBot="1" x14ac:dyDescent="0.35">
      <c r="A24" s="37"/>
      <c r="B24" s="37"/>
      <c r="C24" s="37"/>
      <c r="D24" s="37"/>
      <c r="E24" s="159"/>
      <c r="F24" s="160"/>
      <c r="G24" s="160"/>
      <c r="H24" s="161"/>
      <c r="I24" s="37"/>
      <c r="J24" s="1"/>
      <c r="K24" s="1"/>
      <c r="L24" s="1"/>
      <c r="M24" s="1"/>
      <c r="N24" s="37"/>
      <c r="O24" s="37"/>
      <c r="P24" s="37"/>
      <c r="Q24" s="37"/>
      <c r="R24" s="37"/>
      <c r="S24" s="37"/>
      <c r="T24" s="37"/>
      <c r="U24" s="37"/>
      <c r="V24" s="165"/>
      <c r="W24" s="165"/>
      <c r="X24" s="165"/>
      <c r="Y24" s="165"/>
      <c r="Z24" s="3"/>
    </row>
    <row r="25" spans="1:26" ht="16.5" customHeight="1" thickBot="1" x14ac:dyDescent="0.35">
      <c r="A25" s="37"/>
      <c r="B25" s="166" t="s">
        <v>360</v>
      </c>
      <c r="C25" s="167"/>
      <c r="D25" s="37"/>
      <c r="E25" s="162"/>
      <c r="F25" s="163"/>
      <c r="G25" s="163"/>
      <c r="H25" s="164"/>
      <c r="I25" s="37"/>
      <c r="J25" s="129" t="s">
        <v>251</v>
      </c>
      <c r="K25" s="129"/>
      <c r="L25" s="129"/>
      <c r="M25" s="129"/>
      <c r="N25" s="37"/>
      <c r="O25" s="155" t="s">
        <v>361</v>
      </c>
      <c r="P25" s="155"/>
      <c r="Q25" s="155"/>
      <c r="R25" s="155"/>
      <c r="S25" s="155"/>
      <c r="T25" s="155"/>
      <c r="U25" s="37"/>
      <c r="V25" s="165"/>
      <c r="W25" s="165"/>
      <c r="X25" s="165"/>
      <c r="Y25" s="165"/>
      <c r="Z25" s="3"/>
    </row>
    <row r="26" spans="1:26" ht="16.5" customHeight="1" thickBot="1" x14ac:dyDescent="0.35">
      <c r="A26" s="37"/>
      <c r="B26" s="167"/>
      <c r="C26" s="167"/>
      <c r="D26" s="37"/>
      <c r="E26" s="37"/>
      <c r="F26" s="37"/>
      <c r="G26" s="37"/>
      <c r="H26" s="37"/>
      <c r="I26" s="37"/>
      <c r="J26" s="156" t="s">
        <v>309</v>
      </c>
      <c r="K26" s="157"/>
      <c r="L26" s="157"/>
      <c r="M26" s="158"/>
      <c r="N26" s="37"/>
      <c r="O26" s="155"/>
      <c r="P26" s="155"/>
      <c r="Q26" s="155"/>
      <c r="R26" s="155"/>
      <c r="S26" s="155"/>
      <c r="T26" s="155"/>
      <c r="U26" s="37"/>
      <c r="V26" s="165"/>
      <c r="W26" s="165"/>
      <c r="X26" s="165"/>
      <c r="Y26" s="165"/>
      <c r="Z26" s="3"/>
    </row>
    <row r="27" spans="1:26" ht="16.5" customHeight="1" thickBot="1" x14ac:dyDescent="0.35">
      <c r="A27" s="37"/>
      <c r="B27" s="167"/>
      <c r="C27" s="167"/>
      <c r="D27" s="37"/>
      <c r="E27" s="154" t="s">
        <v>196</v>
      </c>
      <c r="F27" s="154"/>
      <c r="G27" s="154"/>
      <c r="H27" s="154"/>
      <c r="I27" s="37"/>
      <c r="J27" s="159"/>
      <c r="K27" s="160"/>
      <c r="L27" s="160"/>
      <c r="M27" s="161"/>
      <c r="N27" s="37"/>
      <c r="O27" s="155"/>
      <c r="P27" s="155"/>
      <c r="Q27" s="155"/>
      <c r="R27" s="155"/>
      <c r="S27" s="155"/>
      <c r="T27" s="155"/>
      <c r="U27" s="37"/>
      <c r="V27" s="165"/>
      <c r="W27" s="165"/>
      <c r="X27" s="165"/>
      <c r="Y27" s="165"/>
      <c r="Z27" s="3"/>
    </row>
    <row r="28" spans="1:26" ht="16.5" customHeight="1" thickBot="1" x14ac:dyDescent="0.35">
      <c r="A28" s="37"/>
      <c r="B28" s="167"/>
      <c r="C28" s="167"/>
      <c r="D28" s="37"/>
      <c r="E28" s="155" t="s">
        <v>306</v>
      </c>
      <c r="F28" s="165"/>
      <c r="G28" s="165"/>
      <c r="H28" s="165"/>
      <c r="I28" s="37"/>
      <c r="J28" s="159"/>
      <c r="K28" s="160"/>
      <c r="L28" s="160"/>
      <c r="M28" s="161"/>
      <c r="N28" s="37"/>
      <c r="O28" s="155"/>
      <c r="P28" s="155"/>
      <c r="Q28" s="155"/>
      <c r="R28" s="155"/>
      <c r="S28" s="155"/>
      <c r="T28" s="155"/>
      <c r="U28" s="37"/>
      <c r="V28" s="165"/>
      <c r="W28" s="165"/>
      <c r="X28" s="165"/>
      <c r="Y28" s="165"/>
      <c r="Z28" s="3"/>
    </row>
    <row r="29" spans="1:26" ht="16.5" customHeight="1" thickBot="1" x14ac:dyDescent="0.35">
      <c r="A29" s="37"/>
      <c r="B29" s="167"/>
      <c r="C29" s="167"/>
      <c r="D29" s="37"/>
      <c r="E29" s="165"/>
      <c r="F29" s="165"/>
      <c r="G29" s="165"/>
      <c r="H29" s="165"/>
      <c r="I29" s="37"/>
      <c r="J29" s="159"/>
      <c r="K29" s="160"/>
      <c r="L29" s="160"/>
      <c r="M29" s="161"/>
      <c r="N29" s="37"/>
      <c r="O29" s="155"/>
      <c r="P29" s="155"/>
      <c r="Q29" s="155"/>
      <c r="R29" s="155"/>
      <c r="S29" s="155"/>
      <c r="T29" s="155"/>
      <c r="U29" s="37"/>
      <c r="V29" s="165"/>
      <c r="W29" s="165"/>
      <c r="X29" s="165"/>
      <c r="Y29" s="165"/>
      <c r="Z29" s="3"/>
    </row>
    <row r="30" spans="1:26" ht="16.5" customHeight="1" thickBot="1" x14ac:dyDescent="0.35">
      <c r="A30" s="37"/>
      <c r="B30" s="167"/>
      <c r="C30" s="167"/>
      <c r="D30" s="37"/>
      <c r="E30" s="165"/>
      <c r="F30" s="165"/>
      <c r="G30" s="165"/>
      <c r="H30" s="165"/>
      <c r="I30" s="37"/>
      <c r="J30" s="159"/>
      <c r="K30" s="160"/>
      <c r="L30" s="160"/>
      <c r="M30" s="161"/>
      <c r="N30" s="37"/>
      <c r="O30" s="155"/>
      <c r="P30" s="155"/>
      <c r="Q30" s="155"/>
      <c r="R30" s="155"/>
      <c r="S30" s="155"/>
      <c r="T30" s="155"/>
      <c r="U30" s="37"/>
      <c r="V30" s="165"/>
      <c r="W30" s="165"/>
      <c r="X30" s="165"/>
      <c r="Y30" s="165"/>
      <c r="Z30" s="3"/>
    </row>
    <row r="31" spans="1:26" ht="16.5" customHeight="1" thickBot="1" x14ac:dyDescent="0.35">
      <c r="A31" s="37"/>
      <c r="B31" s="167"/>
      <c r="C31" s="167"/>
      <c r="D31" s="37"/>
      <c r="E31" s="165"/>
      <c r="F31" s="165"/>
      <c r="G31" s="165"/>
      <c r="H31" s="165"/>
      <c r="I31" s="37"/>
      <c r="J31" s="159"/>
      <c r="K31" s="160"/>
      <c r="L31" s="160"/>
      <c r="M31" s="161"/>
      <c r="N31" s="37"/>
      <c r="O31" s="155"/>
      <c r="P31" s="155"/>
      <c r="Q31" s="155"/>
      <c r="R31" s="155"/>
      <c r="S31" s="155"/>
      <c r="T31" s="155"/>
      <c r="U31" s="37"/>
      <c r="V31" s="165"/>
      <c r="W31" s="165"/>
      <c r="X31" s="165"/>
      <c r="Y31" s="165"/>
      <c r="Z31" s="3"/>
    </row>
    <row r="32" spans="1:26" ht="16.5" customHeight="1" thickBot="1" x14ac:dyDescent="0.35">
      <c r="A32" s="37"/>
      <c r="B32" s="167"/>
      <c r="C32" s="167"/>
      <c r="D32" s="37"/>
      <c r="E32" s="165"/>
      <c r="F32" s="165"/>
      <c r="G32" s="165"/>
      <c r="H32" s="165"/>
      <c r="I32" s="37"/>
      <c r="J32" s="162"/>
      <c r="K32" s="163"/>
      <c r="L32" s="163"/>
      <c r="M32" s="164"/>
      <c r="N32" s="37"/>
      <c r="O32" s="155"/>
      <c r="P32" s="155"/>
      <c r="Q32" s="155"/>
      <c r="R32" s="155"/>
      <c r="S32" s="155"/>
      <c r="T32" s="155"/>
      <c r="U32" s="37"/>
      <c r="V32" s="165"/>
      <c r="W32" s="165"/>
      <c r="X32" s="165"/>
      <c r="Y32" s="165"/>
      <c r="Z32" s="3"/>
    </row>
    <row r="33" spans="1:26" ht="16.5" customHeight="1" thickBot="1" x14ac:dyDescent="0.3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"/>
      <c r="W33" s="3"/>
      <c r="X33" s="3"/>
      <c r="Y33" s="3"/>
      <c r="Z33" s="3"/>
    </row>
  </sheetData>
  <sheetProtection algorithmName="SHA-512" hashValue="2jcEgXfX8L0SgZd7hMS3K/3hC1BUcJKU5aW5nXAdkNWEqsFKugVcqY/8ifzZVt6pecqV2vOk5SLzD/6+cg5G4Q==" saltValue="dGDjW1PJfLYanCtupY1InQ==" spinCount="100000" sheet="1" objects="1" scenarios="1" selectLockedCells="1"/>
  <mergeCells count="32">
    <mergeCell ref="B2:C2"/>
    <mergeCell ref="E2:H2"/>
    <mergeCell ref="J2:M2"/>
    <mergeCell ref="B3:C12"/>
    <mergeCell ref="B15:C17"/>
    <mergeCell ref="J3:M8"/>
    <mergeCell ref="J11:M14"/>
    <mergeCell ref="J17:M23"/>
    <mergeCell ref="J26:M32"/>
    <mergeCell ref="B20:C23"/>
    <mergeCell ref="E3:H10"/>
    <mergeCell ref="B25:C32"/>
    <mergeCell ref="E27:H27"/>
    <mergeCell ref="E28:H32"/>
    <mergeCell ref="E12:H12"/>
    <mergeCell ref="B14:C14"/>
    <mergeCell ref="B19:C19"/>
    <mergeCell ref="E20:H20"/>
    <mergeCell ref="E13:H18"/>
    <mergeCell ref="E21:H25"/>
    <mergeCell ref="J16:M16"/>
    <mergeCell ref="J25:M25"/>
    <mergeCell ref="J10:M10"/>
    <mergeCell ref="V2:Y2"/>
    <mergeCell ref="O11:T11"/>
    <mergeCell ref="O25:T32"/>
    <mergeCell ref="O2:T2"/>
    <mergeCell ref="O3:T9"/>
    <mergeCell ref="O12:T23"/>
    <mergeCell ref="V3:Y15"/>
    <mergeCell ref="V18:Y32"/>
    <mergeCell ref="V17:Y17"/>
  </mergeCells>
  <phoneticPr fontId="4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V248"/>
  <sheetViews>
    <sheetView zoomScaleNormal="100" workbookViewId="0">
      <selection sqref="A1:BV248"/>
    </sheetView>
  </sheetViews>
  <sheetFormatPr defaultColWidth="8.625" defaultRowHeight="16.5" x14ac:dyDescent="0.3"/>
  <cols>
    <col min="1" max="1" width="8.625" style="83"/>
    <col min="2" max="2" width="8.875" style="49" bestFit="1" customWidth="1"/>
    <col min="3" max="6" width="8.625" style="49"/>
    <col min="7" max="7" width="8.875" style="49" bestFit="1" customWidth="1"/>
    <col min="8" max="14" width="8.625" style="49"/>
    <col min="15" max="15" width="12.75" style="49" bestFit="1" customWidth="1"/>
    <col min="16" max="19" width="8.625" style="49"/>
    <col min="20" max="20" width="8.875" style="49" bestFit="1" customWidth="1"/>
    <col min="21" max="21" width="8.625" style="49"/>
    <col min="22" max="22" width="12.75" style="49" bestFit="1" customWidth="1"/>
    <col min="23" max="16384" width="8.625" style="49"/>
  </cols>
  <sheetData>
    <row r="1" spans="1:48" s="46" customFormat="1" ht="17.25" thickBot="1" x14ac:dyDescent="0.35">
      <c r="A1" s="43" t="str">
        <f>스펙계산기!C4</f>
        <v>패스파인더</v>
      </c>
      <c r="B1" s="44"/>
      <c r="C1" s="44" t="s">
        <v>27</v>
      </c>
      <c r="D1" s="45" t="s">
        <v>6</v>
      </c>
      <c r="E1" s="45" t="s">
        <v>18</v>
      </c>
      <c r="F1" s="45" t="s">
        <v>128</v>
      </c>
      <c r="G1" s="45" t="s">
        <v>5</v>
      </c>
      <c r="H1" s="45" t="s">
        <v>10</v>
      </c>
      <c r="I1" s="45" t="s">
        <v>20</v>
      </c>
      <c r="J1" s="45" t="s">
        <v>129</v>
      </c>
      <c r="K1" s="45" t="s">
        <v>24</v>
      </c>
      <c r="L1" s="45" t="s">
        <v>312</v>
      </c>
      <c r="M1" s="45" t="s">
        <v>131</v>
      </c>
      <c r="N1" s="45" t="s">
        <v>22</v>
      </c>
      <c r="O1" s="45" t="s">
        <v>125</v>
      </c>
      <c r="P1" s="45" t="s">
        <v>25</v>
      </c>
      <c r="Q1" s="45" t="s">
        <v>37</v>
      </c>
      <c r="R1" s="45" t="s">
        <v>127</v>
      </c>
      <c r="S1" s="45" t="s">
        <v>15</v>
      </c>
      <c r="T1" s="45" t="s">
        <v>126</v>
      </c>
      <c r="U1" s="45" t="s">
        <v>130</v>
      </c>
      <c r="V1" s="45" t="s">
        <v>123</v>
      </c>
      <c r="W1" s="45" t="s">
        <v>124</v>
      </c>
      <c r="X1" s="45" t="s">
        <v>119</v>
      </c>
      <c r="Y1" s="45" t="s">
        <v>121</v>
      </c>
      <c r="Z1" s="45" t="s">
        <v>7</v>
      </c>
      <c r="AA1" s="45" t="s">
        <v>28</v>
      </c>
      <c r="AB1" s="45" t="s">
        <v>120</v>
      </c>
      <c r="AC1" s="45" t="s">
        <v>17</v>
      </c>
      <c r="AD1" s="45" t="s">
        <v>14</v>
      </c>
      <c r="AE1" s="45" t="s">
        <v>118</v>
      </c>
      <c r="AF1" s="45" t="s">
        <v>117</v>
      </c>
      <c r="AG1" s="45" t="s">
        <v>99</v>
      </c>
      <c r="AH1" s="45" t="s">
        <v>116</v>
      </c>
      <c r="AI1" s="45" t="s">
        <v>23</v>
      </c>
      <c r="AJ1" s="45" t="s">
        <v>19</v>
      </c>
      <c r="AK1" s="45" t="s">
        <v>115</v>
      </c>
      <c r="AL1" s="45" t="s">
        <v>9</v>
      </c>
      <c r="AM1" s="45" t="s">
        <v>21</v>
      </c>
      <c r="AN1" s="45" t="s">
        <v>122</v>
      </c>
      <c r="AO1" s="45" t="s">
        <v>53</v>
      </c>
      <c r="AP1" s="45" t="s">
        <v>43</v>
      </c>
      <c r="AQ1" s="44"/>
      <c r="AR1" s="44"/>
      <c r="AS1" s="44"/>
      <c r="AT1" s="44"/>
      <c r="AU1" s="44"/>
      <c r="AV1" s="44"/>
    </row>
    <row r="2" spans="1:48" ht="17.25" thickTop="1" x14ac:dyDescent="0.3">
      <c r="A2" s="47">
        <f>MATCH(A1,D1:AP1,0)</f>
        <v>9</v>
      </c>
      <c r="B2" s="48" t="str">
        <f ca="1">OFFSET(C2,0,A2,1,1)</f>
        <v>DEX</v>
      </c>
      <c r="C2" s="48" t="s">
        <v>45</v>
      </c>
      <c r="D2" s="48" t="s">
        <v>4</v>
      </c>
      <c r="E2" s="48" t="s">
        <v>4</v>
      </c>
      <c r="F2" s="48" t="s">
        <v>4</v>
      </c>
      <c r="G2" s="48" t="s">
        <v>39</v>
      </c>
      <c r="H2" s="48" t="s">
        <v>39</v>
      </c>
      <c r="I2" s="48" t="s">
        <v>39</v>
      </c>
      <c r="J2" s="48" t="s">
        <v>11</v>
      </c>
      <c r="K2" s="48" t="s">
        <v>11</v>
      </c>
      <c r="L2" s="48" t="s">
        <v>11</v>
      </c>
      <c r="M2" s="48" t="s">
        <v>48</v>
      </c>
      <c r="N2" s="48" t="s">
        <v>48</v>
      </c>
      <c r="O2" s="48" t="s">
        <v>48</v>
      </c>
      <c r="P2" s="48" t="s">
        <v>11</v>
      </c>
      <c r="Q2" s="48" t="s">
        <v>4</v>
      </c>
      <c r="R2" s="48" t="s">
        <v>4</v>
      </c>
      <c r="S2" s="48" t="s">
        <v>4</v>
      </c>
      <c r="T2" s="48" t="s">
        <v>4</v>
      </c>
      <c r="U2" s="48" t="s">
        <v>39</v>
      </c>
      <c r="V2" s="48" t="s">
        <v>11</v>
      </c>
      <c r="W2" s="48" t="s">
        <v>48</v>
      </c>
      <c r="X2" s="48" t="s">
        <v>4</v>
      </c>
      <c r="Y2" s="48" t="s">
        <v>11</v>
      </c>
      <c r="Z2" s="48" t="s">
        <v>4</v>
      </c>
      <c r="AA2" s="48" t="s">
        <v>48</v>
      </c>
      <c r="AB2" s="48" t="s">
        <v>39</v>
      </c>
      <c r="AC2" s="48" t="s">
        <v>39</v>
      </c>
      <c r="AD2" s="48" t="s">
        <v>4</v>
      </c>
      <c r="AE2" s="48" t="s">
        <v>4</v>
      </c>
      <c r="AF2" s="48" t="s">
        <v>4</v>
      </c>
      <c r="AG2" s="48" t="s">
        <v>39</v>
      </c>
      <c r="AH2" s="48" t="s">
        <v>11</v>
      </c>
      <c r="AI2" s="48" t="s">
        <v>11</v>
      </c>
      <c r="AJ2" s="48" t="s">
        <v>4</v>
      </c>
      <c r="AK2" s="48" t="s">
        <v>11</v>
      </c>
      <c r="AL2" s="48" t="s">
        <v>48</v>
      </c>
      <c r="AM2" s="48" t="s">
        <v>4</v>
      </c>
      <c r="AN2" s="48" t="s">
        <v>39</v>
      </c>
      <c r="AO2" s="48" t="s">
        <v>4</v>
      </c>
      <c r="AP2" s="48" t="s">
        <v>39</v>
      </c>
      <c r="AQ2" s="48"/>
      <c r="AR2" s="48"/>
      <c r="AS2" s="48"/>
      <c r="AT2" s="48"/>
      <c r="AU2" s="48"/>
      <c r="AV2" s="48"/>
    </row>
    <row r="3" spans="1:48" ht="17.25" thickBot="1" x14ac:dyDescent="0.35">
      <c r="A3" s="47"/>
      <c r="B3" s="48" t="str">
        <f ca="1">OFFSET(C3,0,A2,1,1)</f>
        <v>STR</v>
      </c>
      <c r="C3" s="48" t="s">
        <v>36</v>
      </c>
      <c r="D3" s="50" t="s">
        <v>11</v>
      </c>
      <c r="E3" s="50" t="s">
        <v>11</v>
      </c>
      <c r="F3" s="50" t="s">
        <v>11</v>
      </c>
      <c r="G3" s="50" t="s">
        <v>48</v>
      </c>
      <c r="H3" s="50" t="s">
        <v>48</v>
      </c>
      <c r="I3" s="50" t="s">
        <v>48</v>
      </c>
      <c r="J3" s="50" t="s">
        <v>4</v>
      </c>
      <c r="K3" s="50" t="s">
        <v>4</v>
      </c>
      <c r="L3" s="50" t="s">
        <v>4</v>
      </c>
      <c r="M3" s="50" t="s">
        <v>11</v>
      </c>
      <c r="N3" s="50" t="s">
        <v>110</v>
      </c>
      <c r="O3" s="50" t="s">
        <v>110</v>
      </c>
      <c r="P3" s="50" t="s">
        <v>4</v>
      </c>
      <c r="Q3" s="50" t="s">
        <v>11</v>
      </c>
      <c r="R3" s="50" t="s">
        <v>11</v>
      </c>
      <c r="S3" s="50" t="s">
        <v>11</v>
      </c>
      <c r="T3" s="50" t="s">
        <v>11</v>
      </c>
      <c r="U3" s="50" t="s">
        <v>48</v>
      </c>
      <c r="V3" s="50" t="s">
        <v>4</v>
      </c>
      <c r="W3" s="50" t="s">
        <v>11</v>
      </c>
      <c r="X3" s="50" t="s">
        <v>11</v>
      </c>
      <c r="Y3" s="50" t="s">
        <v>4</v>
      </c>
      <c r="Z3" s="50" t="s">
        <v>11</v>
      </c>
      <c r="AA3" s="50" t="s">
        <v>11</v>
      </c>
      <c r="AB3" s="50" t="s">
        <v>48</v>
      </c>
      <c r="AC3" s="50" t="s">
        <v>48</v>
      </c>
      <c r="AD3" s="50" t="s">
        <v>11</v>
      </c>
      <c r="AE3" s="50" t="s">
        <v>11</v>
      </c>
      <c r="AF3" s="50" t="s">
        <v>11</v>
      </c>
      <c r="AG3" s="50" t="s">
        <v>48</v>
      </c>
      <c r="AH3" s="50" t="s">
        <v>4</v>
      </c>
      <c r="AI3" s="50" t="s">
        <v>4</v>
      </c>
      <c r="AJ3" s="50" t="s">
        <v>11</v>
      </c>
      <c r="AK3" s="50" t="s">
        <v>4</v>
      </c>
      <c r="AL3" s="50" t="s">
        <v>110</v>
      </c>
      <c r="AM3" s="50" t="s">
        <v>11</v>
      </c>
      <c r="AN3" s="50" t="s">
        <v>48</v>
      </c>
      <c r="AO3" s="50" t="s">
        <v>11</v>
      </c>
      <c r="AP3" s="50" t="s">
        <v>48</v>
      </c>
      <c r="AQ3" s="48"/>
      <c r="AR3" s="48"/>
      <c r="AS3" s="48"/>
      <c r="AT3" s="48"/>
      <c r="AU3" s="48"/>
      <c r="AV3" s="48"/>
    </row>
    <row r="4" spans="1:48" ht="18" thickTop="1" thickBot="1" x14ac:dyDescent="0.35">
      <c r="A4" s="47"/>
      <c r="B4" s="48" t="str">
        <f ca="1">IF(주스탯종류="STR","INT",IF(주스탯종류="DEX","INT",IF(주스탯종류="INT","STR",IF(주스탯종류="LUK",IF(부스탯종류="DEX","STR","INT"),))))</f>
        <v>INT</v>
      </c>
      <c r="C4" s="48" t="s">
        <v>171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48"/>
      <c r="AR4" s="48"/>
      <c r="AS4" s="48"/>
      <c r="AT4" s="48"/>
      <c r="AU4" s="48"/>
      <c r="AV4" s="48"/>
    </row>
    <row r="5" spans="1:48" ht="18" thickTop="1" thickBot="1" x14ac:dyDescent="0.35">
      <c r="A5" s="47"/>
      <c r="B5" s="48" t="str">
        <f ca="1">IF(주스탯종류="STR","LUK",IF(주스탯종류="DEX","LUK",IF(주스탯종류="INT","DEX",IF(주스탯종류="LUK",IF(부스탯종류="DEX","INT","-"),))))</f>
        <v>LUK</v>
      </c>
      <c r="C5" s="48" t="s">
        <v>174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48"/>
      <c r="AR5" s="48"/>
      <c r="AS5" s="48"/>
      <c r="AT5" s="48"/>
      <c r="AU5" s="48"/>
      <c r="AV5" s="48"/>
    </row>
    <row r="6" spans="1:48" ht="18" thickTop="1" thickBot="1" x14ac:dyDescent="0.35">
      <c r="A6" s="47"/>
      <c r="B6" s="48" t="str">
        <f ca="1">OFFSET(C6,0,A2,1,1)</f>
        <v>공격력</v>
      </c>
      <c r="C6" s="48"/>
      <c r="D6" s="50" t="s">
        <v>72</v>
      </c>
      <c r="E6" s="50" t="s">
        <v>72</v>
      </c>
      <c r="F6" s="50" t="s">
        <v>72</v>
      </c>
      <c r="G6" s="50" t="s">
        <v>66</v>
      </c>
      <c r="H6" s="50" t="s">
        <v>66</v>
      </c>
      <c r="I6" s="50" t="s">
        <v>66</v>
      </c>
      <c r="J6" s="50" t="s">
        <v>72</v>
      </c>
      <c r="K6" s="50" t="s">
        <v>72</v>
      </c>
      <c r="L6" s="50" t="s">
        <v>72</v>
      </c>
      <c r="M6" s="50" t="s">
        <v>72</v>
      </c>
      <c r="N6" s="50" t="s">
        <v>72</v>
      </c>
      <c r="O6" s="50" t="s">
        <v>72</v>
      </c>
      <c r="P6" s="50" t="s">
        <v>72</v>
      </c>
      <c r="Q6" s="50" t="s">
        <v>72</v>
      </c>
      <c r="R6" s="50" t="s">
        <v>72</v>
      </c>
      <c r="S6" s="50" t="s">
        <v>72</v>
      </c>
      <c r="T6" s="50" t="s">
        <v>72</v>
      </c>
      <c r="U6" s="50" t="s">
        <v>66</v>
      </c>
      <c r="V6" s="50" t="s">
        <v>72</v>
      </c>
      <c r="W6" s="50" t="s">
        <v>72</v>
      </c>
      <c r="X6" s="50" t="s">
        <v>72</v>
      </c>
      <c r="Y6" s="50" t="s">
        <v>72</v>
      </c>
      <c r="Z6" s="50" t="s">
        <v>72</v>
      </c>
      <c r="AA6" s="50" t="s">
        <v>72</v>
      </c>
      <c r="AB6" s="50" t="s">
        <v>66</v>
      </c>
      <c r="AC6" s="50" t="s">
        <v>66</v>
      </c>
      <c r="AD6" s="50" t="s">
        <v>72</v>
      </c>
      <c r="AE6" s="50" t="s">
        <v>72</v>
      </c>
      <c r="AF6" s="50" t="s">
        <v>72</v>
      </c>
      <c r="AG6" s="50" t="s">
        <v>66</v>
      </c>
      <c r="AH6" s="50" t="s">
        <v>72</v>
      </c>
      <c r="AI6" s="50" t="s">
        <v>72</v>
      </c>
      <c r="AJ6" s="50" t="s">
        <v>72</v>
      </c>
      <c r="AK6" s="50" t="s">
        <v>72</v>
      </c>
      <c r="AL6" s="50" t="s">
        <v>72</v>
      </c>
      <c r="AM6" s="50" t="s">
        <v>72</v>
      </c>
      <c r="AN6" s="50" t="s">
        <v>66</v>
      </c>
      <c r="AO6" s="50" t="s">
        <v>72</v>
      </c>
      <c r="AP6" s="50" t="s">
        <v>66</v>
      </c>
      <c r="AQ6" s="48"/>
      <c r="AR6" s="48"/>
      <c r="AS6" s="48"/>
      <c r="AT6" s="48"/>
      <c r="AU6" s="48"/>
      <c r="AV6" s="48"/>
    </row>
    <row r="7" spans="1:48" ht="17.25" thickTop="1" x14ac:dyDescent="0.3">
      <c r="A7" s="47" t="str">
        <f>스펙계산기!C5</f>
        <v>에인션트 보우</v>
      </c>
      <c r="B7" s="48" t="str">
        <f ca="1">OFFSET(C7,0,A2,1,1)</f>
        <v>에인션트 보우</v>
      </c>
      <c r="C7" s="51" t="s">
        <v>113</v>
      </c>
      <c r="D7" s="48" t="s">
        <v>46</v>
      </c>
      <c r="E7" s="48" t="s">
        <v>46</v>
      </c>
      <c r="F7" s="48" t="s">
        <v>60</v>
      </c>
      <c r="G7" s="48" t="s">
        <v>51</v>
      </c>
      <c r="H7" s="48" t="s">
        <v>51</v>
      </c>
      <c r="I7" s="48" t="s">
        <v>51</v>
      </c>
      <c r="J7" s="48" t="s">
        <v>40</v>
      </c>
      <c r="K7" s="48" t="s">
        <v>31</v>
      </c>
      <c r="L7" s="48" t="s">
        <v>314</v>
      </c>
      <c r="M7" s="48" t="s">
        <v>54</v>
      </c>
      <c r="N7" s="48" t="s">
        <v>50</v>
      </c>
      <c r="O7" s="48" t="s">
        <v>50</v>
      </c>
      <c r="P7" s="48" t="s">
        <v>26</v>
      </c>
      <c r="Q7" s="48" t="s">
        <v>16</v>
      </c>
      <c r="R7" s="48" t="s">
        <v>107</v>
      </c>
      <c r="S7" s="48" t="s">
        <v>46</v>
      </c>
      <c r="T7" s="48" t="s">
        <v>46</v>
      </c>
      <c r="U7" s="48" t="s">
        <v>51</v>
      </c>
      <c r="V7" s="48" t="s">
        <v>40</v>
      </c>
      <c r="W7" s="48" t="s">
        <v>54</v>
      </c>
      <c r="X7" s="48" t="s">
        <v>16</v>
      </c>
      <c r="Y7" s="48" t="s">
        <v>106</v>
      </c>
      <c r="Z7" s="48" t="s">
        <v>35</v>
      </c>
      <c r="AA7" s="48" t="s">
        <v>47</v>
      </c>
      <c r="AB7" s="48" t="s">
        <v>103</v>
      </c>
      <c r="AC7" s="48" t="s">
        <v>51</v>
      </c>
      <c r="AD7" s="48" t="s">
        <v>16</v>
      </c>
      <c r="AE7" s="48" t="s">
        <v>108</v>
      </c>
      <c r="AF7" s="48" t="s">
        <v>96</v>
      </c>
      <c r="AG7" s="48" t="s">
        <v>51</v>
      </c>
      <c r="AH7" s="48" t="s">
        <v>31</v>
      </c>
      <c r="AI7" s="48" t="s">
        <v>26</v>
      </c>
      <c r="AJ7" s="48" t="s">
        <v>55</v>
      </c>
      <c r="AK7" s="48" t="s">
        <v>105</v>
      </c>
      <c r="AL7" s="48" t="s">
        <v>69</v>
      </c>
      <c r="AM7" s="48" t="s">
        <v>101</v>
      </c>
      <c r="AN7" s="48" t="s">
        <v>104</v>
      </c>
      <c r="AO7" s="48" t="s">
        <v>16</v>
      </c>
      <c r="AP7" s="48" t="s">
        <v>100</v>
      </c>
      <c r="AQ7" s="48"/>
      <c r="AR7" s="48"/>
      <c r="AS7" s="48"/>
      <c r="AT7" s="48"/>
      <c r="AU7" s="48"/>
      <c r="AV7" s="48"/>
    </row>
    <row r="8" spans="1:48" x14ac:dyDescent="0.3">
      <c r="A8" s="47">
        <f ca="1">MATCH(A7,B7:B10,0)</f>
        <v>1</v>
      </c>
      <c r="B8" s="48">
        <f ca="1">OFFSET(C8,0,A2,1,1)</f>
        <v>0</v>
      </c>
      <c r="C8" s="51"/>
      <c r="D8" s="48" t="s">
        <v>55</v>
      </c>
      <c r="E8" s="48" t="s">
        <v>55</v>
      </c>
      <c r="F8" s="48" t="s">
        <v>35</v>
      </c>
      <c r="G8" s="48" t="s">
        <v>49</v>
      </c>
      <c r="H8" s="48" t="s">
        <v>49</v>
      </c>
      <c r="I8" s="48" t="s">
        <v>49</v>
      </c>
      <c r="J8" s="48"/>
      <c r="K8" s="48"/>
      <c r="L8" s="48"/>
      <c r="M8" s="48"/>
      <c r="N8" s="48"/>
      <c r="O8" s="48"/>
      <c r="P8" s="48"/>
      <c r="Q8" s="48"/>
      <c r="R8" s="48"/>
      <c r="S8" s="48"/>
      <c r="T8" s="48" t="s">
        <v>55</v>
      </c>
      <c r="U8" s="48" t="s">
        <v>49</v>
      </c>
      <c r="V8" s="48"/>
      <c r="W8" s="48"/>
      <c r="X8" s="48"/>
      <c r="Y8" s="48"/>
      <c r="Z8" s="48"/>
      <c r="AA8" s="48"/>
      <c r="AB8" s="48"/>
      <c r="AC8" s="48" t="s">
        <v>49</v>
      </c>
      <c r="AD8" s="48"/>
      <c r="AE8" s="48" t="s">
        <v>114</v>
      </c>
      <c r="AF8" s="48"/>
      <c r="AG8" s="48"/>
      <c r="AH8" s="48"/>
      <c r="AI8" s="48"/>
      <c r="AJ8" s="48"/>
      <c r="AK8" s="48"/>
      <c r="AL8" s="48"/>
      <c r="AM8" s="48" t="s">
        <v>102</v>
      </c>
      <c r="AN8" s="48"/>
      <c r="AO8" s="48"/>
      <c r="AP8" s="48"/>
      <c r="AQ8" s="48"/>
      <c r="AR8" s="48"/>
      <c r="AS8" s="48"/>
      <c r="AT8" s="48"/>
      <c r="AU8" s="48"/>
      <c r="AV8" s="48"/>
    </row>
    <row r="9" spans="1:48" x14ac:dyDescent="0.3">
      <c r="A9" s="47"/>
      <c r="B9" s="48">
        <f ca="1">OFFSET(C9,0,A2,1,1)</f>
        <v>0</v>
      </c>
      <c r="C9" s="51"/>
      <c r="D9" s="48" t="s">
        <v>114</v>
      </c>
      <c r="E9" s="48" t="s">
        <v>108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</row>
    <row r="10" spans="1:48" ht="17.25" thickBot="1" x14ac:dyDescent="0.35">
      <c r="A10" s="47"/>
      <c r="B10" s="48">
        <f ca="1">OFFSET(C10,0,A2,1,1)</f>
        <v>0</v>
      </c>
      <c r="C10" s="51"/>
      <c r="D10" s="50" t="s">
        <v>112</v>
      </c>
      <c r="E10" s="50" t="s">
        <v>111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48"/>
      <c r="AR10" s="48"/>
      <c r="AS10" s="48"/>
      <c r="AT10" s="48"/>
      <c r="AU10" s="48"/>
      <c r="AV10" s="48"/>
    </row>
    <row r="11" spans="1:48" ht="17.25" thickTop="1" x14ac:dyDescent="0.3">
      <c r="A11" s="47">
        <f ca="1">OFFSET(B10,A8,0,1,1)</f>
        <v>1.3</v>
      </c>
      <c r="B11" s="48">
        <f ca="1">OFFSET(C11,0,A2,1,1)</f>
        <v>1.3</v>
      </c>
      <c r="C11" s="51" t="s">
        <v>109</v>
      </c>
      <c r="D11" s="48">
        <v>1.3</v>
      </c>
      <c r="E11" s="48">
        <v>1.2</v>
      </c>
      <c r="F11" s="48">
        <v>1.49</v>
      </c>
      <c r="G11" s="48">
        <v>1.2</v>
      </c>
      <c r="H11" s="48">
        <v>1.2</v>
      </c>
      <c r="I11" s="48">
        <v>1.2</v>
      </c>
      <c r="J11" s="48">
        <v>1.3</v>
      </c>
      <c r="K11" s="48">
        <v>1.35</v>
      </c>
      <c r="L11" s="48">
        <v>1.3</v>
      </c>
      <c r="M11" s="48">
        <v>1.75</v>
      </c>
      <c r="N11" s="48">
        <v>1.3</v>
      </c>
      <c r="O11" s="48">
        <v>1.3</v>
      </c>
      <c r="P11" s="48">
        <v>1.5</v>
      </c>
      <c r="Q11" s="48">
        <v>1.7</v>
      </c>
      <c r="R11" s="48">
        <v>1.5</v>
      </c>
      <c r="S11" s="48">
        <v>1.2</v>
      </c>
      <c r="T11" s="48">
        <v>1.2</v>
      </c>
      <c r="U11" s="48">
        <v>1.2</v>
      </c>
      <c r="V11" s="48">
        <v>1.3</v>
      </c>
      <c r="W11" s="48">
        <v>1.75</v>
      </c>
      <c r="X11" s="48">
        <v>1.7</v>
      </c>
      <c r="Y11" s="48">
        <v>1.3</v>
      </c>
      <c r="Z11" s="48">
        <v>1.49</v>
      </c>
      <c r="AA11" s="48">
        <v>1.3</v>
      </c>
      <c r="AB11" s="48">
        <v>1.2</v>
      </c>
      <c r="AC11" s="48">
        <v>1</v>
      </c>
      <c r="AD11" s="48">
        <v>1.7</v>
      </c>
      <c r="AE11" s="48">
        <v>1.2</v>
      </c>
      <c r="AF11" s="48">
        <v>1.7</v>
      </c>
      <c r="AG11" s="48">
        <v>1</v>
      </c>
      <c r="AH11" s="48">
        <v>1.35</v>
      </c>
      <c r="AI11" s="48">
        <v>1.5</v>
      </c>
      <c r="AJ11" s="48">
        <v>1.34</v>
      </c>
      <c r="AK11" s="48">
        <v>1.7</v>
      </c>
      <c r="AL11" s="48">
        <v>1.3</v>
      </c>
      <c r="AM11" s="48">
        <v>1.34</v>
      </c>
      <c r="AN11" s="48">
        <v>1.2</v>
      </c>
      <c r="AO11" s="48">
        <v>1.7</v>
      </c>
      <c r="AP11" s="48">
        <v>1.2</v>
      </c>
      <c r="AQ11" s="48"/>
      <c r="AR11" s="48"/>
      <c r="AS11" s="48"/>
      <c r="AT11" s="48"/>
      <c r="AU11" s="48"/>
      <c r="AV11" s="48"/>
    </row>
    <row r="12" spans="1:48" x14ac:dyDescent="0.3">
      <c r="A12" s="47"/>
      <c r="B12" s="48">
        <f ca="1">OFFSET(C12,0,A2,1,1)</f>
        <v>0</v>
      </c>
      <c r="C12" s="51"/>
      <c r="D12" s="48">
        <v>1.44</v>
      </c>
      <c r="E12" s="48">
        <v>1.34</v>
      </c>
      <c r="F12" s="48">
        <v>1.49</v>
      </c>
      <c r="G12" s="48">
        <v>1.2</v>
      </c>
      <c r="H12" s="48">
        <v>1.2</v>
      </c>
      <c r="I12" s="48">
        <v>1.2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>
        <v>1.34</v>
      </c>
      <c r="U12" s="48">
        <v>1.2</v>
      </c>
      <c r="V12" s="48"/>
      <c r="W12" s="48"/>
      <c r="X12" s="48"/>
      <c r="Y12" s="48"/>
      <c r="Z12" s="48"/>
      <c r="AA12" s="48"/>
      <c r="AB12" s="48"/>
      <c r="AC12" s="48">
        <v>1</v>
      </c>
      <c r="AD12" s="48"/>
      <c r="AE12" s="48">
        <v>1.2</v>
      </c>
      <c r="AF12" s="48"/>
      <c r="AG12" s="48"/>
      <c r="AH12" s="48"/>
      <c r="AI12" s="48"/>
      <c r="AJ12" s="48"/>
      <c r="AK12" s="48"/>
      <c r="AL12" s="48"/>
      <c r="AM12" s="48">
        <v>1.49</v>
      </c>
      <c r="AN12" s="48"/>
      <c r="AO12" s="48"/>
      <c r="AP12" s="48"/>
      <c r="AQ12" s="48"/>
      <c r="AR12" s="48"/>
      <c r="AS12" s="48"/>
      <c r="AT12" s="48"/>
      <c r="AU12" s="48"/>
      <c r="AV12" s="48"/>
    </row>
    <row r="13" spans="1:48" x14ac:dyDescent="0.3">
      <c r="A13" s="47"/>
      <c r="B13" s="48">
        <f ca="1">OFFSET(C13,0,A2,1,1)</f>
        <v>0</v>
      </c>
      <c r="C13" s="51"/>
      <c r="D13" s="48">
        <v>1.3</v>
      </c>
      <c r="E13" s="48">
        <v>1.2</v>
      </c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</row>
    <row r="14" spans="1:48" ht="17.25" thickBot="1" x14ac:dyDescent="0.35">
      <c r="A14" s="47"/>
      <c r="B14" s="48">
        <f ca="1">OFFSET(C14,0,A2,1,1)</f>
        <v>0</v>
      </c>
      <c r="C14" s="51"/>
      <c r="D14" s="50">
        <v>1.44</v>
      </c>
      <c r="E14" s="50">
        <v>1.34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48"/>
      <c r="AR14" s="48"/>
      <c r="AS14" s="48"/>
      <c r="AT14" s="48"/>
      <c r="AU14" s="48"/>
      <c r="AV14" s="48"/>
    </row>
    <row r="15" spans="1:48" ht="17.25" thickTop="1" x14ac:dyDescent="0.3">
      <c r="A15" s="47">
        <f ca="1">OFFSET(B14,A8,0,1,1)</f>
        <v>0.85</v>
      </c>
      <c r="B15" s="48">
        <f ca="1">OFFSET(C15,0,A2,1,1)</f>
        <v>0.85</v>
      </c>
      <c r="C15" s="51" t="s">
        <v>67</v>
      </c>
      <c r="D15" s="52">
        <v>0.9</v>
      </c>
      <c r="E15" s="52">
        <v>0.94</v>
      </c>
      <c r="F15" s="52">
        <v>0.9</v>
      </c>
      <c r="G15" s="52">
        <v>0.95</v>
      </c>
      <c r="H15" s="52">
        <v>0.95</v>
      </c>
      <c r="I15" s="52">
        <v>0.95</v>
      </c>
      <c r="J15" s="52">
        <v>0.85</v>
      </c>
      <c r="K15" s="52">
        <v>0.85</v>
      </c>
      <c r="L15" s="52">
        <v>0.85</v>
      </c>
      <c r="M15" s="52">
        <v>0.85</v>
      </c>
      <c r="N15" s="52">
        <v>0.9</v>
      </c>
      <c r="O15" s="52">
        <v>0.9</v>
      </c>
      <c r="P15" s="52">
        <v>0.85</v>
      </c>
      <c r="Q15" s="52">
        <v>0.9</v>
      </c>
      <c r="R15" s="52">
        <v>0.85</v>
      </c>
      <c r="S15" s="52">
        <v>0.9</v>
      </c>
      <c r="T15" s="52">
        <v>0.9</v>
      </c>
      <c r="U15" s="52">
        <v>0.95</v>
      </c>
      <c r="V15" s="52">
        <v>0.85</v>
      </c>
      <c r="W15" s="52">
        <v>0.85</v>
      </c>
      <c r="X15" s="52">
        <v>0.9</v>
      </c>
      <c r="Y15" s="52">
        <v>0.85</v>
      </c>
      <c r="Z15" s="52">
        <v>0.9</v>
      </c>
      <c r="AA15" s="52">
        <v>0.9</v>
      </c>
      <c r="AB15" s="52">
        <v>0.95</v>
      </c>
      <c r="AC15" s="52">
        <v>0.95</v>
      </c>
      <c r="AD15" s="52">
        <v>0.9</v>
      </c>
      <c r="AE15" s="52">
        <v>0.9</v>
      </c>
      <c r="AF15" s="52">
        <v>0.9</v>
      </c>
      <c r="AG15" s="52">
        <v>0.95</v>
      </c>
      <c r="AH15" s="52">
        <v>0.85</v>
      </c>
      <c r="AI15" s="52">
        <v>0.85</v>
      </c>
      <c r="AJ15" s="52">
        <v>0.9</v>
      </c>
      <c r="AK15" s="52">
        <v>0.95</v>
      </c>
      <c r="AL15" s="52">
        <v>0.9</v>
      </c>
      <c r="AM15" s="52">
        <v>0.9</v>
      </c>
      <c r="AN15" s="52">
        <v>0.9</v>
      </c>
      <c r="AO15" s="52">
        <v>0.9</v>
      </c>
      <c r="AP15" s="52">
        <v>0.9</v>
      </c>
      <c r="AQ15" s="48"/>
      <c r="AR15" s="48"/>
      <c r="AS15" s="48"/>
      <c r="AT15" s="48"/>
      <c r="AU15" s="48"/>
      <c r="AV15" s="48"/>
    </row>
    <row r="16" spans="1:48" x14ac:dyDescent="0.3">
      <c r="A16" s="47"/>
      <c r="B16" s="48">
        <f ca="1">OFFSET(C16,0,A2,1,1)</f>
        <v>0</v>
      </c>
      <c r="C16" s="51"/>
      <c r="D16" s="52">
        <v>0.9</v>
      </c>
      <c r="E16" s="52">
        <v>0.91</v>
      </c>
      <c r="F16" s="52">
        <v>0.9</v>
      </c>
      <c r="G16" s="52">
        <v>0.95</v>
      </c>
      <c r="H16" s="52">
        <v>0.95</v>
      </c>
      <c r="I16" s="52">
        <v>0.95</v>
      </c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>
        <v>0.9</v>
      </c>
      <c r="U16" s="52">
        <v>0.95</v>
      </c>
      <c r="V16" s="52"/>
      <c r="W16" s="52"/>
      <c r="X16" s="52"/>
      <c r="Y16" s="52"/>
      <c r="Z16" s="52"/>
      <c r="AA16" s="52"/>
      <c r="AB16" s="52"/>
      <c r="AC16" s="52">
        <v>0.95</v>
      </c>
      <c r="AD16" s="52"/>
      <c r="AE16" s="52">
        <v>0.9</v>
      </c>
      <c r="AF16" s="52"/>
      <c r="AG16" s="52"/>
      <c r="AH16" s="52"/>
      <c r="AI16" s="52"/>
      <c r="AJ16" s="52"/>
      <c r="AK16" s="52"/>
      <c r="AL16" s="52"/>
      <c r="AM16" s="52">
        <v>0.9</v>
      </c>
      <c r="AN16" s="52"/>
      <c r="AO16" s="52"/>
      <c r="AP16" s="52"/>
      <c r="AQ16" s="48"/>
      <c r="AR16" s="48"/>
      <c r="AS16" s="48"/>
      <c r="AT16" s="48"/>
      <c r="AU16" s="48"/>
      <c r="AV16" s="48"/>
    </row>
    <row r="17" spans="1:74" x14ac:dyDescent="0.3">
      <c r="A17" s="47"/>
      <c r="B17" s="48">
        <f ca="1">OFFSET(C17,0,A2,1,1)</f>
        <v>0</v>
      </c>
      <c r="C17" s="51"/>
      <c r="D17" s="52">
        <v>0.9</v>
      </c>
      <c r="E17" s="52">
        <v>0.94</v>
      </c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48"/>
      <c r="AR17" s="48"/>
      <c r="AS17" s="48"/>
      <c r="AT17" s="48"/>
      <c r="AU17" s="48"/>
      <c r="AV17" s="48"/>
    </row>
    <row r="18" spans="1:74" ht="17.25" thickBot="1" x14ac:dyDescent="0.35">
      <c r="A18" s="47"/>
      <c r="B18" s="48">
        <f ca="1">OFFSET(C18,0,A2,1,1)</f>
        <v>0</v>
      </c>
      <c r="C18" s="51"/>
      <c r="D18" s="53">
        <v>0.9</v>
      </c>
      <c r="E18" s="53">
        <v>0.91</v>
      </c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48"/>
      <c r="AR18" s="48"/>
      <c r="AS18" s="48"/>
      <c r="AT18" s="48"/>
      <c r="AU18" s="48"/>
      <c r="AV18" s="48"/>
    </row>
    <row r="19" spans="1:74" ht="17.25" thickTop="1" x14ac:dyDescent="0.3">
      <c r="A19" s="47">
        <f ca="1">OFFSET(B18,A8,0,1,1)</f>
        <v>0.86</v>
      </c>
      <c r="B19" s="48">
        <f ca="1">OFFSET(C19,0,A2,1,1)</f>
        <v>0.86</v>
      </c>
      <c r="C19" s="51" t="s">
        <v>98</v>
      </c>
      <c r="D19" s="52">
        <v>0.9</v>
      </c>
      <c r="E19" s="52">
        <v>0.94</v>
      </c>
      <c r="F19" s="52">
        <v>0.91</v>
      </c>
      <c r="G19" s="52">
        <v>0.96</v>
      </c>
      <c r="H19" s="52">
        <v>0.96</v>
      </c>
      <c r="I19" s="52">
        <v>0.96</v>
      </c>
      <c r="J19" s="52">
        <v>0.86</v>
      </c>
      <c r="K19" s="52">
        <v>0.86</v>
      </c>
      <c r="L19" s="52">
        <v>0.86</v>
      </c>
      <c r="M19" s="52">
        <v>0.86</v>
      </c>
      <c r="N19" s="52">
        <v>0.91</v>
      </c>
      <c r="O19" s="52">
        <v>0.91</v>
      </c>
      <c r="P19" s="52">
        <v>0.86</v>
      </c>
      <c r="Q19" s="52">
        <v>0.91</v>
      </c>
      <c r="R19" s="52">
        <v>0.86</v>
      </c>
      <c r="S19" s="52">
        <v>0.91</v>
      </c>
      <c r="T19" s="52">
        <v>0.91</v>
      </c>
      <c r="U19" s="52">
        <v>0.96</v>
      </c>
      <c r="V19" s="52">
        <v>0.86</v>
      </c>
      <c r="W19" s="52">
        <v>0.86</v>
      </c>
      <c r="X19" s="52">
        <v>0.91</v>
      </c>
      <c r="Y19" s="52">
        <v>0.86</v>
      </c>
      <c r="Z19" s="52">
        <v>0.91</v>
      </c>
      <c r="AA19" s="52">
        <v>0.91</v>
      </c>
      <c r="AB19" s="54">
        <v>0.96</v>
      </c>
      <c r="AC19" s="54">
        <v>0.96</v>
      </c>
      <c r="AD19" s="52">
        <v>0.9</v>
      </c>
      <c r="AE19" s="52">
        <v>0.91</v>
      </c>
      <c r="AF19" s="54">
        <v>0.9</v>
      </c>
      <c r="AG19" s="54">
        <v>0.96</v>
      </c>
      <c r="AH19" s="54">
        <v>0.86</v>
      </c>
      <c r="AI19" s="52">
        <v>0.86</v>
      </c>
      <c r="AJ19" s="54">
        <v>0.91</v>
      </c>
      <c r="AK19" s="54">
        <v>0.96</v>
      </c>
      <c r="AL19" s="54">
        <v>0.91</v>
      </c>
      <c r="AM19" s="54">
        <v>0.91</v>
      </c>
      <c r="AN19" s="52">
        <v>0.9</v>
      </c>
      <c r="AO19" s="54">
        <v>0.91</v>
      </c>
      <c r="AP19" s="54">
        <v>0.91</v>
      </c>
      <c r="AQ19" s="48"/>
      <c r="AR19" s="48"/>
      <c r="AS19" s="48"/>
      <c r="AT19" s="48"/>
      <c r="AU19" s="48"/>
      <c r="AV19" s="48"/>
    </row>
    <row r="20" spans="1:74" x14ac:dyDescent="0.3">
      <c r="A20" s="47"/>
      <c r="B20" s="48">
        <f ca="1">OFFSET(C20,0,A2,1,1)</f>
        <v>0</v>
      </c>
      <c r="C20" s="55" t="s">
        <v>165</v>
      </c>
      <c r="D20" s="52">
        <v>0.9</v>
      </c>
      <c r="E20" s="52">
        <v>0.91</v>
      </c>
      <c r="F20" s="52">
        <v>0.91</v>
      </c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>
        <v>0.91</v>
      </c>
      <c r="U20" s="52">
        <v>0.96</v>
      </c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4">
        <v>0.91</v>
      </c>
      <c r="AN20" s="52"/>
      <c r="AO20" s="52"/>
      <c r="AP20" s="52"/>
      <c r="AQ20" s="48"/>
      <c r="AR20" s="48"/>
      <c r="AS20" s="48"/>
      <c r="AT20" s="48"/>
      <c r="AU20" s="48"/>
      <c r="AV20" s="48"/>
    </row>
    <row r="21" spans="1:74" x14ac:dyDescent="0.3">
      <c r="A21" s="47"/>
      <c r="B21" s="48">
        <f ca="1">OFFSET(C21,0,A2,1,1)</f>
        <v>0</v>
      </c>
      <c r="C21" s="51"/>
      <c r="D21" s="52">
        <v>0.9</v>
      </c>
      <c r="E21" s="52">
        <v>0.94</v>
      </c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48"/>
      <c r="AR21" s="48"/>
      <c r="AS21" s="48"/>
      <c r="AT21" s="48"/>
      <c r="AU21" s="48"/>
      <c r="AV21" s="48"/>
    </row>
    <row r="22" spans="1:74" ht="17.25" thickBot="1" x14ac:dyDescent="0.35">
      <c r="A22" s="47"/>
      <c r="B22" s="48">
        <f ca="1">OFFSET(C22,0,A2,1,1)</f>
        <v>0</v>
      </c>
      <c r="C22" s="51"/>
      <c r="D22" s="53">
        <v>0.9</v>
      </c>
      <c r="E22" s="53">
        <v>0.91</v>
      </c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48"/>
      <c r="AR22" s="48"/>
      <c r="AS22" s="48"/>
      <c r="AT22" s="48"/>
      <c r="AU22" s="48"/>
      <c r="AV22" s="48"/>
    </row>
    <row r="23" spans="1:74" s="56" customFormat="1" ht="18" thickTop="1" thickBot="1" x14ac:dyDescent="0.35">
      <c r="A23" s="47"/>
      <c r="B23" s="48">
        <f ca="1">OFFSET(C23,0,A2,1,1)</f>
        <v>0.2</v>
      </c>
      <c r="C23" s="51" t="s">
        <v>166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0.25</v>
      </c>
      <c r="K23" s="52">
        <v>0</v>
      </c>
      <c r="L23" s="52">
        <v>0.2</v>
      </c>
      <c r="M23" s="52">
        <v>0</v>
      </c>
      <c r="N23" s="52">
        <v>0</v>
      </c>
      <c r="O23" s="52">
        <v>0</v>
      </c>
      <c r="P23" s="52">
        <v>0.2</v>
      </c>
      <c r="Q23" s="52">
        <v>0.3</v>
      </c>
      <c r="R23" s="52">
        <v>0</v>
      </c>
      <c r="S23" s="52">
        <v>0.1</v>
      </c>
      <c r="T23" s="52">
        <v>0.1</v>
      </c>
      <c r="U23" s="52">
        <v>0.1</v>
      </c>
      <c r="V23" s="52">
        <v>0.2</v>
      </c>
      <c r="W23" s="52">
        <v>0.1</v>
      </c>
      <c r="X23" s="52">
        <v>0.1</v>
      </c>
      <c r="Y23" s="52">
        <v>0.3</v>
      </c>
      <c r="Z23" s="52">
        <v>0</v>
      </c>
      <c r="AA23" s="52">
        <v>0</v>
      </c>
      <c r="AB23" s="52">
        <v>0</v>
      </c>
      <c r="AC23" s="52">
        <v>0.35</v>
      </c>
      <c r="AD23" s="52">
        <v>0</v>
      </c>
      <c r="AE23" s="52">
        <v>0</v>
      </c>
      <c r="AF23" s="52">
        <v>0.15</v>
      </c>
      <c r="AG23" s="52">
        <v>0.4</v>
      </c>
      <c r="AH23" s="52">
        <v>0.35</v>
      </c>
      <c r="AI23" s="52">
        <v>0</v>
      </c>
      <c r="AJ23" s="52">
        <v>0.3</v>
      </c>
      <c r="AK23" s="52">
        <v>0</v>
      </c>
      <c r="AL23" s="52">
        <v>0</v>
      </c>
      <c r="AM23" s="52">
        <v>0</v>
      </c>
      <c r="AN23" s="52">
        <v>0.1</v>
      </c>
      <c r="AO23" s="52">
        <v>0</v>
      </c>
      <c r="AP23" s="52">
        <v>0.1</v>
      </c>
      <c r="AQ23" s="48"/>
      <c r="AR23" s="48"/>
      <c r="AS23" s="48"/>
      <c r="AT23" s="48"/>
      <c r="AU23" s="48"/>
      <c r="AV23" s="48"/>
    </row>
    <row r="24" spans="1:74" x14ac:dyDescent="0.3">
      <c r="A24" s="43" t="s">
        <v>134</v>
      </c>
      <c r="B24" s="57">
        <f>IF("NO"=계산!A25,계산!B25,계산!B26)</f>
        <v>0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</row>
    <row r="25" spans="1:74" x14ac:dyDescent="0.3">
      <c r="A25" s="47" t="s">
        <v>78</v>
      </c>
      <c r="B25" s="58">
        <v>1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</row>
    <row r="26" spans="1:74" ht="17.25" thickBot="1" x14ac:dyDescent="0.35">
      <c r="A26" s="59" t="s">
        <v>73</v>
      </c>
      <c r="B26" s="60">
        <v>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2" t="s">
        <v>356</v>
      </c>
      <c r="AZ26" s="49">
        <f>IF(D27&lt;200,10,15)</f>
        <v>10</v>
      </c>
      <c r="BF26" s="63" t="s">
        <v>88</v>
      </c>
      <c r="BG26" s="49" t="s">
        <v>81</v>
      </c>
      <c r="BH26" s="49" t="s">
        <v>83</v>
      </c>
      <c r="BI26" s="49" t="s">
        <v>87</v>
      </c>
      <c r="BJ26" s="62" t="s">
        <v>348</v>
      </c>
      <c r="BK26" s="49" t="s">
        <v>74</v>
      </c>
      <c r="BL26" s="49" t="s">
        <v>77</v>
      </c>
      <c r="BM26" s="49" t="s">
        <v>62</v>
      </c>
      <c r="BN26" s="49" t="s">
        <v>65</v>
      </c>
      <c r="BO26" s="49" t="s">
        <v>59</v>
      </c>
      <c r="BP26" s="49" t="s">
        <v>65</v>
      </c>
      <c r="BQ26" s="49" t="s">
        <v>59</v>
      </c>
      <c r="BR26" s="49" t="s">
        <v>62</v>
      </c>
      <c r="BS26" s="49" t="s">
        <v>77</v>
      </c>
      <c r="BT26" s="49" t="s">
        <v>74</v>
      </c>
      <c r="BU26" s="49" t="s">
        <v>45</v>
      </c>
      <c r="BV26" s="62" t="s">
        <v>354</v>
      </c>
    </row>
    <row r="27" spans="1:74" ht="17.25" thickBot="1" x14ac:dyDescent="0.35">
      <c r="A27" s="64"/>
      <c r="B27" s="48"/>
      <c r="C27" s="43" t="s">
        <v>68</v>
      </c>
      <c r="D27" s="57">
        <f>스펙계산기!C3</f>
        <v>0</v>
      </c>
      <c r="E27" s="48"/>
      <c r="F27" s="48"/>
      <c r="G27" s="48"/>
      <c r="H27" s="48"/>
      <c r="I27" s="48"/>
      <c r="L27" s="43" t="s">
        <v>268</v>
      </c>
      <c r="M27" s="65" t="str">
        <f>스펙계산기!L11</f>
        <v>보스 몬스터</v>
      </c>
      <c r="N27" s="44" t="s">
        <v>276</v>
      </c>
      <c r="O27" s="66">
        <f>IF(스펙계산기!E18=" -",0,IF(O28=N28,1,0))</f>
        <v>0</v>
      </c>
      <c r="P27" s="67" t="s">
        <v>357</v>
      </c>
      <c r="Q27" s="68"/>
      <c r="R27" s="68"/>
      <c r="S27" s="43" t="str">
        <f>스펙계산기!V4</f>
        <v xml:space="preserve"> -</v>
      </c>
      <c r="T27" s="44">
        <f>IF(S27=" -",0,스펙계산기!W4)</f>
        <v>0</v>
      </c>
      <c r="U27" s="44" t="str">
        <f>스펙계산기!X4</f>
        <v xml:space="preserve"> 스탠스</v>
      </c>
      <c r="V27" s="57">
        <f>IF(U27=" -",0,스펙계산기!Y4)</f>
        <v>0</v>
      </c>
      <c r="W27" s="69">
        <v>140</v>
      </c>
      <c r="X27" s="70">
        <v>3</v>
      </c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49" t="s">
        <v>65</v>
      </c>
      <c r="AZ27" s="49" t="s">
        <v>59</v>
      </c>
      <c r="BA27" s="49" t="s">
        <v>62</v>
      </c>
      <c r="BB27" s="49" t="s">
        <v>77</v>
      </c>
      <c r="BC27" s="49" t="s">
        <v>74</v>
      </c>
      <c r="BD27" s="49" t="s">
        <v>45</v>
      </c>
      <c r="BE27" s="62" t="s">
        <v>347</v>
      </c>
      <c r="BF27" s="63"/>
      <c r="BG27" s="49" t="e">
        <f>V37-T37</f>
        <v>#N/A</v>
      </c>
      <c r="BH27" s="49">
        <f ca="1">T38</f>
        <v>0</v>
      </c>
      <c r="BI27" s="49">
        <f>T39</f>
        <v>0</v>
      </c>
      <c r="BJ27" s="49">
        <f ca="1">T45</f>
        <v>0</v>
      </c>
      <c r="BK27" s="71">
        <f>T40</f>
        <v>0</v>
      </c>
      <c r="BL27" s="71">
        <f>T41</f>
        <v>0</v>
      </c>
      <c r="BM27" s="71">
        <f>T42</f>
        <v>0</v>
      </c>
      <c r="BN27" s="71">
        <f>MIN(1,T43)</f>
        <v>0</v>
      </c>
      <c r="BO27" s="71">
        <f>T44</f>
        <v>0</v>
      </c>
      <c r="BP27" s="49">
        <v>0</v>
      </c>
      <c r="BQ27" s="49">
        <v>0</v>
      </c>
      <c r="BR27" s="49">
        <v>0</v>
      </c>
      <c r="BS27" s="49">
        <v>0</v>
      </c>
      <c r="BT27" s="49">
        <v>0</v>
      </c>
      <c r="BU27" s="49">
        <v>0</v>
      </c>
      <c r="BV27" s="49">
        <v>0</v>
      </c>
    </row>
    <row r="28" spans="1:74" x14ac:dyDescent="0.3">
      <c r="A28" s="64"/>
      <c r="B28" s="48"/>
      <c r="C28" s="47" t="s">
        <v>27</v>
      </c>
      <c r="D28" s="58" t="str">
        <f>A1</f>
        <v>패스파인더</v>
      </c>
      <c r="E28" s="48"/>
      <c r="F28" s="48"/>
      <c r="G28" s="48"/>
      <c r="H28" s="48"/>
      <c r="I28" s="48"/>
      <c r="L28" s="47" t="s">
        <v>270</v>
      </c>
      <c r="M28" s="61"/>
      <c r="N28" s="48" t="s">
        <v>277</v>
      </c>
      <c r="O28" s="48" t="str">
        <f>스펙계산기!H18</f>
        <v>NO</v>
      </c>
      <c r="P28" s="72">
        <v>0</v>
      </c>
      <c r="Q28" s="65">
        <v>0</v>
      </c>
      <c r="R28" s="65">
        <v>0</v>
      </c>
      <c r="S28" s="47" t="str">
        <f>스펙계산기!V5</f>
        <v xml:space="preserve"> 획득 경험치</v>
      </c>
      <c r="T28" s="48">
        <f>스펙계산기!W5</f>
        <v>0</v>
      </c>
      <c r="U28" s="48" t="str">
        <f>스펙계산기!X5</f>
        <v xml:space="preserve"> 아케인포스</v>
      </c>
      <c r="V28" s="58">
        <f>스펙계산기!Y5</f>
        <v>0</v>
      </c>
      <c r="W28" s="63">
        <v>141</v>
      </c>
      <c r="X28" s="73">
        <v>6</v>
      </c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74" t="e">
        <f t="shared" ref="AY28:AY59" si="0">IF(OR(VLOOKUP(MIN($AZ$26,BP27+1),$P$28:$R$43,2,FALSE)&gt;BG27,BP27=$AZ$26),0,((MIN(1,BN27+IF(BP27&gt;5,0.02,0.01))*(1.35+BO27+IF(크리인=1,IF(BP27&gt;5,0.02,0.01)*크리인뎀,))+(1-MIN(1,BN27+IF(BP27&gt;5,0.02,0.01))))/(BN27*(1.35+BO27)+(1-BN27))-1)/VLOOKUP(MIN($AZ$26,BP27+1),$P$28:$R$43,2,FALSE))</f>
        <v>#N/A</v>
      </c>
      <c r="AZ28" s="74" t="e">
        <f t="shared" ref="AZ28:AZ59" si="1">IF(OR(VLOOKUP(MIN($AZ$26,BQ27+1),$P$28:$R$43,2,FALSE)&gt;BG27,BQ27=$AZ$26),0,((BN27*(1.36+BO27)+(1-BN27))/(BN27*(1.35+BO27)+(1-BN27))-1)/VLOOKUP(MIN($AZ$26,BQ27+1),$P$28:$R$43,2,FALSE))</f>
        <v>#N/A</v>
      </c>
      <c r="BA28" s="74" t="e">
        <f t="shared" ref="BA28:BA59" si="2">IF(OR(VLOOKUP(MIN($AZ$26,BR27+1),$P$28:$R$43,2,FALSE)&gt;BG27,BR27=$AZ$26),0,(IF($O$36*(1-BM27)&gt;1,110,(1-$O$36*(1-BM27)/(1-BR27*0.03)*(0.97-BR27*0.03))/(1-$O$36*(1-BM27)))-1)/VLOOKUP(MIN($AZ$26,BR27+1),$P$28:$R$43,2,FALSE))</f>
        <v>#N/A</v>
      </c>
      <c r="BB28" s="74" t="e">
        <f t="shared" ref="BB28:BB59" si="3">IF(OR(VLOOKUP(MIN($AZ$26,BS27+1),$P$28:$R$43,2,FALSE)&gt;BG27,BS27=$AZ$26),0,((1+BK27+BL27+IF(보스=0,0,IF(BS27&gt;5,0.04,0.03)))/(1+BK27+BL27)-1)/VLOOKUP(MIN($AZ$26,BS27+1),$P$28:$R$43,2,FALSE))</f>
        <v>#N/A</v>
      </c>
      <c r="BC28" s="74" t="e">
        <f t="shared" ref="BC28:BC59" si="4">IF(OR(VLOOKUP(MIN($AZ$26,BT27+1),$P$28:$R$43,2,FALSE)&gt;BG27,BT27=$AZ$26),0,((1.03+BK27+BL27)/(1+BK27+BL27)-1)/VLOOKUP(MIN($AZ$26,BT27+1),$P$28:$R$43,2,FALSE))</f>
        <v>#N/A</v>
      </c>
      <c r="BD28" s="74" t="e">
        <f t="shared" ref="BD28:BD59" si="5">IF(OR(VLOOKUP(MIN($AZ$26,BU27+1),$P$28:$R$43,2,FALSE)&gt;BG27,BU27=$AZ$26),0,((4*(BH27+30)+BI27)/(4*BH27+BI27)-1)/VLOOKUP(MIN($AZ$26,BU27+1),$P$28:$R$43,2,FALSE))</f>
        <v>#N/A</v>
      </c>
      <c r="BE28" s="49" t="e">
        <f t="shared" ref="BE28:BE59" si="6">IF(OR(VLOOKUP(MIN($AZ$26,BV27+1),$P$28:$R$43,2,FALSE)&gt;BG27,BV27=$AZ$26),0,((BJ27+3)/BJ27-1)/VLOOKUP(MIN($AZ$26,BV27+1),$P$28:$R$43,2,FALSE))</f>
        <v>#N/A</v>
      </c>
      <c r="BF28" s="49" t="e">
        <f>IF(SUM(AY28:BE28)=0,0,MATCH(MAX(AY28:BE28),AY28:BE28,))</f>
        <v>#N/A</v>
      </c>
      <c r="BG28" s="49" t="e">
        <f t="shared" ref="BG28:BG59" ca="1" si="7">BG27-IF(BF28=0,0,VLOOKUP(OFFSET(BO27,0,BF28)+1,$P$28:$R$43,2,FALSE))</f>
        <v>#N/A</v>
      </c>
      <c r="BH28" s="49" t="e">
        <f ca="1">BH27+IF(BF28=6,30,)</f>
        <v>#N/A</v>
      </c>
      <c r="BI28" s="49">
        <f t="shared" ref="BI28:BI91" si="8">BI27</f>
        <v>0</v>
      </c>
      <c r="BJ28" s="49" t="e">
        <f ca="1">BJ27+IF(BF28=7,3,)</f>
        <v>#N/A</v>
      </c>
      <c r="BK28" s="71" t="e">
        <f>BK27+IF(BF28=5,0.03,)</f>
        <v>#N/A</v>
      </c>
      <c r="BL28" s="71" t="e">
        <f>BL27+IF(BF28=4,IF(BS27&lt;5,0.03,0.04),)</f>
        <v>#N/A</v>
      </c>
      <c r="BM28" s="71" t="e">
        <f>IF(BF28=3,1-(1-BM27)/(1-BR27*0.03)*(0.97-BR27*0.03),BM27)</f>
        <v>#N/A</v>
      </c>
      <c r="BN28" s="71" t="e">
        <f>MIN(1,BN27+IF(BF28=1,IF(BP27&lt;5,0.01,0.02),))</f>
        <v>#N/A</v>
      </c>
      <c r="BO28" s="75" t="e">
        <f t="shared" ref="BO28:BO59" si="9">BO27+IF(BF28=2,0.01,)+IF(BF28=1,IF(크리인=1,IF(BP27&lt;5,0.01,0.02)*크리인뎀,),)</f>
        <v>#N/A</v>
      </c>
      <c r="BP28" s="49" t="e">
        <f>BP27+IF(BF28=1,1,)</f>
        <v>#N/A</v>
      </c>
      <c r="BQ28" s="49" t="e">
        <f>BQ27+IF(BF28=2,1,)</f>
        <v>#N/A</v>
      </c>
      <c r="BR28" s="49" t="e">
        <f>BR27+IF(BF28=3,1,)</f>
        <v>#N/A</v>
      </c>
      <c r="BS28" s="49" t="e">
        <f>BS27+IF(BF28=4,1,)</f>
        <v>#N/A</v>
      </c>
      <c r="BT28" s="49" t="e">
        <f>BT27+IF(BF28=5,1,)</f>
        <v>#N/A</v>
      </c>
      <c r="BU28" s="49" t="e">
        <f>BU27+IF(BF28=6,1,)</f>
        <v>#N/A</v>
      </c>
      <c r="BV28" s="49" t="e">
        <f>BV27+IF(BF28=7,1,)</f>
        <v>#N/A</v>
      </c>
    </row>
    <row r="29" spans="1:74" x14ac:dyDescent="0.3">
      <c r="A29" s="64"/>
      <c r="B29" s="48"/>
      <c r="C29" s="47" t="s">
        <v>33</v>
      </c>
      <c r="D29" s="58" t="str">
        <f>A7</f>
        <v>에인션트 보우</v>
      </c>
      <c r="E29" s="48"/>
      <c r="F29" s="48"/>
      <c r="G29" s="48"/>
      <c r="H29" s="48"/>
      <c r="I29" s="48"/>
      <c r="L29" s="47" t="s">
        <v>261</v>
      </c>
      <c r="M29" s="61">
        <f>스펙계산기!L12</f>
        <v>3</v>
      </c>
      <c r="N29" s="48" t="s">
        <v>278</v>
      </c>
      <c r="O29" s="48"/>
      <c r="P29" s="76">
        <v>1</v>
      </c>
      <c r="Q29" s="48">
        <v>1</v>
      </c>
      <c r="R29" s="48">
        <f>Q29</f>
        <v>1</v>
      </c>
      <c r="S29" s="170" t="str">
        <f>스펙계산기!V6</f>
        <v xml:space="preserve"> 현재 하이퍼 스탯 레벨</v>
      </c>
      <c r="T29" s="168"/>
      <c r="U29" s="168" t="str">
        <f>스펙계산기!X6</f>
        <v xml:space="preserve"> 추천 하이퍼 스탯 레벨</v>
      </c>
      <c r="V29" s="169"/>
      <c r="W29" s="63">
        <v>142</v>
      </c>
      <c r="X29" s="73">
        <v>9</v>
      </c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74" t="e">
        <f t="shared" ca="1" si="0"/>
        <v>#N/A</v>
      </c>
      <c r="AZ29" s="74" t="e">
        <f t="shared" ca="1" si="1"/>
        <v>#N/A</v>
      </c>
      <c r="BA29" s="74" t="e">
        <f t="shared" ca="1" si="2"/>
        <v>#N/A</v>
      </c>
      <c r="BB29" s="74" t="e">
        <f t="shared" ca="1" si="3"/>
        <v>#N/A</v>
      </c>
      <c r="BC29" s="74" t="e">
        <f t="shared" ca="1" si="4"/>
        <v>#N/A</v>
      </c>
      <c r="BD29" s="74" t="e">
        <f t="shared" ca="1" si="5"/>
        <v>#N/A</v>
      </c>
      <c r="BE29" s="49" t="e">
        <f t="shared" ca="1" si="6"/>
        <v>#N/A</v>
      </c>
      <c r="BF29" s="49" t="e">
        <f t="shared" ref="BF29:BF87" ca="1" si="10">IF(SUM(AY29:BE29)=0,0,MATCH(MAX(AY29:BE29),AY29:BE29,))</f>
        <v>#N/A</v>
      </c>
      <c r="BG29" s="49" t="e">
        <f t="shared" ca="1" si="7"/>
        <v>#N/A</v>
      </c>
      <c r="BH29" s="49" t="e">
        <f t="shared" ref="BH29:BH87" ca="1" si="11">BH28+IF(BF29=6,30,)</f>
        <v>#N/A</v>
      </c>
      <c r="BI29" s="49">
        <f t="shared" si="8"/>
        <v>0</v>
      </c>
      <c r="BJ29" s="49" t="e">
        <f t="shared" ref="BJ29:BJ87" ca="1" si="12">BJ28+IF(BF29=7,3,)</f>
        <v>#N/A</v>
      </c>
      <c r="BK29" s="71" t="e">
        <f t="shared" ref="BK29:BK87" ca="1" si="13">BK28+IF(BF29=5,0.03,)</f>
        <v>#N/A</v>
      </c>
      <c r="BL29" s="71" t="e">
        <f t="shared" ref="BL29:BL87" ca="1" si="14">BL28+IF(BF29=4,IF(BS28&lt;5,0.03,0.04),)</f>
        <v>#N/A</v>
      </c>
      <c r="BM29" s="71" t="e">
        <f t="shared" ref="BM29:BM87" ca="1" si="15">IF(BF29=3,1-(1-BM28)/(1-BR28*0.03)*(0.97-BR28*0.03),BM28)</f>
        <v>#N/A</v>
      </c>
      <c r="BN29" s="71" t="e">
        <f t="shared" ref="BN29:BN87" ca="1" si="16">MIN(1,BN28+IF(BF29=1,IF(BP28&lt;5,0.01,0.02),))</f>
        <v>#N/A</v>
      </c>
      <c r="BO29" s="75" t="e">
        <f t="shared" ca="1" si="9"/>
        <v>#N/A</v>
      </c>
      <c r="BP29" s="49" t="e">
        <f t="shared" ref="BP29:BP87" ca="1" si="17">BP28+IF(BF29=1,1,)</f>
        <v>#N/A</v>
      </c>
      <c r="BQ29" s="49" t="e">
        <f t="shared" ref="BQ29:BQ87" ca="1" si="18">BQ28+IF(BF29=2,1,)</f>
        <v>#N/A</v>
      </c>
      <c r="BR29" s="49" t="e">
        <f t="shared" ref="BR29:BR87" ca="1" si="19">BR28+IF(BF29=3,1,)</f>
        <v>#N/A</v>
      </c>
      <c r="BS29" s="49" t="e">
        <f t="shared" ref="BS29:BS87" ca="1" si="20">BS28+IF(BF29=4,1,)</f>
        <v>#N/A</v>
      </c>
      <c r="BT29" s="49" t="e">
        <f t="shared" ref="BT29:BT87" ca="1" si="21">BT28+IF(BF29=5,1,)</f>
        <v>#N/A</v>
      </c>
      <c r="BU29" s="49" t="e">
        <f t="shared" ref="BU29:BU87" ca="1" si="22">BU28+IF(BF29=6,1,)</f>
        <v>#N/A</v>
      </c>
      <c r="BV29" s="49" t="e">
        <f t="shared" ref="BV29:BV87" ca="1" si="23">BV28+IF(BF29=7,1,)</f>
        <v>#N/A</v>
      </c>
    </row>
    <row r="30" spans="1:74" x14ac:dyDescent="0.3">
      <c r="A30" s="64"/>
      <c r="B30" s="48"/>
      <c r="C30" s="47" t="s">
        <v>109</v>
      </c>
      <c r="D30" s="58">
        <f ca="1">A11</f>
        <v>1.3</v>
      </c>
      <c r="E30" s="48"/>
      <c r="F30" s="48"/>
      <c r="G30" s="48"/>
      <c r="H30" s="48"/>
      <c r="I30" s="48"/>
      <c r="L30" s="47" t="s">
        <v>262</v>
      </c>
      <c r="M30" s="61">
        <f>스펙계산기!K13</f>
        <v>0</v>
      </c>
      <c r="N30" s="62" t="s">
        <v>279</v>
      </c>
      <c r="O30" s="48">
        <f>스펙계산기!F18*0.01+0.2</f>
        <v>0.2</v>
      </c>
      <c r="P30" s="76">
        <v>2</v>
      </c>
      <c r="Q30" s="48">
        <v>2</v>
      </c>
      <c r="R30" s="48">
        <f t="shared" ref="R30:R43" si="24">Q30+R29</f>
        <v>3</v>
      </c>
      <c r="S30" s="47" t="str">
        <f ca="1">스펙계산기!V7</f>
        <v xml:space="preserve"> DEX</v>
      </c>
      <c r="T30" s="48">
        <f>스펙계산기!G10/30</f>
        <v>0</v>
      </c>
      <c r="U30" s="48" t="str">
        <f ca="1">스펙계산기!X7</f>
        <v xml:space="preserve"> DEX</v>
      </c>
      <c r="V30" s="58" t="e">
        <f ca="1">BU128</f>
        <v>#N/A</v>
      </c>
      <c r="W30" s="63">
        <v>143</v>
      </c>
      <c r="X30" s="73">
        <v>12</v>
      </c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74" t="e">
        <f t="shared" ca="1" si="0"/>
        <v>#N/A</v>
      </c>
      <c r="AZ30" s="74" t="e">
        <f t="shared" ca="1" si="1"/>
        <v>#N/A</v>
      </c>
      <c r="BA30" s="74" t="e">
        <f t="shared" ca="1" si="2"/>
        <v>#N/A</v>
      </c>
      <c r="BB30" s="74" t="e">
        <f t="shared" ca="1" si="3"/>
        <v>#N/A</v>
      </c>
      <c r="BC30" s="74" t="e">
        <f t="shared" ca="1" si="4"/>
        <v>#N/A</v>
      </c>
      <c r="BD30" s="74" t="e">
        <f t="shared" ca="1" si="5"/>
        <v>#N/A</v>
      </c>
      <c r="BE30" s="49" t="e">
        <f t="shared" ca="1" si="6"/>
        <v>#N/A</v>
      </c>
      <c r="BF30" s="49" t="e">
        <f t="shared" ca="1" si="10"/>
        <v>#N/A</v>
      </c>
      <c r="BG30" s="49" t="e">
        <f t="shared" ca="1" si="7"/>
        <v>#N/A</v>
      </c>
      <c r="BH30" s="49" t="e">
        <f t="shared" ca="1" si="11"/>
        <v>#N/A</v>
      </c>
      <c r="BI30" s="49">
        <f t="shared" si="8"/>
        <v>0</v>
      </c>
      <c r="BJ30" s="49" t="e">
        <f t="shared" ca="1" si="12"/>
        <v>#N/A</v>
      </c>
      <c r="BK30" s="71" t="e">
        <f t="shared" ca="1" si="13"/>
        <v>#N/A</v>
      </c>
      <c r="BL30" s="71" t="e">
        <f t="shared" ca="1" si="14"/>
        <v>#N/A</v>
      </c>
      <c r="BM30" s="71" t="e">
        <f t="shared" ca="1" si="15"/>
        <v>#N/A</v>
      </c>
      <c r="BN30" s="71" t="e">
        <f t="shared" ca="1" si="16"/>
        <v>#N/A</v>
      </c>
      <c r="BO30" s="75" t="e">
        <f t="shared" ca="1" si="9"/>
        <v>#N/A</v>
      </c>
      <c r="BP30" s="49" t="e">
        <f t="shared" ca="1" si="17"/>
        <v>#N/A</v>
      </c>
      <c r="BQ30" s="49" t="e">
        <f t="shared" ca="1" si="18"/>
        <v>#N/A</v>
      </c>
      <c r="BR30" s="49" t="e">
        <f t="shared" ca="1" si="19"/>
        <v>#N/A</v>
      </c>
      <c r="BS30" s="49" t="e">
        <f t="shared" ca="1" si="20"/>
        <v>#N/A</v>
      </c>
      <c r="BT30" s="49" t="e">
        <f t="shared" ca="1" si="21"/>
        <v>#N/A</v>
      </c>
      <c r="BU30" s="49" t="e">
        <f t="shared" ca="1" si="22"/>
        <v>#N/A</v>
      </c>
      <c r="BV30" s="49" t="e">
        <f t="shared" ca="1" si="23"/>
        <v>#N/A</v>
      </c>
    </row>
    <row r="31" spans="1:74" x14ac:dyDescent="0.3">
      <c r="A31" s="64"/>
      <c r="B31" s="48"/>
      <c r="C31" s="47" t="s">
        <v>67</v>
      </c>
      <c r="D31" s="58">
        <f ca="1">IF(B24=0,A15,A19)</f>
        <v>0.85</v>
      </c>
      <c r="E31" s="48"/>
      <c r="F31" s="48"/>
      <c r="G31" s="48"/>
      <c r="H31" s="48"/>
      <c r="I31" s="48"/>
      <c r="J31" s="48"/>
      <c r="K31" s="48"/>
      <c r="L31" s="47" t="s">
        <v>263</v>
      </c>
      <c r="M31" s="61">
        <f>스펙계산기!M13</f>
        <v>0</v>
      </c>
      <c r="N31" s="48"/>
      <c r="O31" s="48"/>
      <c r="P31" s="76">
        <v>3</v>
      </c>
      <c r="Q31" s="48">
        <v>4</v>
      </c>
      <c r="R31" s="48">
        <f t="shared" si="24"/>
        <v>7</v>
      </c>
      <c r="S31" s="47" t="str">
        <f>스펙계산기!V8</f>
        <v xml:space="preserve"> 크리티컬확률</v>
      </c>
      <c r="T31" s="48">
        <f>스펙계산기!W8</f>
        <v>0</v>
      </c>
      <c r="U31" s="48" t="str">
        <f>스펙계산기!X8</f>
        <v xml:space="preserve"> 크리티컬확률</v>
      </c>
      <c r="V31" s="58" t="e">
        <f ca="1">BP128</f>
        <v>#N/A</v>
      </c>
      <c r="W31" s="63">
        <v>144</v>
      </c>
      <c r="X31" s="73">
        <v>15</v>
      </c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74" t="e">
        <f t="shared" ca="1" si="0"/>
        <v>#N/A</v>
      </c>
      <c r="AZ31" s="74" t="e">
        <f t="shared" ca="1" si="1"/>
        <v>#N/A</v>
      </c>
      <c r="BA31" s="74" t="e">
        <f t="shared" ca="1" si="2"/>
        <v>#N/A</v>
      </c>
      <c r="BB31" s="74" t="e">
        <f t="shared" ca="1" si="3"/>
        <v>#N/A</v>
      </c>
      <c r="BC31" s="74" t="e">
        <f t="shared" ca="1" si="4"/>
        <v>#N/A</v>
      </c>
      <c r="BD31" s="74" t="e">
        <f t="shared" ca="1" si="5"/>
        <v>#N/A</v>
      </c>
      <c r="BE31" s="49" t="e">
        <f t="shared" ca="1" si="6"/>
        <v>#N/A</v>
      </c>
      <c r="BF31" s="49" t="e">
        <f t="shared" ca="1" si="10"/>
        <v>#N/A</v>
      </c>
      <c r="BG31" s="49" t="e">
        <f t="shared" ca="1" si="7"/>
        <v>#N/A</v>
      </c>
      <c r="BH31" s="49" t="e">
        <f t="shared" ca="1" si="11"/>
        <v>#N/A</v>
      </c>
      <c r="BI31" s="49">
        <f t="shared" si="8"/>
        <v>0</v>
      </c>
      <c r="BJ31" s="49" t="e">
        <f t="shared" ca="1" si="12"/>
        <v>#N/A</v>
      </c>
      <c r="BK31" s="71" t="e">
        <f t="shared" ca="1" si="13"/>
        <v>#N/A</v>
      </c>
      <c r="BL31" s="71" t="e">
        <f t="shared" ca="1" si="14"/>
        <v>#N/A</v>
      </c>
      <c r="BM31" s="71" t="e">
        <f t="shared" ca="1" si="15"/>
        <v>#N/A</v>
      </c>
      <c r="BN31" s="71" t="e">
        <f t="shared" ca="1" si="16"/>
        <v>#N/A</v>
      </c>
      <c r="BO31" s="75" t="e">
        <f t="shared" ca="1" si="9"/>
        <v>#N/A</v>
      </c>
      <c r="BP31" s="49" t="e">
        <f t="shared" ca="1" si="17"/>
        <v>#N/A</v>
      </c>
      <c r="BQ31" s="49" t="e">
        <f t="shared" ca="1" si="18"/>
        <v>#N/A</v>
      </c>
      <c r="BR31" s="49" t="e">
        <f t="shared" ca="1" si="19"/>
        <v>#N/A</v>
      </c>
      <c r="BS31" s="49" t="e">
        <f t="shared" ca="1" si="20"/>
        <v>#N/A</v>
      </c>
      <c r="BT31" s="49" t="e">
        <f t="shared" ca="1" si="21"/>
        <v>#N/A</v>
      </c>
      <c r="BU31" s="49" t="e">
        <f t="shared" ca="1" si="22"/>
        <v>#N/A</v>
      </c>
      <c r="BV31" s="49" t="e">
        <f t="shared" ca="1" si="23"/>
        <v>#N/A</v>
      </c>
    </row>
    <row r="32" spans="1:74" x14ac:dyDescent="0.3">
      <c r="A32" s="64"/>
      <c r="B32" s="48"/>
      <c r="C32" s="47" t="s">
        <v>136</v>
      </c>
      <c r="D32" s="58">
        <f>스펙계산기!C9</f>
        <v>0</v>
      </c>
      <c r="E32" s="48"/>
      <c r="F32" s="48"/>
      <c r="G32" s="48"/>
      <c r="H32" s="48"/>
      <c r="I32" s="48"/>
      <c r="J32" s="48"/>
      <c r="K32" s="48"/>
      <c r="L32" s="47" t="s">
        <v>264</v>
      </c>
      <c r="M32" s="61">
        <f>스펙계산기!K14</f>
        <v>0</v>
      </c>
      <c r="N32" s="48"/>
      <c r="O32" s="48"/>
      <c r="P32" s="76">
        <v>4</v>
      </c>
      <c r="Q32" s="48">
        <v>8</v>
      </c>
      <c r="R32" s="48">
        <f t="shared" si="24"/>
        <v>15</v>
      </c>
      <c r="S32" s="47" t="str">
        <f>스펙계산기!V9</f>
        <v xml:space="preserve"> 크리 데미지</v>
      </c>
      <c r="T32" s="48">
        <f>스펙계산기!W9</f>
        <v>0</v>
      </c>
      <c r="U32" s="48" t="str">
        <f>스펙계산기!X9</f>
        <v xml:space="preserve"> 크리 데미지</v>
      </c>
      <c r="V32" s="58" t="e">
        <f ca="1">BQ128</f>
        <v>#N/A</v>
      </c>
      <c r="W32" s="63">
        <v>145</v>
      </c>
      <c r="X32" s="73">
        <v>18</v>
      </c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74" t="e">
        <f t="shared" ca="1" si="0"/>
        <v>#N/A</v>
      </c>
      <c r="AZ32" s="74" t="e">
        <f t="shared" ca="1" si="1"/>
        <v>#N/A</v>
      </c>
      <c r="BA32" s="74" t="e">
        <f t="shared" ca="1" si="2"/>
        <v>#N/A</v>
      </c>
      <c r="BB32" s="74" t="e">
        <f t="shared" ca="1" si="3"/>
        <v>#N/A</v>
      </c>
      <c r="BC32" s="74" t="e">
        <f t="shared" ca="1" si="4"/>
        <v>#N/A</v>
      </c>
      <c r="BD32" s="74" t="e">
        <f t="shared" ca="1" si="5"/>
        <v>#N/A</v>
      </c>
      <c r="BE32" s="49" t="e">
        <f t="shared" ca="1" si="6"/>
        <v>#N/A</v>
      </c>
      <c r="BF32" s="49" t="e">
        <f t="shared" ca="1" si="10"/>
        <v>#N/A</v>
      </c>
      <c r="BG32" s="49" t="e">
        <f t="shared" ca="1" si="7"/>
        <v>#N/A</v>
      </c>
      <c r="BH32" s="49" t="e">
        <f t="shared" ca="1" si="11"/>
        <v>#N/A</v>
      </c>
      <c r="BI32" s="49">
        <f t="shared" si="8"/>
        <v>0</v>
      </c>
      <c r="BJ32" s="49" t="e">
        <f t="shared" ca="1" si="12"/>
        <v>#N/A</v>
      </c>
      <c r="BK32" s="71" t="e">
        <f t="shared" ca="1" si="13"/>
        <v>#N/A</v>
      </c>
      <c r="BL32" s="71" t="e">
        <f t="shared" ca="1" si="14"/>
        <v>#N/A</v>
      </c>
      <c r="BM32" s="71" t="e">
        <f t="shared" ca="1" si="15"/>
        <v>#N/A</v>
      </c>
      <c r="BN32" s="71" t="e">
        <f t="shared" ca="1" si="16"/>
        <v>#N/A</v>
      </c>
      <c r="BO32" s="75" t="e">
        <f t="shared" ca="1" si="9"/>
        <v>#N/A</v>
      </c>
      <c r="BP32" s="49" t="e">
        <f t="shared" ca="1" si="17"/>
        <v>#N/A</v>
      </c>
      <c r="BQ32" s="49" t="e">
        <f t="shared" ca="1" si="18"/>
        <v>#N/A</v>
      </c>
      <c r="BR32" s="49" t="e">
        <f t="shared" ca="1" si="19"/>
        <v>#N/A</v>
      </c>
      <c r="BS32" s="49" t="e">
        <f t="shared" ca="1" si="20"/>
        <v>#N/A</v>
      </c>
      <c r="BT32" s="49" t="e">
        <f t="shared" ca="1" si="21"/>
        <v>#N/A</v>
      </c>
      <c r="BU32" s="49" t="e">
        <f t="shared" ca="1" si="22"/>
        <v>#N/A</v>
      </c>
      <c r="BV32" s="49" t="e">
        <f t="shared" ca="1" si="23"/>
        <v>#N/A</v>
      </c>
    </row>
    <row r="33" spans="1:74" x14ac:dyDescent="0.3">
      <c r="A33" s="64"/>
      <c r="B33" s="48"/>
      <c r="C33" s="47" t="s">
        <v>132</v>
      </c>
      <c r="D33" s="58">
        <f>스펙계산기!C8</f>
        <v>0</v>
      </c>
      <c r="E33" s="48"/>
      <c r="F33" s="48"/>
      <c r="G33" s="48"/>
      <c r="H33" s="48"/>
      <c r="I33" s="48"/>
      <c r="J33" s="48"/>
      <c r="K33" s="48"/>
      <c r="L33" s="47" t="s">
        <v>265</v>
      </c>
      <c r="M33" s="61">
        <f>스펙계산기!M14</f>
        <v>0</v>
      </c>
      <c r="N33" s="48"/>
      <c r="O33" s="48"/>
      <c r="P33" s="76">
        <v>5</v>
      </c>
      <c r="Q33" s="48">
        <v>10</v>
      </c>
      <c r="R33" s="48">
        <f t="shared" si="24"/>
        <v>25</v>
      </c>
      <c r="S33" s="47" t="str">
        <f>스펙계산기!V10</f>
        <v xml:space="preserve"> 방어율 무시</v>
      </c>
      <c r="T33" s="48">
        <f>스펙계산기!W10</f>
        <v>0</v>
      </c>
      <c r="U33" s="48" t="str">
        <f>스펙계산기!X10</f>
        <v xml:space="preserve"> 방어율 무시</v>
      </c>
      <c r="V33" s="58" t="e">
        <f ca="1">BR128</f>
        <v>#N/A</v>
      </c>
      <c r="W33" s="63">
        <v>146</v>
      </c>
      <c r="X33" s="73">
        <v>21</v>
      </c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74" t="e">
        <f t="shared" ca="1" si="0"/>
        <v>#N/A</v>
      </c>
      <c r="AZ33" s="74" t="e">
        <f t="shared" ca="1" si="1"/>
        <v>#N/A</v>
      </c>
      <c r="BA33" s="74" t="e">
        <f t="shared" ca="1" si="2"/>
        <v>#N/A</v>
      </c>
      <c r="BB33" s="74" t="e">
        <f t="shared" ca="1" si="3"/>
        <v>#N/A</v>
      </c>
      <c r="BC33" s="74" t="e">
        <f t="shared" ca="1" si="4"/>
        <v>#N/A</v>
      </c>
      <c r="BD33" s="74" t="e">
        <f t="shared" ca="1" si="5"/>
        <v>#N/A</v>
      </c>
      <c r="BE33" s="49" t="e">
        <f t="shared" ca="1" si="6"/>
        <v>#N/A</v>
      </c>
      <c r="BF33" s="49" t="e">
        <f t="shared" ca="1" si="10"/>
        <v>#N/A</v>
      </c>
      <c r="BG33" s="49" t="e">
        <f t="shared" ca="1" si="7"/>
        <v>#N/A</v>
      </c>
      <c r="BH33" s="49" t="e">
        <f t="shared" ca="1" si="11"/>
        <v>#N/A</v>
      </c>
      <c r="BI33" s="49">
        <f t="shared" si="8"/>
        <v>0</v>
      </c>
      <c r="BJ33" s="49" t="e">
        <f t="shared" ca="1" si="12"/>
        <v>#N/A</v>
      </c>
      <c r="BK33" s="71" t="e">
        <f t="shared" ca="1" si="13"/>
        <v>#N/A</v>
      </c>
      <c r="BL33" s="71" t="e">
        <f t="shared" ca="1" si="14"/>
        <v>#N/A</v>
      </c>
      <c r="BM33" s="71" t="e">
        <f t="shared" ca="1" si="15"/>
        <v>#N/A</v>
      </c>
      <c r="BN33" s="71" t="e">
        <f t="shared" ca="1" si="16"/>
        <v>#N/A</v>
      </c>
      <c r="BO33" s="75" t="e">
        <f t="shared" ca="1" si="9"/>
        <v>#N/A</v>
      </c>
      <c r="BP33" s="49" t="e">
        <f t="shared" ca="1" si="17"/>
        <v>#N/A</v>
      </c>
      <c r="BQ33" s="49" t="e">
        <f t="shared" ca="1" si="18"/>
        <v>#N/A</v>
      </c>
      <c r="BR33" s="49" t="e">
        <f t="shared" ca="1" si="19"/>
        <v>#N/A</v>
      </c>
      <c r="BS33" s="49" t="e">
        <f t="shared" ca="1" si="20"/>
        <v>#N/A</v>
      </c>
      <c r="BT33" s="49" t="e">
        <f t="shared" ca="1" si="21"/>
        <v>#N/A</v>
      </c>
      <c r="BU33" s="49" t="e">
        <f t="shared" ca="1" si="22"/>
        <v>#N/A</v>
      </c>
      <c r="BV33" s="49" t="e">
        <f t="shared" ca="1" si="23"/>
        <v>#N/A</v>
      </c>
    </row>
    <row r="34" spans="1:74" x14ac:dyDescent="0.3">
      <c r="A34" s="64"/>
      <c r="B34" s="48"/>
      <c r="C34" s="47" t="s">
        <v>135</v>
      </c>
      <c r="D34" s="58">
        <f>스펙계산기!C10</f>
        <v>0</v>
      </c>
      <c r="E34" s="48"/>
      <c r="F34" s="48"/>
      <c r="G34" s="48"/>
      <c r="H34" s="48"/>
      <c r="I34" s="48"/>
      <c r="J34" s="48"/>
      <c r="K34" s="48"/>
      <c r="L34" s="47" t="s">
        <v>267</v>
      </c>
      <c r="M34" s="61">
        <f>M29*(1-M30)*(1-M31)*(1-M32)*(1-M33)</f>
        <v>3</v>
      </c>
      <c r="N34" s="48"/>
      <c r="O34" s="48"/>
      <c r="P34" s="76">
        <v>6</v>
      </c>
      <c r="Q34" s="48">
        <v>15</v>
      </c>
      <c r="R34" s="48">
        <f t="shared" si="24"/>
        <v>40</v>
      </c>
      <c r="S34" s="47" t="str">
        <f>스펙계산기!V11</f>
        <v xml:space="preserve"> 데미지</v>
      </c>
      <c r="T34" s="48">
        <f>스펙계산기!W11</f>
        <v>0</v>
      </c>
      <c r="U34" s="48" t="str">
        <f>스펙계산기!X11</f>
        <v xml:space="preserve"> 데미지</v>
      </c>
      <c r="V34" s="58" t="e">
        <f ca="1">BT128</f>
        <v>#N/A</v>
      </c>
      <c r="W34" s="63">
        <v>147</v>
      </c>
      <c r="X34" s="73">
        <v>24</v>
      </c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74" t="e">
        <f t="shared" ca="1" si="0"/>
        <v>#N/A</v>
      </c>
      <c r="AZ34" s="74" t="e">
        <f t="shared" ca="1" si="1"/>
        <v>#N/A</v>
      </c>
      <c r="BA34" s="74" t="e">
        <f t="shared" ca="1" si="2"/>
        <v>#N/A</v>
      </c>
      <c r="BB34" s="74" t="e">
        <f t="shared" ca="1" si="3"/>
        <v>#N/A</v>
      </c>
      <c r="BC34" s="74" t="e">
        <f t="shared" ca="1" si="4"/>
        <v>#N/A</v>
      </c>
      <c r="BD34" s="74" t="e">
        <f t="shared" ca="1" si="5"/>
        <v>#N/A</v>
      </c>
      <c r="BE34" s="49" t="e">
        <f t="shared" ca="1" si="6"/>
        <v>#N/A</v>
      </c>
      <c r="BF34" s="49" t="e">
        <f t="shared" ca="1" si="10"/>
        <v>#N/A</v>
      </c>
      <c r="BG34" s="49" t="e">
        <f t="shared" ca="1" si="7"/>
        <v>#N/A</v>
      </c>
      <c r="BH34" s="49" t="e">
        <f t="shared" ca="1" si="11"/>
        <v>#N/A</v>
      </c>
      <c r="BI34" s="49">
        <f t="shared" si="8"/>
        <v>0</v>
      </c>
      <c r="BJ34" s="49" t="e">
        <f t="shared" ca="1" si="12"/>
        <v>#N/A</v>
      </c>
      <c r="BK34" s="71" t="e">
        <f t="shared" ca="1" si="13"/>
        <v>#N/A</v>
      </c>
      <c r="BL34" s="71" t="e">
        <f t="shared" ca="1" si="14"/>
        <v>#N/A</v>
      </c>
      <c r="BM34" s="71" t="e">
        <f t="shared" ca="1" si="15"/>
        <v>#N/A</v>
      </c>
      <c r="BN34" s="71" t="e">
        <f t="shared" ca="1" si="16"/>
        <v>#N/A</v>
      </c>
      <c r="BO34" s="75" t="e">
        <f t="shared" ca="1" si="9"/>
        <v>#N/A</v>
      </c>
      <c r="BP34" s="49" t="e">
        <f t="shared" ca="1" si="17"/>
        <v>#N/A</v>
      </c>
      <c r="BQ34" s="49" t="e">
        <f t="shared" ca="1" si="18"/>
        <v>#N/A</v>
      </c>
      <c r="BR34" s="49" t="e">
        <f t="shared" ca="1" si="19"/>
        <v>#N/A</v>
      </c>
      <c r="BS34" s="49" t="e">
        <f t="shared" ca="1" si="20"/>
        <v>#N/A</v>
      </c>
      <c r="BT34" s="49" t="e">
        <f t="shared" ca="1" si="21"/>
        <v>#N/A</v>
      </c>
      <c r="BU34" s="49" t="e">
        <f t="shared" ca="1" si="22"/>
        <v>#N/A</v>
      </c>
      <c r="BV34" s="49" t="e">
        <f t="shared" ca="1" si="23"/>
        <v>#N/A</v>
      </c>
    </row>
    <row r="35" spans="1:74" ht="17.25" thickBot="1" x14ac:dyDescent="0.35">
      <c r="A35" s="64"/>
      <c r="B35" s="48"/>
      <c r="C35" s="47" t="s">
        <v>12</v>
      </c>
      <c r="D35" s="58">
        <f>스펙계산기!F3</f>
        <v>0</v>
      </c>
      <c r="E35" s="48"/>
      <c r="F35" s="48"/>
      <c r="G35" s="48"/>
      <c r="H35" s="48"/>
      <c r="I35" s="48"/>
      <c r="J35" s="48"/>
      <c r="K35" s="48"/>
      <c r="L35" s="59" t="s">
        <v>266</v>
      </c>
      <c r="M35" s="77">
        <f>IF(M27=L28,1,0)</f>
        <v>1</v>
      </c>
      <c r="N35" s="78"/>
      <c r="O35" s="78"/>
      <c r="P35" s="76">
        <v>7</v>
      </c>
      <c r="Q35" s="48">
        <v>20</v>
      </c>
      <c r="R35" s="48">
        <f t="shared" si="24"/>
        <v>60</v>
      </c>
      <c r="S35" s="47" t="str">
        <f>스펙계산기!V12</f>
        <v xml:space="preserve"> 보스 데미지</v>
      </c>
      <c r="T35" s="48">
        <f>스펙계산기!W12</f>
        <v>0</v>
      </c>
      <c r="U35" s="48" t="str">
        <f>스펙계산기!X12</f>
        <v xml:space="preserve"> 보스 데미지</v>
      </c>
      <c r="V35" s="58" t="e">
        <f ca="1">BS128</f>
        <v>#N/A</v>
      </c>
      <c r="W35" s="63">
        <v>148</v>
      </c>
      <c r="X35" s="73">
        <v>27</v>
      </c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74" t="e">
        <f t="shared" ca="1" si="0"/>
        <v>#N/A</v>
      </c>
      <c r="AZ35" s="74" t="e">
        <f t="shared" ca="1" si="1"/>
        <v>#N/A</v>
      </c>
      <c r="BA35" s="74" t="e">
        <f t="shared" ca="1" si="2"/>
        <v>#N/A</v>
      </c>
      <c r="BB35" s="74" t="e">
        <f t="shared" ca="1" si="3"/>
        <v>#N/A</v>
      </c>
      <c r="BC35" s="74" t="e">
        <f t="shared" ca="1" si="4"/>
        <v>#N/A</v>
      </c>
      <c r="BD35" s="74" t="e">
        <f t="shared" ca="1" si="5"/>
        <v>#N/A</v>
      </c>
      <c r="BE35" s="49" t="e">
        <f t="shared" ca="1" si="6"/>
        <v>#N/A</v>
      </c>
      <c r="BF35" s="49" t="e">
        <f t="shared" ca="1" si="10"/>
        <v>#N/A</v>
      </c>
      <c r="BG35" s="49" t="e">
        <f t="shared" ca="1" si="7"/>
        <v>#N/A</v>
      </c>
      <c r="BH35" s="49" t="e">
        <f t="shared" ca="1" si="11"/>
        <v>#N/A</v>
      </c>
      <c r="BI35" s="49">
        <f t="shared" si="8"/>
        <v>0</v>
      </c>
      <c r="BJ35" s="49" t="e">
        <f t="shared" ca="1" si="12"/>
        <v>#N/A</v>
      </c>
      <c r="BK35" s="71" t="e">
        <f t="shared" ca="1" si="13"/>
        <v>#N/A</v>
      </c>
      <c r="BL35" s="71" t="e">
        <f t="shared" ca="1" si="14"/>
        <v>#N/A</v>
      </c>
      <c r="BM35" s="71" t="e">
        <f t="shared" ca="1" si="15"/>
        <v>#N/A</v>
      </c>
      <c r="BN35" s="71" t="e">
        <f t="shared" ca="1" si="16"/>
        <v>#N/A</v>
      </c>
      <c r="BO35" s="75" t="e">
        <f t="shared" ca="1" si="9"/>
        <v>#N/A</v>
      </c>
      <c r="BP35" s="49" t="e">
        <f t="shared" ca="1" si="17"/>
        <v>#N/A</v>
      </c>
      <c r="BQ35" s="49" t="e">
        <f t="shared" ca="1" si="18"/>
        <v>#N/A</v>
      </c>
      <c r="BR35" s="49" t="e">
        <f t="shared" ca="1" si="19"/>
        <v>#N/A</v>
      </c>
      <c r="BS35" s="49" t="e">
        <f t="shared" ca="1" si="20"/>
        <v>#N/A</v>
      </c>
      <c r="BT35" s="49" t="e">
        <f t="shared" ca="1" si="21"/>
        <v>#N/A</v>
      </c>
      <c r="BU35" s="49" t="e">
        <f t="shared" ca="1" si="22"/>
        <v>#N/A</v>
      </c>
      <c r="BV35" s="49" t="e">
        <f t="shared" ca="1" si="23"/>
        <v>#N/A</v>
      </c>
    </row>
    <row r="36" spans="1:74" x14ac:dyDescent="0.3">
      <c r="A36" s="64"/>
      <c r="B36" s="48"/>
      <c r="C36" s="47" t="s">
        <v>74</v>
      </c>
      <c r="D36" s="58">
        <f>스펙계산기!F4</f>
        <v>0</v>
      </c>
      <c r="G36" s="48"/>
      <c r="H36" s="48"/>
      <c r="I36" s="48"/>
      <c r="J36" s="48"/>
      <c r="K36" s="48"/>
      <c r="L36" s="48"/>
      <c r="M36" s="61"/>
      <c r="N36" s="72" t="s">
        <v>71</v>
      </c>
      <c r="O36" s="115">
        <f>방어율</f>
        <v>3</v>
      </c>
      <c r="P36" s="76">
        <v>8</v>
      </c>
      <c r="Q36" s="48">
        <v>25</v>
      </c>
      <c r="R36" s="48">
        <f t="shared" si="24"/>
        <v>85</v>
      </c>
      <c r="S36" s="47" t="str">
        <f>스펙계산기!V13</f>
        <v xml:space="preserve"> 공격력/마력</v>
      </c>
      <c r="T36" s="48">
        <f>스펙계산기!W13</f>
        <v>0</v>
      </c>
      <c r="U36" s="48" t="str">
        <f>스펙계산기!X13</f>
        <v xml:space="preserve"> 공격력/마력</v>
      </c>
      <c r="V36" s="58" t="e">
        <f ca="1">BV128</f>
        <v>#N/A</v>
      </c>
      <c r="W36" s="63">
        <v>149</v>
      </c>
      <c r="X36" s="73">
        <v>30</v>
      </c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74" t="e">
        <f t="shared" ca="1" si="0"/>
        <v>#N/A</v>
      </c>
      <c r="AZ36" s="74" t="e">
        <f t="shared" ca="1" si="1"/>
        <v>#N/A</v>
      </c>
      <c r="BA36" s="74" t="e">
        <f t="shared" ca="1" si="2"/>
        <v>#N/A</v>
      </c>
      <c r="BB36" s="74" t="e">
        <f t="shared" ca="1" si="3"/>
        <v>#N/A</v>
      </c>
      <c r="BC36" s="74" t="e">
        <f t="shared" ca="1" si="4"/>
        <v>#N/A</v>
      </c>
      <c r="BD36" s="74" t="e">
        <f t="shared" ca="1" si="5"/>
        <v>#N/A</v>
      </c>
      <c r="BE36" s="49" t="e">
        <f t="shared" ca="1" si="6"/>
        <v>#N/A</v>
      </c>
      <c r="BF36" s="49" t="e">
        <f t="shared" ca="1" si="10"/>
        <v>#N/A</v>
      </c>
      <c r="BG36" s="49" t="e">
        <f t="shared" ca="1" si="7"/>
        <v>#N/A</v>
      </c>
      <c r="BH36" s="49" t="e">
        <f t="shared" ca="1" si="11"/>
        <v>#N/A</v>
      </c>
      <c r="BI36" s="49">
        <f t="shared" si="8"/>
        <v>0</v>
      </c>
      <c r="BJ36" s="49" t="e">
        <f t="shared" ca="1" si="12"/>
        <v>#N/A</v>
      </c>
      <c r="BK36" s="71" t="e">
        <f t="shared" ca="1" si="13"/>
        <v>#N/A</v>
      </c>
      <c r="BL36" s="71" t="e">
        <f t="shared" ca="1" si="14"/>
        <v>#N/A</v>
      </c>
      <c r="BM36" s="71" t="e">
        <f t="shared" ca="1" si="15"/>
        <v>#N/A</v>
      </c>
      <c r="BN36" s="71" t="e">
        <f t="shared" ca="1" si="16"/>
        <v>#N/A</v>
      </c>
      <c r="BO36" s="75" t="e">
        <f t="shared" ca="1" si="9"/>
        <v>#N/A</v>
      </c>
      <c r="BP36" s="49" t="e">
        <f t="shared" ca="1" si="17"/>
        <v>#N/A</v>
      </c>
      <c r="BQ36" s="49" t="e">
        <f t="shared" ca="1" si="18"/>
        <v>#N/A</v>
      </c>
      <c r="BR36" s="49" t="e">
        <f t="shared" ca="1" si="19"/>
        <v>#N/A</v>
      </c>
      <c r="BS36" s="49" t="e">
        <f t="shared" ca="1" si="20"/>
        <v>#N/A</v>
      </c>
      <c r="BT36" s="49" t="e">
        <f t="shared" ca="1" si="21"/>
        <v>#N/A</v>
      </c>
      <c r="BU36" s="49" t="e">
        <f t="shared" ca="1" si="22"/>
        <v>#N/A</v>
      </c>
      <c r="BV36" s="49" t="e">
        <f t="shared" ca="1" si="23"/>
        <v>#N/A</v>
      </c>
    </row>
    <row r="37" spans="1:74" ht="17.25" thickBot="1" x14ac:dyDescent="0.35">
      <c r="A37" s="64"/>
      <c r="B37" s="48"/>
      <c r="C37" s="47" t="s">
        <v>77</v>
      </c>
      <c r="D37" s="58">
        <f>스펙계산기!H4</f>
        <v>0</v>
      </c>
      <c r="G37" s="48"/>
      <c r="H37" s="48"/>
      <c r="I37" s="48"/>
      <c r="J37" s="48"/>
      <c r="K37" s="48"/>
      <c r="L37" s="48"/>
      <c r="M37" s="61"/>
      <c r="N37" s="47" t="s">
        <v>42</v>
      </c>
      <c r="O37" s="58">
        <f ca="1">(4*(T38+T30*30)+T39)*ROUNDDOWN(공마*(1+공마퍼),)*(1+데미지+IF(보스=0,0,보공))*(MIN(1,크확)*(1.35+크뎀)+(1-MIN(1,크확)))*(1-O36*(1-방무))</f>
        <v>0</v>
      </c>
      <c r="P37" s="76">
        <v>9</v>
      </c>
      <c r="Q37" s="48">
        <v>30</v>
      </c>
      <c r="R37" s="48">
        <f t="shared" si="24"/>
        <v>115</v>
      </c>
      <c r="S37" s="59" t="s">
        <v>186</v>
      </c>
      <c r="T37" s="78">
        <f>VLOOKUP(T27,P28:R43,3,FALSE)+VLOOKUP(V27,P28:R43,3,FALSE)+VLOOKUP(T28,P28:R43,3,FALSE)+VLOOKUP(V28,P28:R43,3,FALSE)</f>
        <v>0</v>
      </c>
      <c r="U37" s="78" t="s">
        <v>187</v>
      </c>
      <c r="V37" s="60" t="e">
        <f>VLOOKUP(스펙계산기!C3,W27:X162,2,0)</f>
        <v>#N/A</v>
      </c>
      <c r="W37" s="63">
        <v>150</v>
      </c>
      <c r="X37" s="73">
        <v>34</v>
      </c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74" t="e">
        <f t="shared" ca="1" si="0"/>
        <v>#N/A</v>
      </c>
      <c r="AZ37" s="74" t="e">
        <f t="shared" ca="1" si="1"/>
        <v>#N/A</v>
      </c>
      <c r="BA37" s="74" t="e">
        <f t="shared" ca="1" si="2"/>
        <v>#N/A</v>
      </c>
      <c r="BB37" s="74" t="e">
        <f t="shared" ca="1" si="3"/>
        <v>#N/A</v>
      </c>
      <c r="BC37" s="74" t="e">
        <f t="shared" ca="1" si="4"/>
        <v>#N/A</v>
      </c>
      <c r="BD37" s="74" t="e">
        <f t="shared" ca="1" si="5"/>
        <v>#N/A</v>
      </c>
      <c r="BE37" s="49" t="e">
        <f t="shared" ca="1" si="6"/>
        <v>#N/A</v>
      </c>
      <c r="BF37" s="49" t="e">
        <f t="shared" ca="1" si="10"/>
        <v>#N/A</v>
      </c>
      <c r="BG37" s="49" t="e">
        <f t="shared" ca="1" si="7"/>
        <v>#N/A</v>
      </c>
      <c r="BH37" s="49" t="e">
        <f t="shared" ca="1" si="11"/>
        <v>#N/A</v>
      </c>
      <c r="BI37" s="49">
        <f t="shared" si="8"/>
        <v>0</v>
      </c>
      <c r="BJ37" s="49" t="e">
        <f t="shared" ca="1" si="12"/>
        <v>#N/A</v>
      </c>
      <c r="BK37" s="71" t="e">
        <f t="shared" ca="1" si="13"/>
        <v>#N/A</v>
      </c>
      <c r="BL37" s="71" t="e">
        <f t="shared" ca="1" si="14"/>
        <v>#N/A</v>
      </c>
      <c r="BM37" s="71" t="e">
        <f t="shared" ca="1" si="15"/>
        <v>#N/A</v>
      </c>
      <c r="BN37" s="71" t="e">
        <f t="shared" ca="1" si="16"/>
        <v>#N/A</v>
      </c>
      <c r="BO37" s="75" t="e">
        <f t="shared" ca="1" si="9"/>
        <v>#N/A</v>
      </c>
      <c r="BP37" s="49" t="e">
        <f t="shared" ca="1" si="17"/>
        <v>#N/A</v>
      </c>
      <c r="BQ37" s="49" t="e">
        <f t="shared" ca="1" si="18"/>
        <v>#N/A</v>
      </c>
      <c r="BR37" s="49" t="e">
        <f t="shared" ca="1" si="19"/>
        <v>#N/A</v>
      </c>
      <c r="BS37" s="49" t="e">
        <f t="shared" ca="1" si="20"/>
        <v>#N/A</v>
      </c>
      <c r="BT37" s="49" t="e">
        <f t="shared" ca="1" si="21"/>
        <v>#N/A</v>
      </c>
      <c r="BU37" s="49" t="e">
        <f t="shared" ca="1" si="22"/>
        <v>#N/A</v>
      </c>
      <c r="BV37" s="49" t="e">
        <f t="shared" ca="1" si="23"/>
        <v>#N/A</v>
      </c>
    </row>
    <row r="38" spans="1:74" ht="17.25" thickBot="1" x14ac:dyDescent="0.35">
      <c r="A38" s="64"/>
      <c r="B38" s="48"/>
      <c r="C38" s="47" t="s">
        <v>70</v>
      </c>
      <c r="D38" s="58">
        <f>스펙계산기!F5</f>
        <v>0</v>
      </c>
      <c r="G38" s="48"/>
      <c r="H38" s="48"/>
      <c r="I38" s="48"/>
      <c r="J38" s="48"/>
      <c r="K38" s="48"/>
      <c r="L38" s="48"/>
      <c r="M38" s="61"/>
      <c r="N38" s="47" t="s">
        <v>86</v>
      </c>
      <c r="O38" s="58" t="e">
        <f ca="1">(4*(V38)+V39)*ROUNDDOWN(V45*(1+공마퍼),)*(1+V40+IF(보스=0,0,V41))*((V43)*(1.35+V44)+(1-V43))*(1-O36*(1-V42))</f>
        <v>#N/A</v>
      </c>
      <c r="P38" s="76">
        <v>10</v>
      </c>
      <c r="Q38" s="48">
        <v>35</v>
      </c>
      <c r="R38" s="58">
        <f t="shared" si="24"/>
        <v>150</v>
      </c>
      <c r="S38" s="61" t="s">
        <v>45</v>
      </c>
      <c r="T38" s="79">
        <f ca="1">ROUNDDOWN(순스탯*(1+스탯퍼/100),0)+포스스탯-T30*30</f>
        <v>0</v>
      </c>
      <c r="U38" s="61" t="s">
        <v>45</v>
      </c>
      <c r="V38" s="79" t="e">
        <f ca="1">T38+V30*30</f>
        <v>#N/A</v>
      </c>
      <c r="W38" s="80">
        <v>151</v>
      </c>
      <c r="X38" s="73">
        <v>38</v>
      </c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74" t="e">
        <f t="shared" ca="1" si="0"/>
        <v>#N/A</v>
      </c>
      <c r="AZ38" s="74" t="e">
        <f t="shared" ca="1" si="1"/>
        <v>#N/A</v>
      </c>
      <c r="BA38" s="74" t="e">
        <f t="shared" ca="1" si="2"/>
        <v>#N/A</v>
      </c>
      <c r="BB38" s="74" t="e">
        <f t="shared" ca="1" si="3"/>
        <v>#N/A</v>
      </c>
      <c r="BC38" s="74" t="e">
        <f t="shared" ca="1" si="4"/>
        <v>#N/A</v>
      </c>
      <c r="BD38" s="74" t="e">
        <f t="shared" ca="1" si="5"/>
        <v>#N/A</v>
      </c>
      <c r="BE38" s="49" t="e">
        <f t="shared" ca="1" si="6"/>
        <v>#N/A</v>
      </c>
      <c r="BF38" s="49" t="e">
        <f t="shared" ca="1" si="10"/>
        <v>#N/A</v>
      </c>
      <c r="BG38" s="49" t="e">
        <f t="shared" ca="1" si="7"/>
        <v>#N/A</v>
      </c>
      <c r="BH38" s="49" t="e">
        <f t="shared" ca="1" si="11"/>
        <v>#N/A</v>
      </c>
      <c r="BI38" s="49">
        <f t="shared" si="8"/>
        <v>0</v>
      </c>
      <c r="BJ38" s="49" t="e">
        <f t="shared" ca="1" si="12"/>
        <v>#N/A</v>
      </c>
      <c r="BK38" s="71" t="e">
        <f t="shared" ca="1" si="13"/>
        <v>#N/A</v>
      </c>
      <c r="BL38" s="71" t="e">
        <f t="shared" ca="1" si="14"/>
        <v>#N/A</v>
      </c>
      <c r="BM38" s="71" t="e">
        <f t="shared" ca="1" si="15"/>
        <v>#N/A</v>
      </c>
      <c r="BN38" s="71" t="e">
        <f t="shared" ca="1" si="16"/>
        <v>#N/A</v>
      </c>
      <c r="BO38" s="75" t="e">
        <f t="shared" ca="1" si="9"/>
        <v>#N/A</v>
      </c>
      <c r="BP38" s="49" t="e">
        <f t="shared" ca="1" si="17"/>
        <v>#N/A</v>
      </c>
      <c r="BQ38" s="49" t="e">
        <f t="shared" ca="1" si="18"/>
        <v>#N/A</v>
      </c>
      <c r="BR38" s="49" t="e">
        <f t="shared" ca="1" si="19"/>
        <v>#N/A</v>
      </c>
      <c r="BS38" s="49" t="e">
        <f t="shared" ca="1" si="20"/>
        <v>#N/A</v>
      </c>
      <c r="BT38" s="49" t="e">
        <f t="shared" ca="1" si="21"/>
        <v>#N/A</v>
      </c>
      <c r="BU38" s="49" t="e">
        <f t="shared" ca="1" si="22"/>
        <v>#N/A</v>
      </c>
      <c r="BV38" s="49" t="e">
        <f t="shared" ca="1" si="23"/>
        <v>#N/A</v>
      </c>
    </row>
    <row r="39" spans="1:74" ht="17.25" thickBot="1" x14ac:dyDescent="0.35">
      <c r="A39" s="43" t="s">
        <v>4</v>
      </c>
      <c r="B39" s="44">
        <f>스펙계산기!C20</f>
        <v>0</v>
      </c>
      <c r="C39" s="47" t="s">
        <v>62</v>
      </c>
      <c r="D39" s="58">
        <f>스펙계산기!H5</f>
        <v>0</v>
      </c>
      <c r="E39" s="81" t="s">
        <v>144</v>
      </c>
      <c r="F39" s="82" t="s">
        <v>142</v>
      </c>
      <c r="G39" s="48"/>
      <c r="H39" s="48"/>
      <c r="I39" s="48"/>
      <c r="J39" s="48"/>
      <c r="K39" s="48"/>
      <c r="L39" s="48"/>
      <c r="M39" s="48"/>
      <c r="N39" s="59" t="s">
        <v>154</v>
      </c>
      <c r="O39" s="60" t="e">
        <f ca="1">O38/O37-1</f>
        <v>#N/A</v>
      </c>
      <c r="P39" s="47">
        <v>11</v>
      </c>
      <c r="Q39" s="48">
        <v>50</v>
      </c>
      <c r="R39" s="58">
        <f t="shared" si="24"/>
        <v>200</v>
      </c>
      <c r="S39" s="61" t="s">
        <v>36</v>
      </c>
      <c r="T39" s="58">
        <f>부스탯</f>
        <v>0</v>
      </c>
      <c r="U39" s="61" t="s">
        <v>36</v>
      </c>
      <c r="V39" s="58">
        <f>부스탯</f>
        <v>0</v>
      </c>
      <c r="W39" s="80">
        <v>152</v>
      </c>
      <c r="X39" s="73">
        <v>42</v>
      </c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74" t="e">
        <f t="shared" ca="1" si="0"/>
        <v>#N/A</v>
      </c>
      <c r="AZ39" s="74" t="e">
        <f t="shared" ca="1" si="1"/>
        <v>#N/A</v>
      </c>
      <c r="BA39" s="74" t="e">
        <f t="shared" ca="1" si="2"/>
        <v>#N/A</v>
      </c>
      <c r="BB39" s="74" t="e">
        <f t="shared" ca="1" si="3"/>
        <v>#N/A</v>
      </c>
      <c r="BC39" s="74" t="e">
        <f t="shared" ca="1" si="4"/>
        <v>#N/A</v>
      </c>
      <c r="BD39" s="74" t="e">
        <f t="shared" ca="1" si="5"/>
        <v>#N/A</v>
      </c>
      <c r="BE39" s="49" t="e">
        <f t="shared" ca="1" si="6"/>
        <v>#N/A</v>
      </c>
      <c r="BF39" s="49" t="e">
        <f t="shared" ca="1" si="10"/>
        <v>#N/A</v>
      </c>
      <c r="BG39" s="49" t="e">
        <f t="shared" ca="1" si="7"/>
        <v>#N/A</v>
      </c>
      <c r="BH39" s="49" t="e">
        <f t="shared" ca="1" si="11"/>
        <v>#N/A</v>
      </c>
      <c r="BI39" s="49">
        <f t="shared" si="8"/>
        <v>0</v>
      </c>
      <c r="BJ39" s="49" t="e">
        <f t="shared" ca="1" si="12"/>
        <v>#N/A</v>
      </c>
      <c r="BK39" s="71" t="e">
        <f t="shared" ca="1" si="13"/>
        <v>#N/A</v>
      </c>
      <c r="BL39" s="71" t="e">
        <f t="shared" ca="1" si="14"/>
        <v>#N/A</v>
      </c>
      <c r="BM39" s="71" t="e">
        <f t="shared" ca="1" si="15"/>
        <v>#N/A</v>
      </c>
      <c r="BN39" s="71" t="e">
        <f t="shared" ca="1" si="16"/>
        <v>#N/A</v>
      </c>
      <c r="BO39" s="75" t="e">
        <f t="shared" ca="1" si="9"/>
        <v>#N/A</v>
      </c>
      <c r="BP39" s="49" t="e">
        <f t="shared" ca="1" si="17"/>
        <v>#N/A</v>
      </c>
      <c r="BQ39" s="49" t="e">
        <f t="shared" ca="1" si="18"/>
        <v>#N/A</v>
      </c>
      <c r="BR39" s="49" t="e">
        <f t="shared" ca="1" si="19"/>
        <v>#N/A</v>
      </c>
      <c r="BS39" s="49" t="e">
        <f t="shared" ca="1" si="20"/>
        <v>#N/A</v>
      </c>
      <c r="BT39" s="49" t="e">
        <f t="shared" ca="1" si="21"/>
        <v>#N/A</v>
      </c>
      <c r="BU39" s="49" t="e">
        <f t="shared" ca="1" si="22"/>
        <v>#N/A</v>
      </c>
      <c r="BV39" s="49" t="e">
        <f t="shared" ca="1" si="23"/>
        <v>#N/A</v>
      </c>
    </row>
    <row r="40" spans="1:74" x14ac:dyDescent="0.3">
      <c r="A40" s="47" t="s">
        <v>11</v>
      </c>
      <c r="B40" s="48">
        <f>스펙계산기!C21</f>
        <v>0</v>
      </c>
      <c r="C40" s="47" t="s">
        <v>65</v>
      </c>
      <c r="D40" s="58">
        <f>스펙계산기!F6</f>
        <v>0</v>
      </c>
      <c r="E40" s="47" t="e">
        <f ca="1">ROUNDDOWN(F43,)</f>
        <v>#DIV/0!</v>
      </c>
      <c r="F40" s="58" t="e">
        <f ca="1">ROUNDDOWN((4*D33+D34)*ROUNDDOWN(E40*(1+D42),)*(1+D36)*(1+D38)*D30/100,)</f>
        <v>#DIV/0!</v>
      </c>
      <c r="H40" s="48"/>
      <c r="I40" s="48"/>
      <c r="J40" s="48"/>
      <c r="K40" s="48"/>
      <c r="L40" s="48"/>
      <c r="M40" s="48"/>
      <c r="N40" s="48"/>
      <c r="P40" s="83">
        <v>12</v>
      </c>
      <c r="Q40" s="49">
        <v>65</v>
      </c>
      <c r="R40" s="58">
        <f t="shared" si="24"/>
        <v>265</v>
      </c>
      <c r="S40" s="48" t="s">
        <v>74</v>
      </c>
      <c r="T40" s="84">
        <f>데미지-T34*0.03</f>
        <v>0</v>
      </c>
      <c r="U40" s="48" t="s">
        <v>74</v>
      </c>
      <c r="V40" s="84" t="e">
        <f ca="1">T40+V34*0.03</f>
        <v>#N/A</v>
      </c>
      <c r="W40" s="80">
        <v>153</v>
      </c>
      <c r="X40" s="73">
        <v>46</v>
      </c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74" t="e">
        <f t="shared" ca="1" si="0"/>
        <v>#N/A</v>
      </c>
      <c r="AZ40" s="74" t="e">
        <f t="shared" ca="1" si="1"/>
        <v>#N/A</v>
      </c>
      <c r="BA40" s="74" t="e">
        <f t="shared" ca="1" si="2"/>
        <v>#N/A</v>
      </c>
      <c r="BB40" s="74" t="e">
        <f t="shared" ca="1" si="3"/>
        <v>#N/A</v>
      </c>
      <c r="BC40" s="74" t="e">
        <f t="shared" ca="1" si="4"/>
        <v>#N/A</v>
      </c>
      <c r="BD40" s="74" t="e">
        <f t="shared" ca="1" si="5"/>
        <v>#N/A</v>
      </c>
      <c r="BE40" s="49" t="e">
        <f t="shared" ca="1" si="6"/>
        <v>#N/A</v>
      </c>
      <c r="BF40" s="49" t="e">
        <f t="shared" ca="1" si="10"/>
        <v>#N/A</v>
      </c>
      <c r="BG40" s="49" t="e">
        <f t="shared" ca="1" si="7"/>
        <v>#N/A</v>
      </c>
      <c r="BH40" s="49" t="e">
        <f t="shared" ca="1" si="11"/>
        <v>#N/A</v>
      </c>
      <c r="BI40" s="49">
        <f t="shared" si="8"/>
        <v>0</v>
      </c>
      <c r="BJ40" s="49" t="e">
        <f t="shared" ca="1" si="12"/>
        <v>#N/A</v>
      </c>
      <c r="BK40" s="71" t="e">
        <f t="shared" ca="1" si="13"/>
        <v>#N/A</v>
      </c>
      <c r="BL40" s="71" t="e">
        <f t="shared" ca="1" si="14"/>
        <v>#N/A</v>
      </c>
      <c r="BM40" s="71" t="e">
        <f t="shared" ca="1" si="15"/>
        <v>#N/A</v>
      </c>
      <c r="BN40" s="71" t="e">
        <f t="shared" ca="1" si="16"/>
        <v>#N/A</v>
      </c>
      <c r="BO40" s="75" t="e">
        <f t="shared" ca="1" si="9"/>
        <v>#N/A</v>
      </c>
      <c r="BP40" s="49" t="e">
        <f t="shared" ca="1" si="17"/>
        <v>#N/A</v>
      </c>
      <c r="BQ40" s="49" t="e">
        <f t="shared" ca="1" si="18"/>
        <v>#N/A</v>
      </c>
      <c r="BR40" s="49" t="e">
        <f t="shared" ca="1" si="19"/>
        <v>#N/A</v>
      </c>
      <c r="BS40" s="49" t="e">
        <f t="shared" ca="1" si="20"/>
        <v>#N/A</v>
      </c>
      <c r="BT40" s="49" t="e">
        <f t="shared" ca="1" si="21"/>
        <v>#N/A</v>
      </c>
      <c r="BU40" s="49" t="e">
        <f t="shared" ca="1" si="22"/>
        <v>#N/A</v>
      </c>
      <c r="BV40" s="49" t="e">
        <f t="shared" ca="1" si="23"/>
        <v>#N/A</v>
      </c>
    </row>
    <row r="41" spans="1:74" ht="17.25" thickBot="1" x14ac:dyDescent="0.35">
      <c r="A41" s="47" t="s">
        <v>39</v>
      </c>
      <c r="B41" s="48">
        <f>스펙계산기!C22</f>
        <v>0</v>
      </c>
      <c r="C41" s="47" t="s">
        <v>59</v>
      </c>
      <c r="D41" s="58">
        <f>스펙계산기!F7</f>
        <v>0</v>
      </c>
      <c r="E41" s="59" t="e">
        <f ca="1">ROUNDUP(F43,)</f>
        <v>#DIV/0!</v>
      </c>
      <c r="F41" s="60" t="e">
        <f ca="1">ROUNDDOWN((4*D33+D34)*ROUNDDOWN(E41*(1+D42),)*(1+D36)*(1+D38)*D30/100,)</f>
        <v>#DIV/0!</v>
      </c>
      <c r="G41" s="48"/>
      <c r="H41" s="48"/>
      <c r="I41" s="48"/>
      <c r="J41" s="48"/>
      <c r="K41" s="48"/>
      <c r="L41" s="48"/>
      <c r="M41" s="48"/>
      <c r="N41" s="48"/>
      <c r="P41" s="83">
        <v>13</v>
      </c>
      <c r="Q41" s="49">
        <v>80</v>
      </c>
      <c r="R41" s="58">
        <f t="shared" si="24"/>
        <v>345</v>
      </c>
      <c r="S41" s="48" t="s">
        <v>77</v>
      </c>
      <c r="T41" s="85">
        <f>보공-(T35*3+MAX(0,T35-5))/100</f>
        <v>0</v>
      </c>
      <c r="U41" s="48" t="s">
        <v>77</v>
      </c>
      <c r="V41" s="85" t="e">
        <f ca="1">T41+(V35*3+MAX(0,V35-5))/100</f>
        <v>#N/A</v>
      </c>
      <c r="W41" s="80">
        <v>154</v>
      </c>
      <c r="X41" s="73">
        <v>50</v>
      </c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74" t="e">
        <f t="shared" ca="1" si="0"/>
        <v>#N/A</v>
      </c>
      <c r="AZ41" s="74" t="e">
        <f t="shared" ca="1" si="1"/>
        <v>#N/A</v>
      </c>
      <c r="BA41" s="74" t="e">
        <f t="shared" ca="1" si="2"/>
        <v>#N/A</v>
      </c>
      <c r="BB41" s="74" t="e">
        <f t="shared" ca="1" si="3"/>
        <v>#N/A</v>
      </c>
      <c r="BC41" s="74" t="e">
        <f t="shared" ca="1" si="4"/>
        <v>#N/A</v>
      </c>
      <c r="BD41" s="74" t="e">
        <f t="shared" ca="1" si="5"/>
        <v>#N/A</v>
      </c>
      <c r="BE41" s="49" t="e">
        <f t="shared" ca="1" si="6"/>
        <v>#N/A</v>
      </c>
      <c r="BF41" s="49" t="e">
        <f t="shared" ca="1" si="10"/>
        <v>#N/A</v>
      </c>
      <c r="BG41" s="49" t="e">
        <f t="shared" ca="1" si="7"/>
        <v>#N/A</v>
      </c>
      <c r="BH41" s="49" t="e">
        <f t="shared" ca="1" si="11"/>
        <v>#N/A</v>
      </c>
      <c r="BI41" s="49">
        <f t="shared" si="8"/>
        <v>0</v>
      </c>
      <c r="BJ41" s="49" t="e">
        <f t="shared" ca="1" si="12"/>
        <v>#N/A</v>
      </c>
      <c r="BK41" s="71" t="e">
        <f t="shared" ca="1" si="13"/>
        <v>#N/A</v>
      </c>
      <c r="BL41" s="71" t="e">
        <f t="shared" ca="1" si="14"/>
        <v>#N/A</v>
      </c>
      <c r="BM41" s="71" t="e">
        <f t="shared" ca="1" si="15"/>
        <v>#N/A</v>
      </c>
      <c r="BN41" s="71" t="e">
        <f t="shared" ca="1" si="16"/>
        <v>#N/A</v>
      </c>
      <c r="BO41" s="75" t="e">
        <f t="shared" ca="1" si="9"/>
        <v>#N/A</v>
      </c>
      <c r="BP41" s="49" t="e">
        <f t="shared" ca="1" si="17"/>
        <v>#N/A</v>
      </c>
      <c r="BQ41" s="49" t="e">
        <f t="shared" ca="1" si="18"/>
        <v>#N/A</v>
      </c>
      <c r="BR41" s="49" t="e">
        <f t="shared" ca="1" si="19"/>
        <v>#N/A</v>
      </c>
      <c r="BS41" s="49" t="e">
        <f t="shared" ca="1" si="20"/>
        <v>#N/A</v>
      </c>
      <c r="BT41" s="49" t="e">
        <f t="shared" ca="1" si="21"/>
        <v>#N/A</v>
      </c>
      <c r="BU41" s="49" t="e">
        <f t="shared" ca="1" si="22"/>
        <v>#N/A</v>
      </c>
      <c r="BV41" s="49" t="e">
        <f t="shared" ca="1" si="23"/>
        <v>#N/A</v>
      </c>
    </row>
    <row r="42" spans="1:74" ht="17.25" thickBot="1" x14ac:dyDescent="0.35">
      <c r="A42" s="47" t="s">
        <v>48</v>
      </c>
      <c r="B42" s="48">
        <f>스펙계산기!C23</f>
        <v>0</v>
      </c>
      <c r="C42" s="47" t="s">
        <v>79</v>
      </c>
      <c r="D42" s="58">
        <f ca="1">스펙계산기!F8+B23</f>
        <v>0.2</v>
      </c>
      <c r="E42" s="81" t="s">
        <v>140</v>
      </c>
      <c r="F42" s="82" t="e">
        <f ca="1">VLOOKUP(D35,E40:F41,1,TRUE)</f>
        <v>#N/A</v>
      </c>
      <c r="G42" s="48"/>
      <c r="H42" s="48"/>
      <c r="I42" s="48"/>
      <c r="J42" s="48"/>
      <c r="K42" s="48"/>
      <c r="L42" s="48"/>
      <c r="M42" s="48"/>
      <c r="N42" s="48"/>
      <c r="P42" s="83">
        <v>14</v>
      </c>
      <c r="Q42" s="49">
        <v>95</v>
      </c>
      <c r="R42" s="58">
        <f t="shared" si="24"/>
        <v>440</v>
      </c>
      <c r="S42" s="48" t="s">
        <v>62</v>
      </c>
      <c r="T42" s="86">
        <f>1-(1-방무)/(1-T33*0.03)</f>
        <v>0</v>
      </c>
      <c r="U42" s="48" t="s">
        <v>62</v>
      </c>
      <c r="V42" s="86" t="e">
        <f ca="1">1-(1-T42)*(1-V33*0.03)</f>
        <v>#N/A</v>
      </c>
      <c r="W42" s="80">
        <v>155</v>
      </c>
      <c r="X42" s="73">
        <v>54</v>
      </c>
      <c r="Z42" s="61"/>
      <c r="AA42" s="61"/>
      <c r="AB42" s="61"/>
      <c r="AC42" s="61"/>
      <c r="AD42" s="61"/>
      <c r="AE42" s="61"/>
      <c r="AF42" s="61"/>
      <c r="AG42" s="61" t="s">
        <v>245</v>
      </c>
      <c r="AH42" s="61"/>
      <c r="AI42" s="61"/>
      <c r="AJ42" s="61"/>
      <c r="AK42" s="61"/>
      <c r="AL42" s="61"/>
      <c r="AM42" s="61" t="s">
        <v>212</v>
      </c>
      <c r="AN42" s="61"/>
      <c r="AO42" s="61"/>
      <c r="AP42" s="61"/>
      <c r="AQ42" s="61"/>
      <c r="AR42" s="61"/>
      <c r="AS42" s="61" t="s">
        <v>243</v>
      </c>
      <c r="AT42" s="61"/>
      <c r="AU42" s="61"/>
      <c r="AV42" s="61"/>
      <c r="AW42" s="61"/>
      <c r="AX42" s="61"/>
      <c r="AY42" s="74" t="e">
        <f t="shared" ca="1" si="0"/>
        <v>#N/A</v>
      </c>
      <c r="AZ42" s="74" t="e">
        <f t="shared" ca="1" si="1"/>
        <v>#N/A</v>
      </c>
      <c r="BA42" s="74" t="e">
        <f t="shared" ca="1" si="2"/>
        <v>#N/A</v>
      </c>
      <c r="BB42" s="74" t="e">
        <f t="shared" ca="1" si="3"/>
        <v>#N/A</v>
      </c>
      <c r="BC42" s="74" t="e">
        <f t="shared" ca="1" si="4"/>
        <v>#N/A</v>
      </c>
      <c r="BD42" s="74" t="e">
        <f t="shared" ca="1" si="5"/>
        <v>#N/A</v>
      </c>
      <c r="BE42" s="49" t="e">
        <f t="shared" ca="1" si="6"/>
        <v>#N/A</v>
      </c>
      <c r="BF42" s="49" t="e">
        <f t="shared" ca="1" si="10"/>
        <v>#N/A</v>
      </c>
      <c r="BG42" s="49" t="e">
        <f t="shared" ca="1" si="7"/>
        <v>#N/A</v>
      </c>
      <c r="BH42" s="49" t="e">
        <f t="shared" ca="1" si="11"/>
        <v>#N/A</v>
      </c>
      <c r="BI42" s="49">
        <f t="shared" si="8"/>
        <v>0</v>
      </c>
      <c r="BJ42" s="49" t="e">
        <f t="shared" ca="1" si="12"/>
        <v>#N/A</v>
      </c>
      <c r="BK42" s="71" t="e">
        <f t="shared" ca="1" si="13"/>
        <v>#N/A</v>
      </c>
      <c r="BL42" s="71" t="e">
        <f t="shared" ca="1" si="14"/>
        <v>#N/A</v>
      </c>
      <c r="BM42" s="71" t="e">
        <f t="shared" ca="1" si="15"/>
        <v>#N/A</v>
      </c>
      <c r="BN42" s="71" t="e">
        <f t="shared" ca="1" si="16"/>
        <v>#N/A</v>
      </c>
      <c r="BO42" s="75" t="e">
        <f t="shared" ca="1" si="9"/>
        <v>#N/A</v>
      </c>
      <c r="BP42" s="49" t="e">
        <f t="shared" ca="1" si="17"/>
        <v>#N/A</v>
      </c>
      <c r="BQ42" s="49" t="e">
        <f t="shared" ca="1" si="18"/>
        <v>#N/A</v>
      </c>
      <c r="BR42" s="49" t="e">
        <f t="shared" ca="1" si="19"/>
        <v>#N/A</v>
      </c>
      <c r="BS42" s="49" t="e">
        <f t="shared" ca="1" si="20"/>
        <v>#N/A</v>
      </c>
      <c r="BT42" s="49" t="e">
        <f t="shared" ca="1" si="21"/>
        <v>#N/A</v>
      </c>
      <c r="BU42" s="49" t="e">
        <f t="shared" ca="1" si="22"/>
        <v>#N/A</v>
      </c>
      <c r="BV42" s="49" t="e">
        <f t="shared" ca="1" si="23"/>
        <v>#N/A</v>
      </c>
    </row>
    <row r="43" spans="1:74" ht="17.25" thickBot="1" x14ac:dyDescent="0.35">
      <c r="A43" s="47" t="s">
        <v>138</v>
      </c>
      <c r="B43" s="48">
        <f ca="1">VLOOKUP(주스탯종류,A39:B42,2,FALSE)</f>
        <v>0</v>
      </c>
      <c r="C43" s="47" t="s">
        <v>137</v>
      </c>
      <c r="D43" s="58">
        <f>스펙계산기!H8*10</f>
        <v>0</v>
      </c>
      <c r="E43" s="43" t="s">
        <v>141</v>
      </c>
      <c r="F43" s="57" t="e">
        <f ca="1">D35/(1+D36)/(1+D38)/(1+D42)/(4*D33+D34)/D30*100</f>
        <v>#DIV/0!</v>
      </c>
      <c r="G43" s="48"/>
      <c r="H43" s="48"/>
      <c r="I43" s="48"/>
      <c r="J43" s="48"/>
      <c r="K43" s="48"/>
      <c r="L43" s="48"/>
      <c r="M43" s="48"/>
      <c r="N43" s="48"/>
      <c r="P43" s="87">
        <v>15</v>
      </c>
      <c r="Q43" s="88">
        <v>110</v>
      </c>
      <c r="R43" s="60">
        <f t="shared" si="24"/>
        <v>550</v>
      </c>
      <c r="S43" s="47" t="s">
        <v>65</v>
      </c>
      <c r="T43" s="85">
        <f>크확-(T31+MAX(0,T31-5))/100</f>
        <v>0</v>
      </c>
      <c r="U43" s="47" t="s">
        <v>65</v>
      </c>
      <c r="V43" s="85" t="e">
        <f ca="1">T43+(V31+MAX(0,V31-5))/100</f>
        <v>#N/A</v>
      </c>
      <c r="W43" s="80">
        <v>156</v>
      </c>
      <c r="X43" s="73">
        <v>58</v>
      </c>
      <c r="Z43" s="61"/>
      <c r="AA43" s="61"/>
      <c r="AB43" s="61"/>
      <c r="AC43" s="61"/>
      <c r="AD43" s="61"/>
      <c r="AE43" s="61" t="s">
        <v>220</v>
      </c>
      <c r="AF43" s="61" t="s">
        <v>218</v>
      </c>
      <c r="AG43" s="48" t="s">
        <v>230</v>
      </c>
      <c r="AH43" s="61" t="s">
        <v>229</v>
      </c>
      <c r="AI43" s="61" t="s">
        <v>221</v>
      </c>
      <c r="AJ43" s="61" t="s">
        <v>225</v>
      </c>
      <c r="AK43" s="61" t="s">
        <v>237</v>
      </c>
      <c r="AL43" s="61" t="s">
        <v>223</v>
      </c>
      <c r="AM43" s="48" t="s">
        <v>230</v>
      </c>
      <c r="AN43" s="61" t="s">
        <v>229</v>
      </c>
      <c r="AO43" s="61" t="s">
        <v>221</v>
      </c>
      <c r="AP43" s="61" t="s">
        <v>225</v>
      </c>
      <c r="AQ43" s="61" t="s">
        <v>237</v>
      </c>
      <c r="AR43" s="61" t="s">
        <v>223</v>
      </c>
      <c r="AS43" s="48" t="s">
        <v>231</v>
      </c>
      <c r="AT43" s="61" t="s">
        <v>229</v>
      </c>
      <c r="AU43" s="61" t="s">
        <v>221</v>
      </c>
      <c r="AV43" s="61" t="s">
        <v>225</v>
      </c>
      <c r="AW43" s="61" t="s">
        <v>237</v>
      </c>
      <c r="AX43" s="61" t="s">
        <v>223</v>
      </c>
      <c r="AY43" s="74" t="e">
        <f t="shared" ca="1" si="0"/>
        <v>#N/A</v>
      </c>
      <c r="AZ43" s="74" t="e">
        <f t="shared" ca="1" si="1"/>
        <v>#N/A</v>
      </c>
      <c r="BA43" s="74" t="e">
        <f t="shared" ca="1" si="2"/>
        <v>#N/A</v>
      </c>
      <c r="BB43" s="74" t="e">
        <f t="shared" ca="1" si="3"/>
        <v>#N/A</v>
      </c>
      <c r="BC43" s="74" t="e">
        <f t="shared" ca="1" si="4"/>
        <v>#N/A</v>
      </c>
      <c r="BD43" s="74" t="e">
        <f t="shared" ca="1" si="5"/>
        <v>#N/A</v>
      </c>
      <c r="BE43" s="49" t="e">
        <f t="shared" ca="1" si="6"/>
        <v>#N/A</v>
      </c>
      <c r="BF43" s="49" t="e">
        <f t="shared" ca="1" si="10"/>
        <v>#N/A</v>
      </c>
      <c r="BG43" s="49" t="e">
        <f t="shared" ca="1" si="7"/>
        <v>#N/A</v>
      </c>
      <c r="BH43" s="49" t="e">
        <f t="shared" ca="1" si="11"/>
        <v>#N/A</v>
      </c>
      <c r="BI43" s="49">
        <f t="shared" si="8"/>
        <v>0</v>
      </c>
      <c r="BJ43" s="49" t="e">
        <f t="shared" ca="1" si="12"/>
        <v>#N/A</v>
      </c>
      <c r="BK43" s="71" t="e">
        <f t="shared" ca="1" si="13"/>
        <v>#N/A</v>
      </c>
      <c r="BL43" s="71" t="e">
        <f t="shared" ca="1" si="14"/>
        <v>#N/A</v>
      </c>
      <c r="BM43" s="71" t="e">
        <f t="shared" ca="1" si="15"/>
        <v>#N/A</v>
      </c>
      <c r="BN43" s="71" t="e">
        <f t="shared" ca="1" si="16"/>
        <v>#N/A</v>
      </c>
      <c r="BO43" s="75" t="e">
        <f t="shared" ca="1" si="9"/>
        <v>#N/A</v>
      </c>
      <c r="BP43" s="49" t="e">
        <f t="shared" ca="1" si="17"/>
        <v>#N/A</v>
      </c>
      <c r="BQ43" s="49" t="e">
        <f t="shared" ca="1" si="18"/>
        <v>#N/A</v>
      </c>
      <c r="BR43" s="49" t="e">
        <f t="shared" ca="1" si="19"/>
        <v>#N/A</v>
      </c>
      <c r="BS43" s="49" t="e">
        <f t="shared" ca="1" si="20"/>
        <v>#N/A</v>
      </c>
      <c r="BT43" s="49" t="e">
        <f t="shared" ca="1" si="21"/>
        <v>#N/A</v>
      </c>
      <c r="BU43" s="49" t="e">
        <f t="shared" ca="1" si="22"/>
        <v>#N/A</v>
      </c>
      <c r="BV43" s="49" t="e">
        <f t="shared" ca="1" si="23"/>
        <v>#N/A</v>
      </c>
    </row>
    <row r="44" spans="1:74" ht="17.25" thickBot="1" x14ac:dyDescent="0.35">
      <c r="A44" s="43" t="str">
        <f ca="1">주스탯종류</f>
        <v>DEX</v>
      </c>
      <c r="B44" s="57">
        <v>0</v>
      </c>
      <c r="C44" s="59" t="s">
        <v>139</v>
      </c>
      <c r="D44" s="89">
        <f ca="1">D43+스펙계산기!G9+스펙계산기!G10+B43</f>
        <v>0</v>
      </c>
      <c r="E44" s="59" t="s">
        <v>143</v>
      </c>
      <c r="F44" s="60">
        <f ca="1">IFERROR(F42,0)</f>
        <v>0</v>
      </c>
      <c r="G44" s="48"/>
      <c r="H44" s="48"/>
      <c r="I44" s="48"/>
      <c r="J44" s="48"/>
      <c r="K44" s="48"/>
      <c r="L44" s="48"/>
      <c r="M44" s="48"/>
      <c r="N44" s="48"/>
      <c r="S44" s="47" t="s">
        <v>59</v>
      </c>
      <c r="T44" s="86">
        <f>크뎀-T32*0.01-IF(크리인=1,(T31+MAX(0,T31-5))/100*크리인뎀,)</f>
        <v>0</v>
      </c>
      <c r="U44" s="47" t="s">
        <v>59</v>
      </c>
      <c r="V44" s="86" t="e">
        <f ca="1">T44+V32*0.01+IF(크리인=1,(V31+MAX(0,V31-5))/100*크리인뎀,)</f>
        <v>#N/A</v>
      </c>
      <c r="W44" s="80">
        <v>157</v>
      </c>
      <c r="X44" s="73">
        <v>62</v>
      </c>
      <c r="Y44" s="48" t="s">
        <v>230</v>
      </c>
      <c r="Z44" s="61" t="s">
        <v>229</v>
      </c>
      <c r="AA44" s="61" t="s">
        <v>221</v>
      </c>
      <c r="AB44" s="61" t="s">
        <v>225</v>
      </c>
      <c r="AC44" s="61" t="s">
        <v>237</v>
      </c>
      <c r="AD44" s="61" t="s">
        <v>223</v>
      </c>
      <c r="AE44" s="61"/>
      <c r="AF44" s="61">
        <f>MAX(0,V57-12-V62)</f>
        <v>0</v>
      </c>
      <c r="AG44" s="61">
        <v>5</v>
      </c>
      <c r="AH44" s="61">
        <v>5</v>
      </c>
      <c r="AI44" s="61">
        <v>0</v>
      </c>
      <c r="AJ44" s="61">
        <v>0</v>
      </c>
      <c r="AK44" s="61">
        <v>0</v>
      </c>
      <c r="AL44" s="61">
        <v>0</v>
      </c>
      <c r="AM44" s="61">
        <f>10</f>
        <v>10</v>
      </c>
      <c r="AN44" s="61">
        <f>10</f>
        <v>10</v>
      </c>
      <c r="AO44" s="61" t="e">
        <f>V56</f>
        <v>#N/A</v>
      </c>
      <c r="AP44" s="61" t="e">
        <f>V56</f>
        <v>#N/A</v>
      </c>
      <c r="AQ44" s="61" t="e">
        <f>V56</f>
        <v>#N/A</v>
      </c>
      <c r="AR44" s="61" t="e">
        <f>V56</f>
        <v>#N/A</v>
      </c>
      <c r="AS44" s="61">
        <f ca="1">순스탯-5*(V48-5)</f>
        <v>25</v>
      </c>
      <c r="AT44" s="61">
        <f ca="1">공마-(V49-5)</f>
        <v>5</v>
      </c>
      <c r="AU44" s="61">
        <f>크뎀-V50*0.005</f>
        <v>0</v>
      </c>
      <c r="AV44" s="61">
        <f>MIN(1,크확-V51*0.01)</f>
        <v>0</v>
      </c>
      <c r="AW44" s="61">
        <f>보공-V52*0.01</f>
        <v>0</v>
      </c>
      <c r="AX44" s="61">
        <f>1-(1-방무)/(1-V53*0.01)</f>
        <v>0</v>
      </c>
      <c r="AY44" s="74" t="e">
        <f t="shared" ca="1" si="0"/>
        <v>#N/A</v>
      </c>
      <c r="AZ44" s="74" t="e">
        <f t="shared" ca="1" si="1"/>
        <v>#N/A</v>
      </c>
      <c r="BA44" s="74" t="e">
        <f t="shared" ca="1" si="2"/>
        <v>#N/A</v>
      </c>
      <c r="BB44" s="74" t="e">
        <f t="shared" ca="1" si="3"/>
        <v>#N/A</v>
      </c>
      <c r="BC44" s="74" t="e">
        <f t="shared" ca="1" si="4"/>
        <v>#N/A</v>
      </c>
      <c r="BD44" s="74" t="e">
        <f t="shared" ca="1" si="5"/>
        <v>#N/A</v>
      </c>
      <c r="BE44" s="49" t="e">
        <f t="shared" ca="1" si="6"/>
        <v>#N/A</v>
      </c>
      <c r="BF44" s="49" t="e">
        <f t="shared" ca="1" si="10"/>
        <v>#N/A</v>
      </c>
      <c r="BG44" s="49" t="e">
        <f t="shared" ca="1" si="7"/>
        <v>#N/A</v>
      </c>
      <c r="BH44" s="49" t="e">
        <f t="shared" ca="1" si="11"/>
        <v>#N/A</v>
      </c>
      <c r="BI44" s="49">
        <f t="shared" si="8"/>
        <v>0</v>
      </c>
      <c r="BJ44" s="49" t="e">
        <f t="shared" ca="1" si="12"/>
        <v>#N/A</v>
      </c>
      <c r="BK44" s="71" t="e">
        <f t="shared" ca="1" si="13"/>
        <v>#N/A</v>
      </c>
      <c r="BL44" s="71" t="e">
        <f t="shared" ca="1" si="14"/>
        <v>#N/A</v>
      </c>
      <c r="BM44" s="71" t="e">
        <f t="shared" ca="1" si="15"/>
        <v>#N/A</v>
      </c>
      <c r="BN44" s="71" t="e">
        <f t="shared" ca="1" si="16"/>
        <v>#N/A</v>
      </c>
      <c r="BO44" s="75" t="e">
        <f t="shared" ca="1" si="9"/>
        <v>#N/A</v>
      </c>
      <c r="BP44" s="49" t="e">
        <f t="shared" ca="1" si="17"/>
        <v>#N/A</v>
      </c>
      <c r="BQ44" s="49" t="e">
        <f t="shared" ca="1" si="18"/>
        <v>#N/A</v>
      </c>
      <c r="BR44" s="49" t="e">
        <f t="shared" ca="1" si="19"/>
        <v>#N/A</v>
      </c>
      <c r="BS44" s="49" t="e">
        <f t="shared" ca="1" si="20"/>
        <v>#N/A</v>
      </c>
      <c r="BT44" s="49" t="e">
        <f t="shared" ca="1" si="21"/>
        <v>#N/A</v>
      </c>
      <c r="BU44" s="49" t="e">
        <f t="shared" ca="1" si="22"/>
        <v>#N/A</v>
      </c>
      <c r="BV44" s="49" t="e">
        <f t="shared" ca="1" si="23"/>
        <v>#N/A</v>
      </c>
    </row>
    <row r="45" spans="1:74" ht="17.25" thickBot="1" x14ac:dyDescent="0.35">
      <c r="A45" s="47" t="str">
        <f ca="1">주스탯종류&amp;"%"</f>
        <v>DEX%</v>
      </c>
      <c r="B45" s="58">
        <v>1</v>
      </c>
      <c r="C45" s="90" t="s">
        <v>148</v>
      </c>
      <c r="D45" s="82"/>
      <c r="E45" s="81" t="s">
        <v>146</v>
      </c>
      <c r="F45" s="82"/>
      <c r="G45" s="81" t="s">
        <v>154</v>
      </c>
      <c r="H45" s="90"/>
      <c r="I45" s="81" t="s">
        <v>154</v>
      </c>
      <c r="J45" s="82"/>
      <c r="K45" s="43" t="s">
        <v>155</v>
      </c>
      <c r="L45" s="44"/>
      <c r="M45" s="44" t="s">
        <v>42</v>
      </c>
      <c r="N45" s="44">
        <f ca="1">(4*ROUNDDOWN(순스탯*(1+스탯퍼/100)+D57,)+부스탯)*ROUNDDOWN(공마*(1+공마퍼),)*(1+데미지+보공)*(MIN(1,크확)*(1.35+크뎀)+(1-MIN(1,크확)))</f>
        <v>0</v>
      </c>
      <c r="O45" s="44"/>
      <c r="P45" s="57"/>
      <c r="S45" s="59" t="s">
        <v>353</v>
      </c>
      <c r="T45" s="60">
        <f ca="1">공마-T36*3</f>
        <v>0</v>
      </c>
      <c r="U45" s="59" t="s">
        <v>347</v>
      </c>
      <c r="V45" s="60" t="e">
        <f ca="1">T45+V36*3</f>
        <v>#N/A</v>
      </c>
      <c r="W45" s="80">
        <v>158</v>
      </c>
      <c r="X45" s="73">
        <v>66</v>
      </c>
      <c r="Y45" s="48">
        <f t="shared" ref="Y45:Y108" si="25">IF(OR(AF44=0,AM44=0),0,(4*(ROUNDDOWN((AS44+5)*(1+$V$58),)+$V$59)+$V$60)/(4*(ROUNDDOWN(AS44*(1+$V$58),)+$V$59)+$V$60)-1)</f>
        <v>0</v>
      </c>
      <c r="Z45" s="61">
        <f t="shared" ref="Z45:Z108" si="26">IF(OR(AF44=0,AN44=0),0,ROUNDDOWN((AT44+1)*(1+공마퍼),)/ROUNDDOWN(AT44*(1+공마퍼),)-1)</f>
        <v>0</v>
      </c>
      <c r="AA45" s="61" t="e">
        <f>IF(OR(AF44=0,AO44=0),0,(AV44*(1.35+AU44+0.01)+1-AV44)/(AV44*(1.35+AU44)+1-AV44)-1)</f>
        <v>#N/A</v>
      </c>
      <c r="AB45" s="61" t="e">
        <f t="shared" ref="AB45:AB108" si="27">IF(OR(AF44=0,AP44=0),0,(MIN(1,AV44+0.01)*(1.35+AU44+IF(크리인=1,0.01*크리인뎀,))+1-MIN(1,AV44))/(MIN(1,AV44)*(1.35+AU44)+1-MIN(1,AV44))-1)</f>
        <v>#N/A</v>
      </c>
      <c r="AC45" s="61" t="e">
        <f t="shared" ref="AC45:AC108" si="28">IF(OR(AF44=0,AQ44=0),0,(1+데미지+AW44+IF(보스=0,0,0.01))/(1+데미지+AW44)-1)</f>
        <v>#N/A</v>
      </c>
      <c r="AD45" s="61" t="e">
        <f t="shared" ref="AD45:AD108" si="29">IF(OR(AF44=0,AR44=0),0,IF($V$61*(1-AX44)&gt;1,2,(1-$V$61*(1-AX44)/(1-AL44*0.01)*(1-(AL44+1)*0.01))/(1-$V$61*(1-AX44)))-1)</f>
        <v>#N/A</v>
      </c>
      <c r="AE45" s="61" t="e">
        <f>IF(SUM(Y45:AD45)=0,0,MATCH(MAX(Y45:AD45),Y45:AD45,0))</f>
        <v>#N/A</v>
      </c>
      <c r="AF45" s="61">
        <f>MAX(0,AF44-1)</f>
        <v>0</v>
      </c>
      <c r="AG45" s="61" t="e">
        <f>IF(AE45=1,AG44+1,AG44)</f>
        <v>#N/A</v>
      </c>
      <c r="AH45" s="61" t="e">
        <f>IF(AE45=2,AH44+1,AH44)</f>
        <v>#N/A</v>
      </c>
      <c r="AI45" s="61" t="e">
        <f>IF(AE45=3,AI44+1,AI44)</f>
        <v>#N/A</v>
      </c>
      <c r="AJ45" s="61" t="e">
        <f>IF(AE45=4,AJ44+1,AJ44)</f>
        <v>#N/A</v>
      </c>
      <c r="AK45" s="61" t="e">
        <f>IF(AE45=5,AK44+1,AK44)</f>
        <v>#N/A</v>
      </c>
      <c r="AL45" s="61" t="e">
        <f>IF(AE45=6,AL44+1,AL44)</f>
        <v>#N/A</v>
      </c>
      <c r="AM45" s="61" t="e">
        <f>IF(AE45=1,AM44-1,AM44)</f>
        <v>#N/A</v>
      </c>
      <c r="AN45" s="61" t="e">
        <f>IF(AE45=2,AN44-1,AN44)</f>
        <v>#N/A</v>
      </c>
      <c r="AO45" s="61" t="e">
        <f>IF(AE45=3,AO44-1,AO44)</f>
        <v>#N/A</v>
      </c>
      <c r="AP45" s="61" t="e">
        <f>IF(AE45=4,AP44-1,AP44)</f>
        <v>#N/A</v>
      </c>
      <c r="AQ45" s="61" t="e">
        <f>IF(AE45=5,AQ44-1,AQ44)</f>
        <v>#N/A</v>
      </c>
      <c r="AR45" s="61" t="e">
        <f>IF(AE45=6,AR44-1,AR44)</f>
        <v>#N/A</v>
      </c>
      <c r="AS45" s="61" t="e">
        <f ca="1">AS44+IF(AE45=1,5,0)</f>
        <v>#N/A</v>
      </c>
      <c r="AT45" s="61" t="e">
        <f ca="1">AT44+IF(AE45=2,1,0)</f>
        <v>#N/A</v>
      </c>
      <c r="AU45" s="61" t="e">
        <f t="shared" ref="AU45:AU108" si="30">AU44+IF(AE45=3,0.005,0)+IF(AE45=4,IF(크리인=1,0.01*크리인뎀,),0)</f>
        <v>#N/A</v>
      </c>
      <c r="AV45" s="61" t="e">
        <f>MIN(1,AV44+IF(AE45=4,0.01,0))</f>
        <v>#N/A</v>
      </c>
      <c r="AW45" s="61" t="e">
        <f>AW44+IF(AE45=5,0.01,0)</f>
        <v>#N/A</v>
      </c>
      <c r="AX45" s="61" t="e">
        <f>IF(AE45=6,1-(1-AX44)/(1-AL44*0.01)*(1-AL45*0.01),AX44)</f>
        <v>#N/A</v>
      </c>
      <c r="AY45" s="74" t="e">
        <f t="shared" ca="1" si="0"/>
        <v>#N/A</v>
      </c>
      <c r="AZ45" s="74" t="e">
        <f t="shared" ca="1" si="1"/>
        <v>#N/A</v>
      </c>
      <c r="BA45" s="74" t="e">
        <f t="shared" ca="1" si="2"/>
        <v>#N/A</v>
      </c>
      <c r="BB45" s="74" t="e">
        <f t="shared" ca="1" si="3"/>
        <v>#N/A</v>
      </c>
      <c r="BC45" s="74" t="e">
        <f t="shared" ca="1" si="4"/>
        <v>#N/A</v>
      </c>
      <c r="BD45" s="74" t="e">
        <f t="shared" ca="1" si="5"/>
        <v>#N/A</v>
      </c>
      <c r="BE45" s="49" t="e">
        <f t="shared" ca="1" si="6"/>
        <v>#N/A</v>
      </c>
      <c r="BF45" s="49" t="e">
        <f t="shared" ca="1" si="10"/>
        <v>#N/A</v>
      </c>
      <c r="BG45" s="49" t="e">
        <f t="shared" ca="1" si="7"/>
        <v>#N/A</v>
      </c>
      <c r="BH45" s="49" t="e">
        <f t="shared" ca="1" si="11"/>
        <v>#N/A</v>
      </c>
      <c r="BI45" s="49">
        <f t="shared" si="8"/>
        <v>0</v>
      </c>
      <c r="BJ45" s="49" t="e">
        <f t="shared" ca="1" si="12"/>
        <v>#N/A</v>
      </c>
      <c r="BK45" s="71" t="e">
        <f t="shared" ca="1" si="13"/>
        <v>#N/A</v>
      </c>
      <c r="BL45" s="71" t="e">
        <f t="shared" ca="1" si="14"/>
        <v>#N/A</v>
      </c>
      <c r="BM45" s="71" t="e">
        <f t="shared" ca="1" si="15"/>
        <v>#N/A</v>
      </c>
      <c r="BN45" s="71" t="e">
        <f t="shared" ca="1" si="16"/>
        <v>#N/A</v>
      </c>
      <c r="BO45" s="75" t="e">
        <f t="shared" ca="1" si="9"/>
        <v>#N/A</v>
      </c>
      <c r="BP45" s="49" t="e">
        <f t="shared" ca="1" si="17"/>
        <v>#N/A</v>
      </c>
      <c r="BQ45" s="49" t="e">
        <f t="shared" ca="1" si="18"/>
        <v>#N/A</v>
      </c>
      <c r="BR45" s="49" t="e">
        <f t="shared" ca="1" si="19"/>
        <v>#N/A</v>
      </c>
      <c r="BS45" s="49" t="e">
        <f t="shared" ca="1" si="20"/>
        <v>#N/A</v>
      </c>
      <c r="BT45" s="49" t="e">
        <f t="shared" ca="1" si="21"/>
        <v>#N/A</v>
      </c>
      <c r="BU45" s="49" t="e">
        <f t="shared" ca="1" si="22"/>
        <v>#N/A</v>
      </c>
      <c r="BV45" s="49" t="e">
        <f t="shared" ca="1" si="23"/>
        <v>#N/A</v>
      </c>
    </row>
    <row r="46" spans="1:74" ht="17.25" thickBot="1" x14ac:dyDescent="0.35">
      <c r="A46" s="47" t="str">
        <f ca="1">공마종류</f>
        <v>공격력</v>
      </c>
      <c r="B46" s="58">
        <v>2</v>
      </c>
      <c r="C46" s="44" t="s">
        <v>41</v>
      </c>
      <c r="D46" s="57">
        <f ca="1">D88+스펙계산기!F13</f>
        <v>0</v>
      </c>
      <c r="E46" s="43" t="s">
        <v>52</v>
      </c>
      <c r="F46" s="57" t="s">
        <v>3</v>
      </c>
      <c r="G46" s="43" t="s">
        <v>41</v>
      </c>
      <c r="H46" s="44">
        <f ca="1">순스탯+스펙계산기!K17</f>
        <v>0</v>
      </c>
      <c r="I46" s="43" t="s">
        <v>41</v>
      </c>
      <c r="J46" s="44">
        <f ca="1">순스탯+스펙계산기!K26</f>
        <v>0</v>
      </c>
      <c r="K46" s="59" t="str">
        <f ca="1">스펙계산기!O12</f>
        <v xml:space="preserve"> 주무기 총 공격력</v>
      </c>
      <c r="L46" s="78">
        <f>스펙계산기!R12</f>
        <v>0</v>
      </c>
      <c r="M46" s="78" t="s">
        <v>68</v>
      </c>
      <c r="N46" s="78">
        <f>D27</f>
        <v>0</v>
      </c>
      <c r="O46" s="78" t="s">
        <v>178</v>
      </c>
      <c r="P46" s="60">
        <f>메용스탯+부스탯+스펙계산기!C11</f>
        <v>0</v>
      </c>
      <c r="W46" s="80">
        <v>159</v>
      </c>
      <c r="X46" s="73">
        <v>70</v>
      </c>
      <c r="Y46" s="48" t="e">
        <f t="shared" si="25"/>
        <v>#N/A</v>
      </c>
      <c r="Z46" s="61" t="e">
        <f t="shared" si="26"/>
        <v>#N/A</v>
      </c>
      <c r="AA46" s="61" t="e">
        <f t="shared" ref="AA46:AA109" si="31">IF(OR(AF45=0,AO45=0),0,(AV45*(1.35+AU45+0.01)+1-AV45)/(AV45*(1.35+AU45)+1-AV45)-1)</f>
        <v>#N/A</v>
      </c>
      <c r="AB46" s="61" t="e">
        <f t="shared" si="27"/>
        <v>#N/A</v>
      </c>
      <c r="AC46" s="61" t="e">
        <f t="shared" si="28"/>
        <v>#N/A</v>
      </c>
      <c r="AD46" s="61" t="e">
        <f t="shared" si="29"/>
        <v>#N/A</v>
      </c>
      <c r="AE46" s="61" t="e">
        <f t="shared" ref="AE46:AE109" si="32">IF(SUM(Y46:AD46)=0,0,MATCH(MAX(Y46:AD46),Y46:AD46,0))</f>
        <v>#N/A</v>
      </c>
      <c r="AF46" s="61">
        <f t="shared" ref="AF46:AF109" si="33">MAX(0,AF45-1)</f>
        <v>0</v>
      </c>
      <c r="AG46" s="61" t="e">
        <f t="shared" ref="AG46:AG109" si="34">IF(AE46=1,AG45+1,AG45)</f>
        <v>#N/A</v>
      </c>
      <c r="AH46" s="61" t="e">
        <f t="shared" ref="AH46:AH109" si="35">IF(AE46=2,AH45+1,AH45)</f>
        <v>#N/A</v>
      </c>
      <c r="AI46" s="61" t="e">
        <f t="shared" ref="AI46:AI109" si="36">IF(AE46=3,AI45+1,AI45)</f>
        <v>#N/A</v>
      </c>
      <c r="AJ46" s="61" t="e">
        <f t="shared" ref="AJ46:AJ109" si="37">IF(AE46=4,AJ45+1,AJ45)</f>
        <v>#N/A</v>
      </c>
      <c r="AK46" s="61" t="e">
        <f t="shared" ref="AK46:AK109" si="38">IF(AE46=5,AK45+1,AK45)</f>
        <v>#N/A</v>
      </c>
      <c r="AL46" s="61" t="e">
        <f t="shared" ref="AL46:AL109" si="39">IF(AE46=6,AL45+1,AL45)</f>
        <v>#N/A</v>
      </c>
      <c r="AM46" s="61" t="e">
        <f t="shared" ref="AM46:AM109" si="40">IF(AE46=1,AM45-1,AM45)</f>
        <v>#N/A</v>
      </c>
      <c r="AN46" s="61" t="e">
        <f t="shared" ref="AN46:AN109" si="41">IF(AE46=2,AN45-1,AN45)</f>
        <v>#N/A</v>
      </c>
      <c r="AO46" s="61" t="e">
        <f t="shared" ref="AO46:AO109" si="42">IF(AE46=3,AO45-1,AO45)</f>
        <v>#N/A</v>
      </c>
      <c r="AP46" s="61" t="e">
        <f t="shared" ref="AP46:AP109" si="43">IF(AE46=4,AP45-1,AP45)</f>
        <v>#N/A</v>
      </c>
      <c r="AQ46" s="61" t="e">
        <f t="shared" ref="AQ46:AQ109" si="44">IF(AE46=5,AQ45-1,AQ45)</f>
        <v>#N/A</v>
      </c>
      <c r="AR46" s="61" t="e">
        <f t="shared" ref="AR46:AR109" si="45">IF(AE46=6,AR45-1,AR45)</f>
        <v>#N/A</v>
      </c>
      <c r="AS46" s="61" t="e">
        <f t="shared" ref="AS46:AS109" ca="1" si="46">AS45+IF(AE46=1,5,0)</f>
        <v>#N/A</v>
      </c>
      <c r="AT46" s="61" t="e">
        <f t="shared" ref="AT46:AT109" ca="1" si="47">AT45+IF(AE46=2,1,0)</f>
        <v>#N/A</v>
      </c>
      <c r="AU46" s="61" t="e">
        <f t="shared" si="30"/>
        <v>#N/A</v>
      </c>
      <c r="AV46" s="61" t="e">
        <f t="shared" ref="AV46:AV109" si="48">MIN(1,AV45+IF(AE46=4,0.01,0))</f>
        <v>#N/A</v>
      </c>
      <c r="AW46" s="61" t="e">
        <f t="shared" ref="AW46:AW109" si="49">AW45+IF(AE46=5,0.01,0)</f>
        <v>#N/A</v>
      </c>
      <c r="AX46" s="61" t="e">
        <f t="shared" ref="AX46:AX109" si="50">IF(AE46=6,1-(1-AX45)/(1-AL45*0.01)*(1-AL46*0.01),AX45)</f>
        <v>#N/A</v>
      </c>
      <c r="AY46" s="74" t="e">
        <f t="shared" ca="1" si="0"/>
        <v>#N/A</v>
      </c>
      <c r="AZ46" s="74" t="e">
        <f t="shared" ca="1" si="1"/>
        <v>#N/A</v>
      </c>
      <c r="BA46" s="74" t="e">
        <f t="shared" ca="1" si="2"/>
        <v>#N/A</v>
      </c>
      <c r="BB46" s="74" t="e">
        <f t="shared" ca="1" si="3"/>
        <v>#N/A</v>
      </c>
      <c r="BC46" s="74" t="e">
        <f t="shared" ca="1" si="4"/>
        <v>#N/A</v>
      </c>
      <c r="BD46" s="74" t="e">
        <f t="shared" ca="1" si="5"/>
        <v>#N/A</v>
      </c>
      <c r="BE46" s="49" t="e">
        <f t="shared" ca="1" si="6"/>
        <v>#N/A</v>
      </c>
      <c r="BF46" s="49" t="e">
        <f t="shared" ca="1" si="10"/>
        <v>#N/A</v>
      </c>
      <c r="BG46" s="49" t="e">
        <f t="shared" ca="1" si="7"/>
        <v>#N/A</v>
      </c>
      <c r="BH46" s="49" t="e">
        <f t="shared" ca="1" si="11"/>
        <v>#N/A</v>
      </c>
      <c r="BI46" s="49">
        <f t="shared" si="8"/>
        <v>0</v>
      </c>
      <c r="BJ46" s="49" t="e">
        <f t="shared" ca="1" si="12"/>
        <v>#N/A</v>
      </c>
      <c r="BK46" s="71" t="e">
        <f t="shared" ca="1" si="13"/>
        <v>#N/A</v>
      </c>
      <c r="BL46" s="71" t="e">
        <f t="shared" ca="1" si="14"/>
        <v>#N/A</v>
      </c>
      <c r="BM46" s="71" t="e">
        <f t="shared" ca="1" si="15"/>
        <v>#N/A</v>
      </c>
      <c r="BN46" s="71" t="e">
        <f t="shared" ca="1" si="16"/>
        <v>#N/A</v>
      </c>
      <c r="BO46" s="75" t="e">
        <f t="shared" ca="1" si="9"/>
        <v>#N/A</v>
      </c>
      <c r="BP46" s="49" t="e">
        <f t="shared" ca="1" si="17"/>
        <v>#N/A</v>
      </c>
      <c r="BQ46" s="49" t="e">
        <f t="shared" ca="1" si="18"/>
        <v>#N/A</v>
      </c>
      <c r="BR46" s="49" t="e">
        <f t="shared" ca="1" si="19"/>
        <v>#N/A</v>
      </c>
      <c r="BS46" s="49" t="e">
        <f t="shared" ca="1" si="20"/>
        <v>#N/A</v>
      </c>
      <c r="BT46" s="49" t="e">
        <f t="shared" ca="1" si="21"/>
        <v>#N/A</v>
      </c>
      <c r="BU46" s="49" t="e">
        <f t="shared" ca="1" si="22"/>
        <v>#N/A</v>
      </c>
      <c r="BV46" s="49" t="e">
        <f t="shared" ca="1" si="23"/>
        <v>#N/A</v>
      </c>
    </row>
    <row r="47" spans="1:74" ht="17.25" thickBot="1" x14ac:dyDescent="0.35">
      <c r="A47" s="47" t="str">
        <f ca="1">공마종류&amp;"%"</f>
        <v>공격력%</v>
      </c>
      <c r="B47" s="58">
        <v>3</v>
      </c>
      <c r="C47" s="48" t="s">
        <v>13</v>
      </c>
      <c r="D47" s="58">
        <f ca="1">D89+스펙계산기!H13*100</f>
        <v>0</v>
      </c>
      <c r="E47" s="47">
        <f>스펙계산기!E29</f>
        <v>0</v>
      </c>
      <c r="F47" s="58">
        <f ca="1">IF(E49=F49,E47,F68)</f>
        <v>0</v>
      </c>
      <c r="G47" s="47" t="s">
        <v>13</v>
      </c>
      <c r="H47" s="48">
        <f ca="1">스탯퍼+스펙계산기!M17*100</f>
        <v>0</v>
      </c>
      <c r="I47" s="47" t="s">
        <v>13</v>
      </c>
      <c r="J47" s="48">
        <f ca="1">스탯퍼+스펙계산기!M26*100</f>
        <v>0</v>
      </c>
      <c r="K47" s="47" t="s">
        <v>180</v>
      </c>
      <c r="L47" s="48" t="str">
        <f ca="1">스펙계산기!Q18</f>
        <v xml:space="preserve"> D 1레벨</v>
      </c>
      <c r="M47" s="48">
        <f ca="1">(4*ROUNDDOWN((순스탯-P$64+4+L$46*1)*(1+스탯퍼/100-P$65)+D$57,)+부스탯)*ROUNDDOWN((공마-P$66+4)*(1+공마퍼),)*(1+데미지+보공-P$69)*(MIN(1,크확-P67)*(1.35+크뎀-P$68-IF(크리인=1,P67*크리인뎀,))+(1-MIN(1,크확-P67)))</f>
        <v>64</v>
      </c>
      <c r="N47" s="48" t="e">
        <f ca="1">M47/N45-1</f>
        <v>#DIV/0!</v>
      </c>
      <c r="O47" s="48">
        <f ca="1">ROUNDDOWN((순스탯+L$46*1-P$64+4)*(1+스탯퍼/100-P65)+D$57,)</f>
        <v>4</v>
      </c>
      <c r="P47" s="58">
        <f t="shared" ref="P47:P58" ca="1" si="51">O47-메용스탯</f>
        <v>4</v>
      </c>
      <c r="R47" s="43">
        <v>500</v>
      </c>
      <c r="S47" s="44">
        <v>9</v>
      </c>
      <c r="T47" s="91" t="s">
        <v>280</v>
      </c>
      <c r="U47" s="92" t="str">
        <f>스펙계산기!Y23</f>
        <v>없음</v>
      </c>
      <c r="V47" s="82">
        <f>VLOOKUP(U47,U74:V78,2,FALSE)</f>
        <v>0</v>
      </c>
      <c r="W47" s="80">
        <v>160</v>
      </c>
      <c r="X47" s="73">
        <v>75</v>
      </c>
      <c r="Y47" s="48" t="e">
        <f t="shared" si="25"/>
        <v>#N/A</v>
      </c>
      <c r="Z47" s="61" t="e">
        <f t="shared" si="26"/>
        <v>#N/A</v>
      </c>
      <c r="AA47" s="61" t="e">
        <f t="shared" si="31"/>
        <v>#N/A</v>
      </c>
      <c r="AB47" s="61" t="e">
        <f t="shared" si="27"/>
        <v>#N/A</v>
      </c>
      <c r="AC47" s="61" t="e">
        <f t="shared" si="28"/>
        <v>#N/A</v>
      </c>
      <c r="AD47" s="61" t="e">
        <f t="shared" si="29"/>
        <v>#N/A</v>
      </c>
      <c r="AE47" s="61" t="e">
        <f t="shared" si="32"/>
        <v>#N/A</v>
      </c>
      <c r="AF47" s="61">
        <f t="shared" si="33"/>
        <v>0</v>
      </c>
      <c r="AG47" s="61" t="e">
        <f t="shared" si="34"/>
        <v>#N/A</v>
      </c>
      <c r="AH47" s="61" t="e">
        <f t="shared" si="35"/>
        <v>#N/A</v>
      </c>
      <c r="AI47" s="61" t="e">
        <f t="shared" si="36"/>
        <v>#N/A</v>
      </c>
      <c r="AJ47" s="61" t="e">
        <f t="shared" si="37"/>
        <v>#N/A</v>
      </c>
      <c r="AK47" s="61" t="e">
        <f t="shared" si="38"/>
        <v>#N/A</v>
      </c>
      <c r="AL47" s="61" t="e">
        <f t="shared" si="39"/>
        <v>#N/A</v>
      </c>
      <c r="AM47" s="61" t="e">
        <f t="shared" si="40"/>
        <v>#N/A</v>
      </c>
      <c r="AN47" s="61" t="e">
        <f t="shared" si="41"/>
        <v>#N/A</v>
      </c>
      <c r="AO47" s="61" t="e">
        <f t="shared" si="42"/>
        <v>#N/A</v>
      </c>
      <c r="AP47" s="61" t="e">
        <f t="shared" si="43"/>
        <v>#N/A</v>
      </c>
      <c r="AQ47" s="61" t="e">
        <f t="shared" si="44"/>
        <v>#N/A</v>
      </c>
      <c r="AR47" s="61" t="e">
        <f t="shared" si="45"/>
        <v>#N/A</v>
      </c>
      <c r="AS47" s="61" t="e">
        <f t="shared" ca="1" si="46"/>
        <v>#N/A</v>
      </c>
      <c r="AT47" s="61" t="e">
        <f t="shared" ca="1" si="47"/>
        <v>#N/A</v>
      </c>
      <c r="AU47" s="61" t="e">
        <f t="shared" si="30"/>
        <v>#N/A</v>
      </c>
      <c r="AV47" s="61" t="e">
        <f t="shared" si="48"/>
        <v>#N/A</v>
      </c>
      <c r="AW47" s="61" t="e">
        <f t="shared" si="49"/>
        <v>#N/A</v>
      </c>
      <c r="AX47" s="61" t="e">
        <f t="shared" si="50"/>
        <v>#N/A</v>
      </c>
      <c r="AY47" s="74" t="e">
        <f t="shared" ca="1" si="0"/>
        <v>#N/A</v>
      </c>
      <c r="AZ47" s="74" t="e">
        <f t="shared" ca="1" si="1"/>
        <v>#N/A</v>
      </c>
      <c r="BA47" s="74" t="e">
        <f t="shared" ca="1" si="2"/>
        <v>#N/A</v>
      </c>
      <c r="BB47" s="74" t="e">
        <f t="shared" ca="1" si="3"/>
        <v>#N/A</v>
      </c>
      <c r="BC47" s="74" t="e">
        <f t="shared" ca="1" si="4"/>
        <v>#N/A</v>
      </c>
      <c r="BD47" s="74" t="e">
        <f t="shared" ca="1" si="5"/>
        <v>#N/A</v>
      </c>
      <c r="BE47" s="49" t="e">
        <f t="shared" ca="1" si="6"/>
        <v>#N/A</v>
      </c>
      <c r="BF47" s="49" t="e">
        <f t="shared" ca="1" si="10"/>
        <v>#N/A</v>
      </c>
      <c r="BG47" s="49" t="e">
        <f t="shared" ca="1" si="7"/>
        <v>#N/A</v>
      </c>
      <c r="BH47" s="49" t="e">
        <f t="shared" ca="1" si="11"/>
        <v>#N/A</v>
      </c>
      <c r="BI47" s="49">
        <f t="shared" si="8"/>
        <v>0</v>
      </c>
      <c r="BJ47" s="49" t="e">
        <f t="shared" ca="1" si="12"/>
        <v>#N/A</v>
      </c>
      <c r="BK47" s="71" t="e">
        <f t="shared" ca="1" si="13"/>
        <v>#N/A</v>
      </c>
      <c r="BL47" s="71" t="e">
        <f t="shared" ca="1" si="14"/>
        <v>#N/A</v>
      </c>
      <c r="BM47" s="71" t="e">
        <f t="shared" ca="1" si="15"/>
        <v>#N/A</v>
      </c>
      <c r="BN47" s="71" t="e">
        <f t="shared" ca="1" si="16"/>
        <v>#N/A</v>
      </c>
      <c r="BO47" s="75" t="e">
        <f t="shared" ca="1" si="9"/>
        <v>#N/A</v>
      </c>
      <c r="BP47" s="49" t="e">
        <f t="shared" ca="1" si="17"/>
        <v>#N/A</v>
      </c>
      <c r="BQ47" s="49" t="e">
        <f t="shared" ca="1" si="18"/>
        <v>#N/A</v>
      </c>
      <c r="BR47" s="49" t="e">
        <f t="shared" ca="1" si="19"/>
        <v>#N/A</v>
      </c>
      <c r="BS47" s="49" t="e">
        <f t="shared" ca="1" si="20"/>
        <v>#N/A</v>
      </c>
      <c r="BT47" s="49" t="e">
        <f t="shared" ca="1" si="21"/>
        <v>#N/A</v>
      </c>
      <c r="BU47" s="49" t="e">
        <f t="shared" ca="1" si="22"/>
        <v>#N/A</v>
      </c>
      <c r="BV47" s="49" t="e">
        <f t="shared" ca="1" si="23"/>
        <v>#N/A</v>
      </c>
    </row>
    <row r="48" spans="1:74" x14ac:dyDescent="0.3">
      <c r="A48" s="93" t="s">
        <v>302</v>
      </c>
      <c r="B48" s="58">
        <v>4</v>
      </c>
      <c r="C48" s="48" t="s">
        <v>36</v>
      </c>
      <c r="D48" s="58">
        <f>D34</f>
        <v>0</v>
      </c>
      <c r="E48" s="47" t="str">
        <f>스펙계산기!E28</f>
        <v>보스 데미지(%)</v>
      </c>
      <c r="F48" s="58" t="str">
        <f>스펙계산기!E31</f>
        <v>공격력</v>
      </c>
      <c r="G48" s="47" t="s">
        <v>36</v>
      </c>
      <c r="H48" s="48">
        <f>부스탯</f>
        <v>0</v>
      </c>
      <c r="I48" s="47" t="s">
        <v>36</v>
      </c>
      <c r="J48" s="48">
        <f>부스탯</f>
        <v>0</v>
      </c>
      <c r="K48" s="47"/>
      <c r="L48" s="48" t="str">
        <f ca="1">스펙계산기!Q19</f>
        <v xml:space="preserve"> D 2레벨</v>
      </c>
      <c r="M48" s="48">
        <f ca="1">(4*ROUNDDOWN((순스탯-P$64+4+L$46*2)*(1+스탯퍼/100-P$65)+D$57,)+부스탯)*ROUNDDOWN((공마-P$66+4)*(1+공마퍼),)*(1+데미지+보공-P$69)*(MIN(1,크확-P67)*(1.35+크뎀-P$68-IF(크리인=1,P67*크리인뎀,))+(1-MIN(1,크확-P67)))</f>
        <v>64</v>
      </c>
      <c r="N48" s="48" t="e">
        <f ca="1">M48/N45-1</f>
        <v>#DIV/0!</v>
      </c>
      <c r="O48" s="48">
        <f ca="1">ROUNDDOWN((순스탯+L$46*2-P$64+4)*(1+스탯퍼/100-P65)+D$57,)</f>
        <v>4</v>
      </c>
      <c r="P48" s="58">
        <f t="shared" ca="1" si="51"/>
        <v>4</v>
      </c>
      <c r="R48" s="47">
        <v>1000</v>
      </c>
      <c r="S48" s="48">
        <v>10</v>
      </c>
      <c r="T48" s="58" t="s">
        <v>281</v>
      </c>
      <c r="U48" s="43" t="str">
        <f ca="1">스펙계산기!V25</f>
        <v xml:space="preserve"> DEX</v>
      </c>
      <c r="V48" s="57">
        <f>스펙계산기!W25</f>
        <v>0</v>
      </c>
      <c r="W48" s="80">
        <v>161</v>
      </c>
      <c r="X48" s="73">
        <v>80</v>
      </c>
      <c r="Y48" s="48" t="e">
        <f t="shared" si="25"/>
        <v>#N/A</v>
      </c>
      <c r="Z48" s="61" t="e">
        <f t="shared" si="26"/>
        <v>#N/A</v>
      </c>
      <c r="AA48" s="61" t="e">
        <f t="shared" si="31"/>
        <v>#N/A</v>
      </c>
      <c r="AB48" s="61" t="e">
        <f t="shared" si="27"/>
        <v>#N/A</v>
      </c>
      <c r="AC48" s="61" t="e">
        <f t="shared" si="28"/>
        <v>#N/A</v>
      </c>
      <c r="AD48" s="61" t="e">
        <f t="shared" si="29"/>
        <v>#N/A</v>
      </c>
      <c r="AE48" s="61" t="e">
        <f t="shared" si="32"/>
        <v>#N/A</v>
      </c>
      <c r="AF48" s="61">
        <f t="shared" si="33"/>
        <v>0</v>
      </c>
      <c r="AG48" s="61" t="e">
        <f t="shared" si="34"/>
        <v>#N/A</v>
      </c>
      <c r="AH48" s="61" t="e">
        <f t="shared" si="35"/>
        <v>#N/A</v>
      </c>
      <c r="AI48" s="61" t="e">
        <f t="shared" si="36"/>
        <v>#N/A</v>
      </c>
      <c r="AJ48" s="61" t="e">
        <f t="shared" si="37"/>
        <v>#N/A</v>
      </c>
      <c r="AK48" s="61" t="e">
        <f t="shared" si="38"/>
        <v>#N/A</v>
      </c>
      <c r="AL48" s="61" t="e">
        <f t="shared" si="39"/>
        <v>#N/A</v>
      </c>
      <c r="AM48" s="61" t="e">
        <f t="shared" si="40"/>
        <v>#N/A</v>
      </c>
      <c r="AN48" s="61" t="e">
        <f t="shared" si="41"/>
        <v>#N/A</v>
      </c>
      <c r="AO48" s="61" t="e">
        <f t="shared" si="42"/>
        <v>#N/A</v>
      </c>
      <c r="AP48" s="61" t="e">
        <f t="shared" si="43"/>
        <v>#N/A</v>
      </c>
      <c r="AQ48" s="61" t="e">
        <f t="shared" si="44"/>
        <v>#N/A</v>
      </c>
      <c r="AR48" s="61" t="e">
        <f t="shared" si="45"/>
        <v>#N/A</v>
      </c>
      <c r="AS48" s="61" t="e">
        <f t="shared" ca="1" si="46"/>
        <v>#N/A</v>
      </c>
      <c r="AT48" s="61" t="e">
        <f t="shared" ca="1" si="47"/>
        <v>#N/A</v>
      </c>
      <c r="AU48" s="61" t="e">
        <f t="shared" si="30"/>
        <v>#N/A</v>
      </c>
      <c r="AV48" s="61" t="e">
        <f t="shared" si="48"/>
        <v>#N/A</v>
      </c>
      <c r="AW48" s="61" t="e">
        <f t="shared" si="49"/>
        <v>#N/A</v>
      </c>
      <c r="AX48" s="61" t="e">
        <f t="shared" si="50"/>
        <v>#N/A</v>
      </c>
      <c r="AY48" s="74" t="e">
        <f t="shared" ca="1" si="0"/>
        <v>#N/A</v>
      </c>
      <c r="AZ48" s="74" t="e">
        <f t="shared" ca="1" si="1"/>
        <v>#N/A</v>
      </c>
      <c r="BA48" s="74" t="e">
        <f t="shared" ca="1" si="2"/>
        <v>#N/A</v>
      </c>
      <c r="BB48" s="74" t="e">
        <f t="shared" ca="1" si="3"/>
        <v>#N/A</v>
      </c>
      <c r="BC48" s="74" t="e">
        <f t="shared" ca="1" si="4"/>
        <v>#N/A</v>
      </c>
      <c r="BD48" s="74" t="e">
        <f t="shared" ca="1" si="5"/>
        <v>#N/A</v>
      </c>
      <c r="BE48" s="49" t="e">
        <f t="shared" ca="1" si="6"/>
        <v>#N/A</v>
      </c>
      <c r="BF48" s="49" t="e">
        <f t="shared" ca="1" si="10"/>
        <v>#N/A</v>
      </c>
      <c r="BG48" s="49" t="e">
        <f t="shared" ca="1" si="7"/>
        <v>#N/A</v>
      </c>
      <c r="BH48" s="49" t="e">
        <f t="shared" ca="1" si="11"/>
        <v>#N/A</v>
      </c>
      <c r="BI48" s="49">
        <f t="shared" si="8"/>
        <v>0</v>
      </c>
      <c r="BJ48" s="49" t="e">
        <f t="shared" ca="1" si="12"/>
        <v>#N/A</v>
      </c>
      <c r="BK48" s="71" t="e">
        <f t="shared" ca="1" si="13"/>
        <v>#N/A</v>
      </c>
      <c r="BL48" s="71" t="e">
        <f t="shared" ca="1" si="14"/>
        <v>#N/A</v>
      </c>
      <c r="BM48" s="71" t="e">
        <f t="shared" ca="1" si="15"/>
        <v>#N/A</v>
      </c>
      <c r="BN48" s="71" t="e">
        <f t="shared" ca="1" si="16"/>
        <v>#N/A</v>
      </c>
      <c r="BO48" s="75" t="e">
        <f t="shared" ca="1" si="9"/>
        <v>#N/A</v>
      </c>
      <c r="BP48" s="49" t="e">
        <f t="shared" ca="1" si="17"/>
        <v>#N/A</v>
      </c>
      <c r="BQ48" s="49" t="e">
        <f t="shared" ca="1" si="18"/>
        <v>#N/A</v>
      </c>
      <c r="BR48" s="49" t="e">
        <f t="shared" ca="1" si="19"/>
        <v>#N/A</v>
      </c>
      <c r="BS48" s="49" t="e">
        <f t="shared" ca="1" si="20"/>
        <v>#N/A</v>
      </c>
      <c r="BT48" s="49" t="e">
        <f t="shared" ca="1" si="21"/>
        <v>#N/A</v>
      </c>
      <c r="BU48" s="49" t="e">
        <f t="shared" ca="1" si="22"/>
        <v>#N/A</v>
      </c>
      <c r="BV48" s="49" t="e">
        <f t="shared" ca="1" si="23"/>
        <v>#N/A</v>
      </c>
    </row>
    <row r="49" spans="1:74" x14ac:dyDescent="0.3">
      <c r="A49" s="47" t="s">
        <v>272</v>
      </c>
      <c r="B49" s="58">
        <v>5</v>
      </c>
      <c r="C49" s="48" t="s">
        <v>44</v>
      </c>
      <c r="D49" s="58">
        <f ca="1">F44+스펙계산기!F14</f>
        <v>0</v>
      </c>
      <c r="E49" s="47">
        <f ca="1">VLOOKUP(E48,A44:B50,2,FALSE)</f>
        <v>5</v>
      </c>
      <c r="F49" s="58">
        <f ca="1">VLOOKUP(F48,A44:B50,2,FALSE)</f>
        <v>2</v>
      </c>
      <c r="G49" s="47" t="s">
        <v>44</v>
      </c>
      <c r="H49" s="48">
        <f ca="1">공마+스펙계산기!K18</f>
        <v>0</v>
      </c>
      <c r="I49" s="47" t="s">
        <v>44</v>
      </c>
      <c r="J49" s="48">
        <f ca="1">공마+스펙계산기!K27</f>
        <v>0</v>
      </c>
      <c r="K49" s="47"/>
      <c r="L49" s="48" t="str">
        <f ca="1">스펙계산기!Q20</f>
        <v xml:space="preserve"> D 3레벨</v>
      </c>
      <c r="M49" s="48">
        <f ca="1">(4*ROUNDDOWN((순스탯-P$64+4+L$46*3)*(1+스탯퍼/100-P$65)+D$57,)+부스탯)*ROUNDDOWN((공마-P$66+4)*(1+공마퍼),)*(1+데미지+보공-P$69)*(MIN(1,크확-P67)*(1.35+크뎀-P$68-IF(크리인=1,P67*크리인뎀,))+(1-MIN(1,크확-P67)))</f>
        <v>64</v>
      </c>
      <c r="N49" s="48" t="e">
        <f ca="1">M49/N45-1</f>
        <v>#DIV/0!</v>
      </c>
      <c r="O49" s="48">
        <f ca="1">ROUNDDOWN((순스탯+L$46*3-P$64+4)*(1+스탯퍼/100-P65)+D$57,)</f>
        <v>4</v>
      </c>
      <c r="P49" s="58">
        <f t="shared" ca="1" si="51"/>
        <v>4</v>
      </c>
      <c r="R49" s="47">
        <v>1500</v>
      </c>
      <c r="S49" s="48">
        <v>11</v>
      </c>
      <c r="T49" s="79" t="s">
        <v>282</v>
      </c>
      <c r="U49" s="47" t="str">
        <f ca="1">스펙계산기!V26</f>
        <v xml:space="preserve"> 공격력</v>
      </c>
      <c r="V49" s="58">
        <f>스펙계산기!W26</f>
        <v>0</v>
      </c>
      <c r="W49" s="80">
        <v>162</v>
      </c>
      <c r="X49" s="73">
        <v>85</v>
      </c>
      <c r="Y49" s="48" t="e">
        <f t="shared" si="25"/>
        <v>#N/A</v>
      </c>
      <c r="Z49" s="61" t="e">
        <f t="shared" si="26"/>
        <v>#N/A</v>
      </c>
      <c r="AA49" s="61" t="e">
        <f t="shared" si="31"/>
        <v>#N/A</v>
      </c>
      <c r="AB49" s="61" t="e">
        <f t="shared" si="27"/>
        <v>#N/A</v>
      </c>
      <c r="AC49" s="61" t="e">
        <f t="shared" si="28"/>
        <v>#N/A</v>
      </c>
      <c r="AD49" s="61" t="e">
        <f t="shared" si="29"/>
        <v>#N/A</v>
      </c>
      <c r="AE49" s="61" t="e">
        <f t="shared" si="32"/>
        <v>#N/A</v>
      </c>
      <c r="AF49" s="61">
        <f t="shared" si="33"/>
        <v>0</v>
      </c>
      <c r="AG49" s="61" t="e">
        <f t="shared" si="34"/>
        <v>#N/A</v>
      </c>
      <c r="AH49" s="61" t="e">
        <f t="shared" si="35"/>
        <v>#N/A</v>
      </c>
      <c r="AI49" s="61" t="e">
        <f t="shared" si="36"/>
        <v>#N/A</v>
      </c>
      <c r="AJ49" s="61" t="e">
        <f t="shared" si="37"/>
        <v>#N/A</v>
      </c>
      <c r="AK49" s="61" t="e">
        <f t="shared" si="38"/>
        <v>#N/A</v>
      </c>
      <c r="AL49" s="61" t="e">
        <f t="shared" si="39"/>
        <v>#N/A</v>
      </c>
      <c r="AM49" s="61" t="e">
        <f t="shared" si="40"/>
        <v>#N/A</v>
      </c>
      <c r="AN49" s="61" t="e">
        <f t="shared" si="41"/>
        <v>#N/A</v>
      </c>
      <c r="AO49" s="61" t="e">
        <f t="shared" si="42"/>
        <v>#N/A</v>
      </c>
      <c r="AP49" s="61" t="e">
        <f t="shared" si="43"/>
        <v>#N/A</v>
      </c>
      <c r="AQ49" s="61" t="e">
        <f t="shared" si="44"/>
        <v>#N/A</v>
      </c>
      <c r="AR49" s="61" t="e">
        <f t="shared" si="45"/>
        <v>#N/A</v>
      </c>
      <c r="AS49" s="61" t="e">
        <f t="shared" ca="1" si="46"/>
        <v>#N/A</v>
      </c>
      <c r="AT49" s="61" t="e">
        <f t="shared" ca="1" si="47"/>
        <v>#N/A</v>
      </c>
      <c r="AU49" s="61" t="e">
        <f t="shared" si="30"/>
        <v>#N/A</v>
      </c>
      <c r="AV49" s="61" t="e">
        <f t="shared" si="48"/>
        <v>#N/A</v>
      </c>
      <c r="AW49" s="61" t="e">
        <f t="shared" si="49"/>
        <v>#N/A</v>
      </c>
      <c r="AX49" s="61" t="e">
        <f t="shared" si="50"/>
        <v>#N/A</v>
      </c>
      <c r="AY49" s="74" t="e">
        <f t="shared" ca="1" si="0"/>
        <v>#N/A</v>
      </c>
      <c r="AZ49" s="74" t="e">
        <f t="shared" ca="1" si="1"/>
        <v>#N/A</v>
      </c>
      <c r="BA49" s="74" t="e">
        <f t="shared" ca="1" si="2"/>
        <v>#N/A</v>
      </c>
      <c r="BB49" s="74" t="e">
        <f t="shared" ca="1" si="3"/>
        <v>#N/A</v>
      </c>
      <c r="BC49" s="74" t="e">
        <f t="shared" ca="1" si="4"/>
        <v>#N/A</v>
      </c>
      <c r="BD49" s="74" t="e">
        <f t="shared" ca="1" si="5"/>
        <v>#N/A</v>
      </c>
      <c r="BE49" s="49" t="e">
        <f t="shared" ca="1" si="6"/>
        <v>#N/A</v>
      </c>
      <c r="BF49" s="49" t="e">
        <f t="shared" ca="1" si="10"/>
        <v>#N/A</v>
      </c>
      <c r="BG49" s="49" t="e">
        <f t="shared" ca="1" si="7"/>
        <v>#N/A</v>
      </c>
      <c r="BH49" s="49" t="e">
        <f t="shared" ca="1" si="11"/>
        <v>#N/A</v>
      </c>
      <c r="BI49" s="49">
        <f t="shared" si="8"/>
        <v>0</v>
      </c>
      <c r="BJ49" s="49" t="e">
        <f t="shared" ca="1" si="12"/>
        <v>#N/A</v>
      </c>
      <c r="BK49" s="71" t="e">
        <f t="shared" ca="1" si="13"/>
        <v>#N/A</v>
      </c>
      <c r="BL49" s="71" t="e">
        <f t="shared" ca="1" si="14"/>
        <v>#N/A</v>
      </c>
      <c r="BM49" s="71" t="e">
        <f t="shared" ca="1" si="15"/>
        <v>#N/A</v>
      </c>
      <c r="BN49" s="71" t="e">
        <f t="shared" ca="1" si="16"/>
        <v>#N/A</v>
      </c>
      <c r="BO49" s="75" t="e">
        <f t="shared" ca="1" si="9"/>
        <v>#N/A</v>
      </c>
      <c r="BP49" s="49" t="e">
        <f t="shared" ca="1" si="17"/>
        <v>#N/A</v>
      </c>
      <c r="BQ49" s="49" t="e">
        <f t="shared" ca="1" si="18"/>
        <v>#N/A</v>
      </c>
      <c r="BR49" s="49" t="e">
        <f t="shared" ca="1" si="19"/>
        <v>#N/A</v>
      </c>
      <c r="BS49" s="49" t="e">
        <f t="shared" ca="1" si="20"/>
        <v>#N/A</v>
      </c>
      <c r="BT49" s="49" t="e">
        <f t="shared" ca="1" si="21"/>
        <v>#N/A</v>
      </c>
      <c r="BU49" s="49" t="e">
        <f t="shared" ca="1" si="22"/>
        <v>#N/A</v>
      </c>
      <c r="BV49" s="49" t="e">
        <f t="shared" ca="1" si="23"/>
        <v>#N/A</v>
      </c>
    </row>
    <row r="50" spans="1:74" ht="17.25" thickBot="1" x14ac:dyDescent="0.35">
      <c r="A50" s="47" t="s">
        <v>273</v>
      </c>
      <c r="B50" s="58">
        <v>6</v>
      </c>
      <c r="C50" s="48" t="s">
        <v>38</v>
      </c>
      <c r="D50" s="58">
        <f ca="1">D42+스펙계산기!H14</f>
        <v>0.2</v>
      </c>
      <c r="E50" s="59" t="s">
        <v>75</v>
      </c>
      <c r="F50" s="60">
        <f ca="1">((4*ROUNDDOWN(순스탯*(1+스탯퍼/100)+D57,)+부스탯))*ROUNDDOWN(공마*(1+공마퍼),)*(1+데미지+보공)*(1.35+크뎀)</f>
        <v>0</v>
      </c>
      <c r="G50" s="47" t="s">
        <v>38</v>
      </c>
      <c r="H50" s="48">
        <f ca="1">공마퍼+스펙계산기!M18</f>
        <v>0.2</v>
      </c>
      <c r="I50" s="47" t="s">
        <v>38</v>
      </c>
      <c r="J50" s="48">
        <f ca="1">공마퍼+스펙계산기!M27</f>
        <v>0.2</v>
      </c>
      <c r="K50" s="47"/>
      <c r="L50" s="48" t="str">
        <f ca="1">스펙계산기!Q21</f>
        <v xml:space="preserve"> D 4레벨</v>
      </c>
      <c r="M50" s="48">
        <f ca="1">(4*ROUNDDOWN((순스탯-P$64+4+L$46*4)*(1+스탯퍼/100-P$65)+D$57,)+부스탯)*ROUNDDOWN((공마-P$66+4)*(1+공마퍼),)*(1+데미지+보공-P$69)*(MIN(1,크확-P67)*(1.35+크뎀-P$68-IF(크리인=1,P67*크리인뎀,))+(1-MIN(1,크확-P67)))</f>
        <v>64</v>
      </c>
      <c r="N50" s="48" t="e">
        <f ca="1">M50/N45-1</f>
        <v>#DIV/0!</v>
      </c>
      <c r="O50" s="48">
        <f ca="1">ROUNDDOWN((순스탯+L$46*4-P$64+4)*(1+스탯퍼/100-P65)+D$57,)</f>
        <v>4</v>
      </c>
      <c r="P50" s="58">
        <f t="shared" ca="1" si="51"/>
        <v>4</v>
      </c>
      <c r="R50" s="47">
        <v>2000</v>
      </c>
      <c r="S50" s="48">
        <v>12</v>
      </c>
      <c r="T50" s="58" t="s">
        <v>283</v>
      </c>
      <c r="U50" s="47" t="str">
        <f>스펙계산기!V27</f>
        <v xml:space="preserve"> 크리 데미지</v>
      </c>
      <c r="V50" s="58">
        <f>스펙계산기!W27</f>
        <v>0</v>
      </c>
      <c r="W50" s="80">
        <v>163</v>
      </c>
      <c r="X50" s="73">
        <v>90</v>
      </c>
      <c r="Y50" s="48" t="e">
        <f t="shared" si="25"/>
        <v>#N/A</v>
      </c>
      <c r="Z50" s="61" t="e">
        <f t="shared" si="26"/>
        <v>#N/A</v>
      </c>
      <c r="AA50" s="61" t="e">
        <f t="shared" si="31"/>
        <v>#N/A</v>
      </c>
      <c r="AB50" s="61" t="e">
        <f t="shared" si="27"/>
        <v>#N/A</v>
      </c>
      <c r="AC50" s="61" t="e">
        <f t="shared" si="28"/>
        <v>#N/A</v>
      </c>
      <c r="AD50" s="61" t="e">
        <f t="shared" si="29"/>
        <v>#N/A</v>
      </c>
      <c r="AE50" s="61" t="e">
        <f t="shared" si="32"/>
        <v>#N/A</v>
      </c>
      <c r="AF50" s="61">
        <f t="shared" si="33"/>
        <v>0</v>
      </c>
      <c r="AG50" s="61" t="e">
        <f t="shared" si="34"/>
        <v>#N/A</v>
      </c>
      <c r="AH50" s="61" t="e">
        <f t="shared" si="35"/>
        <v>#N/A</v>
      </c>
      <c r="AI50" s="61" t="e">
        <f t="shared" si="36"/>
        <v>#N/A</v>
      </c>
      <c r="AJ50" s="61" t="e">
        <f t="shared" si="37"/>
        <v>#N/A</v>
      </c>
      <c r="AK50" s="61" t="e">
        <f t="shared" si="38"/>
        <v>#N/A</v>
      </c>
      <c r="AL50" s="61" t="e">
        <f t="shared" si="39"/>
        <v>#N/A</v>
      </c>
      <c r="AM50" s="61" t="e">
        <f t="shared" si="40"/>
        <v>#N/A</v>
      </c>
      <c r="AN50" s="61" t="e">
        <f t="shared" si="41"/>
        <v>#N/A</v>
      </c>
      <c r="AO50" s="61" t="e">
        <f t="shared" si="42"/>
        <v>#N/A</v>
      </c>
      <c r="AP50" s="61" t="e">
        <f t="shared" si="43"/>
        <v>#N/A</v>
      </c>
      <c r="AQ50" s="61" t="e">
        <f t="shared" si="44"/>
        <v>#N/A</v>
      </c>
      <c r="AR50" s="61" t="e">
        <f t="shared" si="45"/>
        <v>#N/A</v>
      </c>
      <c r="AS50" s="61" t="e">
        <f t="shared" ca="1" si="46"/>
        <v>#N/A</v>
      </c>
      <c r="AT50" s="61" t="e">
        <f t="shared" ca="1" si="47"/>
        <v>#N/A</v>
      </c>
      <c r="AU50" s="61" t="e">
        <f t="shared" si="30"/>
        <v>#N/A</v>
      </c>
      <c r="AV50" s="61" t="e">
        <f t="shared" si="48"/>
        <v>#N/A</v>
      </c>
      <c r="AW50" s="61" t="e">
        <f t="shared" si="49"/>
        <v>#N/A</v>
      </c>
      <c r="AX50" s="61" t="e">
        <f t="shared" si="50"/>
        <v>#N/A</v>
      </c>
      <c r="AY50" s="74" t="e">
        <f t="shared" ca="1" si="0"/>
        <v>#N/A</v>
      </c>
      <c r="AZ50" s="74" t="e">
        <f t="shared" ca="1" si="1"/>
        <v>#N/A</v>
      </c>
      <c r="BA50" s="74" t="e">
        <f t="shared" ca="1" si="2"/>
        <v>#N/A</v>
      </c>
      <c r="BB50" s="74" t="e">
        <f t="shared" ca="1" si="3"/>
        <v>#N/A</v>
      </c>
      <c r="BC50" s="74" t="e">
        <f t="shared" ca="1" si="4"/>
        <v>#N/A</v>
      </c>
      <c r="BD50" s="74" t="e">
        <f t="shared" ca="1" si="5"/>
        <v>#N/A</v>
      </c>
      <c r="BE50" s="49" t="e">
        <f t="shared" ca="1" si="6"/>
        <v>#N/A</v>
      </c>
      <c r="BF50" s="49" t="e">
        <f t="shared" ca="1" si="10"/>
        <v>#N/A</v>
      </c>
      <c r="BG50" s="49" t="e">
        <f t="shared" ca="1" si="7"/>
        <v>#N/A</v>
      </c>
      <c r="BH50" s="49" t="e">
        <f t="shared" ca="1" si="11"/>
        <v>#N/A</v>
      </c>
      <c r="BI50" s="49">
        <f t="shared" si="8"/>
        <v>0</v>
      </c>
      <c r="BJ50" s="49" t="e">
        <f t="shared" ca="1" si="12"/>
        <v>#N/A</v>
      </c>
      <c r="BK50" s="71" t="e">
        <f t="shared" ca="1" si="13"/>
        <v>#N/A</v>
      </c>
      <c r="BL50" s="71" t="e">
        <f t="shared" ca="1" si="14"/>
        <v>#N/A</v>
      </c>
      <c r="BM50" s="71" t="e">
        <f t="shared" ca="1" si="15"/>
        <v>#N/A</v>
      </c>
      <c r="BN50" s="71" t="e">
        <f t="shared" ca="1" si="16"/>
        <v>#N/A</v>
      </c>
      <c r="BO50" s="75" t="e">
        <f t="shared" ca="1" si="9"/>
        <v>#N/A</v>
      </c>
      <c r="BP50" s="49" t="e">
        <f t="shared" ca="1" si="17"/>
        <v>#N/A</v>
      </c>
      <c r="BQ50" s="49" t="e">
        <f t="shared" ca="1" si="18"/>
        <v>#N/A</v>
      </c>
      <c r="BR50" s="49" t="e">
        <f t="shared" ca="1" si="19"/>
        <v>#N/A</v>
      </c>
      <c r="BS50" s="49" t="e">
        <f t="shared" ca="1" si="20"/>
        <v>#N/A</v>
      </c>
      <c r="BT50" s="49" t="e">
        <f t="shared" ca="1" si="21"/>
        <v>#N/A</v>
      </c>
      <c r="BU50" s="49" t="e">
        <f t="shared" ca="1" si="22"/>
        <v>#N/A</v>
      </c>
      <c r="BV50" s="49" t="e">
        <f t="shared" ca="1" si="23"/>
        <v>#N/A</v>
      </c>
    </row>
    <row r="51" spans="1:74" ht="17.25" thickBot="1" x14ac:dyDescent="0.35">
      <c r="A51" s="47" t="s">
        <v>189</v>
      </c>
      <c r="B51" s="58">
        <v>7</v>
      </c>
      <c r="C51" s="48" t="s">
        <v>74</v>
      </c>
      <c r="D51" s="58">
        <f>D36+스펙계산기!F15</f>
        <v>0</v>
      </c>
      <c r="E51" s="43" t="s">
        <v>52</v>
      </c>
      <c r="F51" s="57" t="s">
        <v>64</v>
      </c>
      <c r="G51" s="47" t="s">
        <v>74</v>
      </c>
      <c r="H51" s="48">
        <f>데미지+스펙계산기!K19</f>
        <v>0</v>
      </c>
      <c r="I51" s="47" t="s">
        <v>74</v>
      </c>
      <c r="J51" s="48">
        <f>데미지+스펙계산기!K28</f>
        <v>0</v>
      </c>
      <c r="K51" s="43" t="s">
        <v>179</v>
      </c>
      <c r="L51" s="44" t="str">
        <f ca="1">스펙계산기!Q23</f>
        <v xml:space="preserve"> D 1레벨</v>
      </c>
      <c r="M51" s="44">
        <f ca="1">(4*ROUNDDOWN((순스탯-P$64+4+N$46*0.9)*(1+스탯퍼/100-P$65)+D$57,)+부스탯)*ROUNDDOWN((공마-P$66+4)*(1+공마퍼),)*(1+데미지+보공-P$69)*(MIN(1,크확-P67)*(1.35+크뎀-P$68-IF(크리인=1,P67*크리인뎀,))+(1-MIN(1,크확-P67)))</f>
        <v>64</v>
      </c>
      <c r="N51" s="44" t="e">
        <f ca="1">M51/N45-1</f>
        <v>#DIV/0!</v>
      </c>
      <c r="O51" s="44">
        <f ca="1">ROUNDDOWN((순스탯+N$46*0.9-P$64+4)*(1+스탯퍼/100-P65)+D$57,)</f>
        <v>4</v>
      </c>
      <c r="P51" s="57">
        <f t="shared" ca="1" si="51"/>
        <v>4</v>
      </c>
      <c r="Q51" s="48"/>
      <c r="R51" s="47">
        <v>2500</v>
      </c>
      <c r="S51" s="48">
        <v>13</v>
      </c>
      <c r="T51" s="79" t="s">
        <v>284</v>
      </c>
      <c r="U51" s="47" t="str">
        <f>스펙계산기!V28</f>
        <v xml:space="preserve"> 크리티컬확률</v>
      </c>
      <c r="V51" s="58">
        <f>스펙계산기!W28</f>
        <v>0</v>
      </c>
      <c r="W51" s="80">
        <v>164</v>
      </c>
      <c r="X51" s="73">
        <v>95</v>
      </c>
      <c r="Y51" s="48" t="e">
        <f t="shared" si="25"/>
        <v>#N/A</v>
      </c>
      <c r="Z51" s="61" t="e">
        <f t="shared" si="26"/>
        <v>#N/A</v>
      </c>
      <c r="AA51" s="61" t="e">
        <f t="shared" si="31"/>
        <v>#N/A</v>
      </c>
      <c r="AB51" s="61" t="e">
        <f t="shared" si="27"/>
        <v>#N/A</v>
      </c>
      <c r="AC51" s="61" t="e">
        <f t="shared" si="28"/>
        <v>#N/A</v>
      </c>
      <c r="AD51" s="61" t="e">
        <f t="shared" si="29"/>
        <v>#N/A</v>
      </c>
      <c r="AE51" s="61" t="e">
        <f t="shared" si="32"/>
        <v>#N/A</v>
      </c>
      <c r="AF51" s="61">
        <f t="shared" si="33"/>
        <v>0</v>
      </c>
      <c r="AG51" s="61" t="e">
        <f t="shared" si="34"/>
        <v>#N/A</v>
      </c>
      <c r="AH51" s="61" t="e">
        <f t="shared" si="35"/>
        <v>#N/A</v>
      </c>
      <c r="AI51" s="61" t="e">
        <f t="shared" si="36"/>
        <v>#N/A</v>
      </c>
      <c r="AJ51" s="61" t="e">
        <f t="shared" si="37"/>
        <v>#N/A</v>
      </c>
      <c r="AK51" s="61" t="e">
        <f t="shared" si="38"/>
        <v>#N/A</v>
      </c>
      <c r="AL51" s="61" t="e">
        <f t="shared" si="39"/>
        <v>#N/A</v>
      </c>
      <c r="AM51" s="61" t="e">
        <f t="shared" si="40"/>
        <v>#N/A</v>
      </c>
      <c r="AN51" s="61" t="e">
        <f t="shared" si="41"/>
        <v>#N/A</v>
      </c>
      <c r="AO51" s="61" t="e">
        <f t="shared" si="42"/>
        <v>#N/A</v>
      </c>
      <c r="AP51" s="61" t="e">
        <f t="shared" si="43"/>
        <v>#N/A</v>
      </c>
      <c r="AQ51" s="61" t="e">
        <f t="shared" si="44"/>
        <v>#N/A</v>
      </c>
      <c r="AR51" s="61" t="e">
        <f t="shared" si="45"/>
        <v>#N/A</v>
      </c>
      <c r="AS51" s="61" t="e">
        <f t="shared" ca="1" si="46"/>
        <v>#N/A</v>
      </c>
      <c r="AT51" s="61" t="e">
        <f t="shared" ca="1" si="47"/>
        <v>#N/A</v>
      </c>
      <c r="AU51" s="61" t="e">
        <f t="shared" si="30"/>
        <v>#N/A</v>
      </c>
      <c r="AV51" s="61" t="e">
        <f t="shared" si="48"/>
        <v>#N/A</v>
      </c>
      <c r="AW51" s="61" t="e">
        <f t="shared" si="49"/>
        <v>#N/A</v>
      </c>
      <c r="AX51" s="61" t="e">
        <f t="shared" si="50"/>
        <v>#N/A</v>
      </c>
      <c r="AY51" s="74" t="e">
        <f t="shared" ca="1" si="0"/>
        <v>#N/A</v>
      </c>
      <c r="AZ51" s="74" t="e">
        <f t="shared" ca="1" si="1"/>
        <v>#N/A</v>
      </c>
      <c r="BA51" s="74" t="e">
        <f t="shared" ca="1" si="2"/>
        <v>#N/A</v>
      </c>
      <c r="BB51" s="74" t="e">
        <f t="shared" ca="1" si="3"/>
        <v>#N/A</v>
      </c>
      <c r="BC51" s="74" t="e">
        <f t="shared" ca="1" si="4"/>
        <v>#N/A</v>
      </c>
      <c r="BD51" s="74" t="e">
        <f t="shared" ca="1" si="5"/>
        <v>#N/A</v>
      </c>
      <c r="BE51" s="49" t="e">
        <f t="shared" ca="1" si="6"/>
        <v>#N/A</v>
      </c>
      <c r="BF51" s="49" t="e">
        <f t="shared" ca="1" si="10"/>
        <v>#N/A</v>
      </c>
      <c r="BG51" s="49" t="e">
        <f t="shared" ca="1" si="7"/>
        <v>#N/A</v>
      </c>
      <c r="BH51" s="49" t="e">
        <f t="shared" ca="1" si="11"/>
        <v>#N/A</v>
      </c>
      <c r="BI51" s="49">
        <f t="shared" si="8"/>
        <v>0</v>
      </c>
      <c r="BJ51" s="49" t="e">
        <f t="shared" ca="1" si="12"/>
        <v>#N/A</v>
      </c>
      <c r="BK51" s="71" t="e">
        <f t="shared" ca="1" si="13"/>
        <v>#N/A</v>
      </c>
      <c r="BL51" s="71" t="e">
        <f t="shared" ca="1" si="14"/>
        <v>#N/A</v>
      </c>
      <c r="BM51" s="71" t="e">
        <f t="shared" ca="1" si="15"/>
        <v>#N/A</v>
      </c>
      <c r="BN51" s="71" t="e">
        <f t="shared" ca="1" si="16"/>
        <v>#N/A</v>
      </c>
      <c r="BO51" s="75" t="e">
        <f t="shared" ca="1" si="9"/>
        <v>#N/A</v>
      </c>
      <c r="BP51" s="49" t="e">
        <f t="shared" ca="1" si="17"/>
        <v>#N/A</v>
      </c>
      <c r="BQ51" s="49" t="e">
        <f t="shared" ca="1" si="18"/>
        <v>#N/A</v>
      </c>
      <c r="BR51" s="49" t="e">
        <f t="shared" ca="1" si="19"/>
        <v>#N/A</v>
      </c>
      <c r="BS51" s="49" t="e">
        <f t="shared" ca="1" si="20"/>
        <v>#N/A</v>
      </c>
      <c r="BT51" s="49" t="e">
        <f t="shared" ca="1" si="21"/>
        <v>#N/A</v>
      </c>
      <c r="BU51" s="49" t="e">
        <f t="shared" ca="1" si="22"/>
        <v>#N/A</v>
      </c>
      <c r="BV51" s="49" t="e">
        <f t="shared" ca="1" si="23"/>
        <v>#N/A</v>
      </c>
    </row>
    <row r="52" spans="1:74" ht="17.25" thickBot="1" x14ac:dyDescent="0.35">
      <c r="A52" s="59" t="s">
        <v>191</v>
      </c>
      <c r="B52" s="60"/>
      <c r="C52" s="48" t="s">
        <v>77</v>
      </c>
      <c r="D52" s="48">
        <f>D37+스펙계산기!H15</f>
        <v>0</v>
      </c>
      <c r="E52" s="43">
        <v>0</v>
      </c>
      <c r="F52" s="57" t="e">
        <f ca="1">(4*((순스탯+E47)*(1+스탯퍼/100)+D57)+부스탯)/(4*((순스탯)*(1+스탯퍼/100)+D57)+부스탯)</f>
        <v>#DIV/0!</v>
      </c>
      <c r="G52" s="48" t="s">
        <v>77</v>
      </c>
      <c r="H52" s="48">
        <f>보공+스펙계산기!M19</f>
        <v>0</v>
      </c>
      <c r="I52" s="47" t="s">
        <v>77</v>
      </c>
      <c r="J52" s="48">
        <f>보공+스펙계산기!M28</f>
        <v>0</v>
      </c>
      <c r="K52" s="47"/>
      <c r="L52" s="48" t="str">
        <f ca="1">스펙계산기!Q24</f>
        <v xml:space="preserve"> D 2레벨</v>
      </c>
      <c r="M52" s="48">
        <f ca="1">(4*ROUNDDOWN((순스탯-P$64+4+N$46*1.6)*(1+스탯퍼/100-P$65)+D$57,)+부스탯)*ROUNDDOWN((공마-P$66+4)*(1+공마퍼),)*(1+데미지+보공-P$69)*(MIN(1,크확-P67)*(1.35+크뎀-P$68-IF(크리인=1,P67*크리인뎀,))+(1-MIN(1,크확-P67)))</f>
        <v>64</v>
      </c>
      <c r="N52" s="48" t="e">
        <f ca="1">M52/N45-1</f>
        <v>#DIV/0!</v>
      </c>
      <c r="O52" s="48">
        <f ca="1">ROUNDDOWN((순스탯+N$46*1.6-P$64+4)*(1+스탯퍼/100-P65)+D$57,)</f>
        <v>4</v>
      </c>
      <c r="P52" s="58">
        <f t="shared" ca="1" si="51"/>
        <v>4</v>
      </c>
      <c r="R52" s="47">
        <v>3000</v>
      </c>
      <c r="S52" s="48">
        <v>18</v>
      </c>
      <c r="T52" s="58" t="s">
        <v>285</v>
      </c>
      <c r="U52" s="47" t="str">
        <f>스펙계산기!V29</f>
        <v xml:space="preserve"> 보스 데미지</v>
      </c>
      <c r="V52" s="58">
        <f>스펙계산기!W29</f>
        <v>0</v>
      </c>
      <c r="W52" s="80">
        <v>165</v>
      </c>
      <c r="X52" s="73">
        <v>100</v>
      </c>
      <c r="Y52" s="48" t="e">
        <f t="shared" si="25"/>
        <v>#N/A</v>
      </c>
      <c r="Z52" s="61" t="e">
        <f t="shared" si="26"/>
        <v>#N/A</v>
      </c>
      <c r="AA52" s="61" t="e">
        <f t="shared" si="31"/>
        <v>#N/A</v>
      </c>
      <c r="AB52" s="61" t="e">
        <f t="shared" si="27"/>
        <v>#N/A</v>
      </c>
      <c r="AC52" s="61" t="e">
        <f t="shared" si="28"/>
        <v>#N/A</v>
      </c>
      <c r="AD52" s="61" t="e">
        <f t="shared" si="29"/>
        <v>#N/A</v>
      </c>
      <c r="AE52" s="61" t="e">
        <f t="shared" si="32"/>
        <v>#N/A</v>
      </c>
      <c r="AF52" s="61">
        <f t="shared" si="33"/>
        <v>0</v>
      </c>
      <c r="AG52" s="61" t="e">
        <f t="shared" si="34"/>
        <v>#N/A</v>
      </c>
      <c r="AH52" s="61" t="e">
        <f t="shared" si="35"/>
        <v>#N/A</v>
      </c>
      <c r="AI52" s="61" t="e">
        <f t="shared" si="36"/>
        <v>#N/A</v>
      </c>
      <c r="AJ52" s="61" t="e">
        <f t="shared" si="37"/>
        <v>#N/A</v>
      </c>
      <c r="AK52" s="61" t="e">
        <f t="shared" si="38"/>
        <v>#N/A</v>
      </c>
      <c r="AL52" s="61" t="e">
        <f t="shared" si="39"/>
        <v>#N/A</v>
      </c>
      <c r="AM52" s="61" t="e">
        <f t="shared" si="40"/>
        <v>#N/A</v>
      </c>
      <c r="AN52" s="61" t="e">
        <f t="shared" si="41"/>
        <v>#N/A</v>
      </c>
      <c r="AO52" s="61" t="e">
        <f t="shared" si="42"/>
        <v>#N/A</v>
      </c>
      <c r="AP52" s="61" t="e">
        <f t="shared" si="43"/>
        <v>#N/A</v>
      </c>
      <c r="AQ52" s="61" t="e">
        <f t="shared" si="44"/>
        <v>#N/A</v>
      </c>
      <c r="AR52" s="61" t="e">
        <f t="shared" si="45"/>
        <v>#N/A</v>
      </c>
      <c r="AS52" s="61" t="e">
        <f t="shared" ca="1" si="46"/>
        <v>#N/A</v>
      </c>
      <c r="AT52" s="61" t="e">
        <f t="shared" ca="1" si="47"/>
        <v>#N/A</v>
      </c>
      <c r="AU52" s="61" t="e">
        <f t="shared" si="30"/>
        <v>#N/A</v>
      </c>
      <c r="AV52" s="61" t="e">
        <f t="shared" si="48"/>
        <v>#N/A</v>
      </c>
      <c r="AW52" s="61" t="e">
        <f t="shared" si="49"/>
        <v>#N/A</v>
      </c>
      <c r="AX52" s="61" t="e">
        <f t="shared" si="50"/>
        <v>#N/A</v>
      </c>
      <c r="AY52" s="74" t="e">
        <f t="shared" ca="1" si="0"/>
        <v>#N/A</v>
      </c>
      <c r="AZ52" s="74" t="e">
        <f t="shared" ca="1" si="1"/>
        <v>#N/A</v>
      </c>
      <c r="BA52" s="74" t="e">
        <f t="shared" ca="1" si="2"/>
        <v>#N/A</v>
      </c>
      <c r="BB52" s="74" t="e">
        <f t="shared" ca="1" si="3"/>
        <v>#N/A</v>
      </c>
      <c r="BC52" s="74" t="e">
        <f t="shared" ca="1" si="4"/>
        <v>#N/A</v>
      </c>
      <c r="BD52" s="74" t="e">
        <f t="shared" ca="1" si="5"/>
        <v>#N/A</v>
      </c>
      <c r="BE52" s="49" t="e">
        <f t="shared" ca="1" si="6"/>
        <v>#N/A</v>
      </c>
      <c r="BF52" s="49" t="e">
        <f t="shared" ca="1" si="10"/>
        <v>#N/A</v>
      </c>
      <c r="BG52" s="49" t="e">
        <f t="shared" ca="1" si="7"/>
        <v>#N/A</v>
      </c>
      <c r="BH52" s="49" t="e">
        <f t="shared" ca="1" si="11"/>
        <v>#N/A</v>
      </c>
      <c r="BI52" s="49">
        <f t="shared" si="8"/>
        <v>0</v>
      </c>
      <c r="BJ52" s="49" t="e">
        <f t="shared" ca="1" si="12"/>
        <v>#N/A</v>
      </c>
      <c r="BK52" s="71" t="e">
        <f t="shared" ca="1" si="13"/>
        <v>#N/A</v>
      </c>
      <c r="BL52" s="71" t="e">
        <f t="shared" ca="1" si="14"/>
        <v>#N/A</v>
      </c>
      <c r="BM52" s="71" t="e">
        <f t="shared" ca="1" si="15"/>
        <v>#N/A</v>
      </c>
      <c r="BN52" s="71" t="e">
        <f t="shared" ca="1" si="16"/>
        <v>#N/A</v>
      </c>
      <c r="BO52" s="75" t="e">
        <f t="shared" ca="1" si="9"/>
        <v>#N/A</v>
      </c>
      <c r="BP52" s="49" t="e">
        <f t="shared" ca="1" si="17"/>
        <v>#N/A</v>
      </c>
      <c r="BQ52" s="49" t="e">
        <f t="shared" ca="1" si="18"/>
        <v>#N/A</v>
      </c>
      <c r="BR52" s="49" t="e">
        <f t="shared" ca="1" si="19"/>
        <v>#N/A</v>
      </c>
      <c r="BS52" s="49" t="e">
        <f t="shared" ca="1" si="20"/>
        <v>#N/A</v>
      </c>
      <c r="BT52" s="49" t="e">
        <f t="shared" ca="1" si="21"/>
        <v>#N/A</v>
      </c>
      <c r="BU52" s="49" t="e">
        <f t="shared" ca="1" si="22"/>
        <v>#N/A</v>
      </c>
      <c r="BV52" s="49" t="e">
        <f t="shared" ca="1" si="23"/>
        <v>#N/A</v>
      </c>
    </row>
    <row r="53" spans="1:74" x14ac:dyDescent="0.3">
      <c r="A53" s="47"/>
      <c r="B53" s="48"/>
      <c r="C53" s="47" t="s">
        <v>70</v>
      </c>
      <c r="D53" s="48">
        <f>IF(스펙계산기!F16&lt;0,D38+스펙계산기!F16,(1+D38)*(1+스펙계산기!F16)-1)</f>
        <v>0</v>
      </c>
      <c r="E53" s="47">
        <v>1</v>
      </c>
      <c r="F53" s="58" t="e">
        <f ca="1">(4*((순스탯)*(1+(스탯퍼+E47)/100)+D57)+부스탯)/(4*((순스탯)*(1+(스탯퍼)/100)+D57)+부스탯)</f>
        <v>#DIV/0!</v>
      </c>
      <c r="G53" s="48" t="s">
        <v>70</v>
      </c>
      <c r="H53" s="48">
        <f>최종뎀</f>
        <v>0</v>
      </c>
      <c r="I53" s="47" t="s">
        <v>70</v>
      </c>
      <c r="J53" s="48">
        <f>최종뎀</f>
        <v>0</v>
      </c>
      <c r="K53" s="47"/>
      <c r="L53" s="48" t="str">
        <f ca="1">스펙계산기!Q25</f>
        <v xml:space="preserve"> D 3레벨</v>
      </c>
      <c r="M53" s="48">
        <f ca="1">(4*ROUNDDOWN((순스탯-P$64+4+N$46*2.3)*(1+스탯퍼/100-P$65)+D$57,)+부스탯)*ROUNDDOWN((공마-P$66+4)*(1+공마퍼),)*(1+데미지+보공-P$69)*(MIN(1,크확-P67)*(1.35+크뎀-P$68-IF(크리인=1,P67*크리인뎀,))+(1-MIN(1,크확-P67)))</f>
        <v>64</v>
      </c>
      <c r="N53" s="48" t="e">
        <f ca="1">M53/N45-1</f>
        <v>#DIV/0!</v>
      </c>
      <c r="O53" s="48">
        <f ca="1">ROUNDDOWN((순스탯+N$46*2.3-P$64+4)*(1+스탯퍼/100-P65)+D$57,)</f>
        <v>4</v>
      </c>
      <c r="P53" s="58">
        <f t="shared" ca="1" si="51"/>
        <v>4</v>
      </c>
      <c r="R53" s="47">
        <v>3500</v>
      </c>
      <c r="S53" s="48">
        <v>19</v>
      </c>
      <c r="T53" s="58" t="s">
        <v>289</v>
      </c>
      <c r="U53" s="47" t="str">
        <f>스펙계산기!V30</f>
        <v xml:space="preserve"> 방어율 무시</v>
      </c>
      <c r="V53" s="58">
        <f>스펙계산기!W30</f>
        <v>0</v>
      </c>
      <c r="W53" s="80">
        <v>166</v>
      </c>
      <c r="X53" s="73">
        <v>105</v>
      </c>
      <c r="Y53" s="48" t="e">
        <f t="shared" si="25"/>
        <v>#N/A</v>
      </c>
      <c r="Z53" s="61" t="e">
        <f t="shared" si="26"/>
        <v>#N/A</v>
      </c>
      <c r="AA53" s="61" t="e">
        <f t="shared" si="31"/>
        <v>#N/A</v>
      </c>
      <c r="AB53" s="61" t="e">
        <f t="shared" si="27"/>
        <v>#N/A</v>
      </c>
      <c r="AC53" s="61" t="e">
        <f t="shared" si="28"/>
        <v>#N/A</v>
      </c>
      <c r="AD53" s="61" t="e">
        <f t="shared" si="29"/>
        <v>#N/A</v>
      </c>
      <c r="AE53" s="61" t="e">
        <f t="shared" si="32"/>
        <v>#N/A</v>
      </c>
      <c r="AF53" s="61">
        <f t="shared" si="33"/>
        <v>0</v>
      </c>
      <c r="AG53" s="61" t="e">
        <f t="shared" si="34"/>
        <v>#N/A</v>
      </c>
      <c r="AH53" s="61" t="e">
        <f t="shared" si="35"/>
        <v>#N/A</v>
      </c>
      <c r="AI53" s="61" t="e">
        <f t="shared" si="36"/>
        <v>#N/A</v>
      </c>
      <c r="AJ53" s="61" t="e">
        <f t="shared" si="37"/>
        <v>#N/A</v>
      </c>
      <c r="AK53" s="61" t="e">
        <f t="shared" si="38"/>
        <v>#N/A</v>
      </c>
      <c r="AL53" s="61" t="e">
        <f t="shared" si="39"/>
        <v>#N/A</v>
      </c>
      <c r="AM53" s="61" t="e">
        <f t="shared" si="40"/>
        <v>#N/A</v>
      </c>
      <c r="AN53" s="61" t="e">
        <f t="shared" si="41"/>
        <v>#N/A</v>
      </c>
      <c r="AO53" s="61" t="e">
        <f t="shared" si="42"/>
        <v>#N/A</v>
      </c>
      <c r="AP53" s="61" t="e">
        <f t="shared" si="43"/>
        <v>#N/A</v>
      </c>
      <c r="AQ53" s="61" t="e">
        <f t="shared" si="44"/>
        <v>#N/A</v>
      </c>
      <c r="AR53" s="61" t="e">
        <f t="shared" si="45"/>
        <v>#N/A</v>
      </c>
      <c r="AS53" s="61" t="e">
        <f t="shared" ca="1" si="46"/>
        <v>#N/A</v>
      </c>
      <c r="AT53" s="61" t="e">
        <f t="shared" ca="1" si="47"/>
        <v>#N/A</v>
      </c>
      <c r="AU53" s="61" t="e">
        <f t="shared" si="30"/>
        <v>#N/A</v>
      </c>
      <c r="AV53" s="61" t="e">
        <f t="shared" si="48"/>
        <v>#N/A</v>
      </c>
      <c r="AW53" s="61" t="e">
        <f t="shared" si="49"/>
        <v>#N/A</v>
      </c>
      <c r="AX53" s="61" t="e">
        <f t="shared" si="50"/>
        <v>#N/A</v>
      </c>
      <c r="AY53" s="74" t="e">
        <f t="shared" ca="1" si="0"/>
        <v>#N/A</v>
      </c>
      <c r="AZ53" s="74" t="e">
        <f t="shared" ca="1" si="1"/>
        <v>#N/A</v>
      </c>
      <c r="BA53" s="74" t="e">
        <f t="shared" ca="1" si="2"/>
        <v>#N/A</v>
      </c>
      <c r="BB53" s="74" t="e">
        <f t="shared" ca="1" si="3"/>
        <v>#N/A</v>
      </c>
      <c r="BC53" s="74" t="e">
        <f t="shared" ca="1" si="4"/>
        <v>#N/A</v>
      </c>
      <c r="BD53" s="74" t="e">
        <f t="shared" ca="1" si="5"/>
        <v>#N/A</v>
      </c>
      <c r="BE53" s="49" t="e">
        <f t="shared" ca="1" si="6"/>
        <v>#N/A</v>
      </c>
      <c r="BF53" s="49" t="e">
        <f t="shared" ca="1" si="10"/>
        <v>#N/A</v>
      </c>
      <c r="BG53" s="49" t="e">
        <f t="shared" ca="1" si="7"/>
        <v>#N/A</v>
      </c>
      <c r="BH53" s="49" t="e">
        <f t="shared" ca="1" si="11"/>
        <v>#N/A</v>
      </c>
      <c r="BI53" s="49">
        <f t="shared" si="8"/>
        <v>0</v>
      </c>
      <c r="BJ53" s="49" t="e">
        <f t="shared" ca="1" si="12"/>
        <v>#N/A</v>
      </c>
      <c r="BK53" s="71" t="e">
        <f t="shared" ca="1" si="13"/>
        <v>#N/A</v>
      </c>
      <c r="BL53" s="71" t="e">
        <f t="shared" ca="1" si="14"/>
        <v>#N/A</v>
      </c>
      <c r="BM53" s="71" t="e">
        <f t="shared" ca="1" si="15"/>
        <v>#N/A</v>
      </c>
      <c r="BN53" s="71" t="e">
        <f t="shared" ca="1" si="16"/>
        <v>#N/A</v>
      </c>
      <c r="BO53" s="75" t="e">
        <f t="shared" ca="1" si="9"/>
        <v>#N/A</v>
      </c>
      <c r="BP53" s="49" t="e">
        <f t="shared" ca="1" si="17"/>
        <v>#N/A</v>
      </c>
      <c r="BQ53" s="49" t="e">
        <f t="shared" ca="1" si="18"/>
        <v>#N/A</v>
      </c>
      <c r="BR53" s="49" t="e">
        <f t="shared" ca="1" si="19"/>
        <v>#N/A</v>
      </c>
      <c r="BS53" s="49" t="e">
        <f t="shared" ca="1" si="20"/>
        <v>#N/A</v>
      </c>
      <c r="BT53" s="49" t="e">
        <f t="shared" ca="1" si="21"/>
        <v>#N/A</v>
      </c>
      <c r="BU53" s="49" t="e">
        <f t="shared" ca="1" si="22"/>
        <v>#N/A</v>
      </c>
      <c r="BV53" s="49" t="e">
        <f t="shared" ca="1" si="23"/>
        <v>#N/A</v>
      </c>
    </row>
    <row r="54" spans="1:74" ht="17.25" thickBot="1" x14ac:dyDescent="0.35">
      <c r="A54" s="47"/>
      <c r="B54" s="48"/>
      <c r="C54" s="47" t="s">
        <v>62</v>
      </c>
      <c r="D54" s="48">
        <f>IF(스펙계산기!H16&lt;0,1-(1-D39)/(1+스펙계산기!H16),1-(1-D39)*(1-스펙계산기!H16))</f>
        <v>0</v>
      </c>
      <c r="E54" s="47">
        <v>2</v>
      </c>
      <c r="F54" s="58" t="e">
        <f ca="1">((공마+E47)*(1+공마퍼))/((공마)*(1+공마퍼))</f>
        <v>#DIV/0!</v>
      </c>
      <c r="G54" s="48" t="s">
        <v>62</v>
      </c>
      <c r="H54" s="58">
        <f>1-(1-방무)*(1-스펙계산기!M20)</f>
        <v>0</v>
      </c>
      <c r="I54" s="47" t="s">
        <v>62</v>
      </c>
      <c r="J54" s="48">
        <f>1-(1-방무)*(1-스펙계산기!M29)</f>
        <v>0</v>
      </c>
      <c r="K54" s="59"/>
      <c r="L54" s="78" t="str">
        <f ca="1">스펙계산기!Q26</f>
        <v xml:space="preserve"> D 4레벨</v>
      </c>
      <c r="M54" s="78">
        <f ca="1">(4*ROUNDDOWN((순스탯-P$64+4+N$46*3)*(1+스탯퍼/100-P$65)+D$57,)+부스탯)*ROUNDDOWN((공마-P$66+4)*(1+공마퍼),)*(1+데미지+보공-P$69)*(MIN(1,크확-P67)*(1.35+크뎀-P$68-IF(크리인=1,P67*크리인뎀,))+(1-MIN(1,크확-P67)))</f>
        <v>64</v>
      </c>
      <c r="N54" s="78" t="e">
        <f ca="1">M54/N45-1</f>
        <v>#DIV/0!</v>
      </c>
      <c r="O54" s="78">
        <f ca="1">ROUNDDOWN((순스탯+N$46*3-P$64+4)*(1+스탯퍼/100-P65)+D$57,)</f>
        <v>4</v>
      </c>
      <c r="P54" s="60">
        <f t="shared" ca="1" si="51"/>
        <v>4</v>
      </c>
      <c r="R54" s="47">
        <v>4000</v>
      </c>
      <c r="S54" s="48">
        <v>20</v>
      </c>
      <c r="T54" s="58" t="s">
        <v>286</v>
      </c>
      <c r="U54" s="47" t="str">
        <f>스펙계산기!V18</f>
        <v xml:space="preserve"> 유니온 레벨</v>
      </c>
      <c r="V54" s="58">
        <f>스펙계산기!W18</f>
        <v>500</v>
      </c>
      <c r="W54" s="80">
        <v>167</v>
      </c>
      <c r="X54" s="73">
        <v>110</v>
      </c>
      <c r="Y54" s="48" t="e">
        <f t="shared" si="25"/>
        <v>#N/A</v>
      </c>
      <c r="Z54" s="61" t="e">
        <f t="shared" si="26"/>
        <v>#N/A</v>
      </c>
      <c r="AA54" s="61" t="e">
        <f t="shared" si="31"/>
        <v>#N/A</v>
      </c>
      <c r="AB54" s="61" t="e">
        <f t="shared" si="27"/>
        <v>#N/A</v>
      </c>
      <c r="AC54" s="61" t="e">
        <f t="shared" si="28"/>
        <v>#N/A</v>
      </c>
      <c r="AD54" s="61" t="e">
        <f t="shared" si="29"/>
        <v>#N/A</v>
      </c>
      <c r="AE54" s="61" t="e">
        <f t="shared" si="32"/>
        <v>#N/A</v>
      </c>
      <c r="AF54" s="61">
        <f t="shared" si="33"/>
        <v>0</v>
      </c>
      <c r="AG54" s="61" t="e">
        <f t="shared" si="34"/>
        <v>#N/A</v>
      </c>
      <c r="AH54" s="61" t="e">
        <f t="shared" si="35"/>
        <v>#N/A</v>
      </c>
      <c r="AI54" s="61" t="e">
        <f t="shared" si="36"/>
        <v>#N/A</v>
      </c>
      <c r="AJ54" s="61" t="e">
        <f t="shared" si="37"/>
        <v>#N/A</v>
      </c>
      <c r="AK54" s="61" t="e">
        <f t="shared" si="38"/>
        <v>#N/A</v>
      </c>
      <c r="AL54" s="61" t="e">
        <f t="shared" si="39"/>
        <v>#N/A</v>
      </c>
      <c r="AM54" s="61" t="e">
        <f t="shared" si="40"/>
        <v>#N/A</v>
      </c>
      <c r="AN54" s="61" t="e">
        <f t="shared" si="41"/>
        <v>#N/A</v>
      </c>
      <c r="AO54" s="61" t="e">
        <f t="shared" si="42"/>
        <v>#N/A</v>
      </c>
      <c r="AP54" s="61" t="e">
        <f t="shared" si="43"/>
        <v>#N/A</v>
      </c>
      <c r="AQ54" s="61" t="e">
        <f t="shared" si="44"/>
        <v>#N/A</v>
      </c>
      <c r="AR54" s="61" t="e">
        <f t="shared" si="45"/>
        <v>#N/A</v>
      </c>
      <c r="AS54" s="61" t="e">
        <f t="shared" ca="1" si="46"/>
        <v>#N/A</v>
      </c>
      <c r="AT54" s="61" t="e">
        <f t="shared" ca="1" si="47"/>
        <v>#N/A</v>
      </c>
      <c r="AU54" s="61" t="e">
        <f t="shared" si="30"/>
        <v>#N/A</v>
      </c>
      <c r="AV54" s="61" t="e">
        <f t="shared" si="48"/>
        <v>#N/A</v>
      </c>
      <c r="AW54" s="61" t="e">
        <f t="shared" si="49"/>
        <v>#N/A</v>
      </c>
      <c r="AX54" s="61" t="e">
        <f t="shared" si="50"/>
        <v>#N/A</v>
      </c>
      <c r="AY54" s="74" t="e">
        <f t="shared" ca="1" si="0"/>
        <v>#N/A</v>
      </c>
      <c r="AZ54" s="74" t="e">
        <f t="shared" ca="1" si="1"/>
        <v>#N/A</v>
      </c>
      <c r="BA54" s="74" t="e">
        <f t="shared" ca="1" si="2"/>
        <v>#N/A</v>
      </c>
      <c r="BB54" s="74" t="e">
        <f t="shared" ca="1" si="3"/>
        <v>#N/A</v>
      </c>
      <c r="BC54" s="74" t="e">
        <f t="shared" ca="1" si="4"/>
        <v>#N/A</v>
      </c>
      <c r="BD54" s="74" t="e">
        <f t="shared" ca="1" si="5"/>
        <v>#N/A</v>
      </c>
      <c r="BE54" s="49" t="e">
        <f t="shared" ca="1" si="6"/>
        <v>#N/A</v>
      </c>
      <c r="BF54" s="49" t="e">
        <f t="shared" ca="1" si="10"/>
        <v>#N/A</v>
      </c>
      <c r="BG54" s="49" t="e">
        <f t="shared" ca="1" si="7"/>
        <v>#N/A</v>
      </c>
      <c r="BH54" s="49" t="e">
        <f t="shared" ca="1" si="11"/>
        <v>#N/A</v>
      </c>
      <c r="BI54" s="49">
        <f t="shared" si="8"/>
        <v>0</v>
      </c>
      <c r="BJ54" s="49" t="e">
        <f t="shared" ca="1" si="12"/>
        <v>#N/A</v>
      </c>
      <c r="BK54" s="71" t="e">
        <f t="shared" ca="1" si="13"/>
        <v>#N/A</v>
      </c>
      <c r="BL54" s="71" t="e">
        <f t="shared" ca="1" si="14"/>
        <v>#N/A</v>
      </c>
      <c r="BM54" s="71" t="e">
        <f t="shared" ca="1" si="15"/>
        <v>#N/A</v>
      </c>
      <c r="BN54" s="71" t="e">
        <f t="shared" ca="1" si="16"/>
        <v>#N/A</v>
      </c>
      <c r="BO54" s="75" t="e">
        <f t="shared" ca="1" si="9"/>
        <v>#N/A</v>
      </c>
      <c r="BP54" s="49" t="e">
        <f t="shared" ca="1" si="17"/>
        <v>#N/A</v>
      </c>
      <c r="BQ54" s="49" t="e">
        <f t="shared" ca="1" si="18"/>
        <v>#N/A</v>
      </c>
      <c r="BR54" s="49" t="e">
        <f t="shared" ca="1" si="19"/>
        <v>#N/A</v>
      </c>
      <c r="BS54" s="49" t="e">
        <f t="shared" ca="1" si="20"/>
        <v>#N/A</v>
      </c>
      <c r="BT54" s="49" t="e">
        <f t="shared" ca="1" si="21"/>
        <v>#N/A</v>
      </c>
      <c r="BU54" s="49" t="e">
        <f t="shared" ca="1" si="22"/>
        <v>#N/A</v>
      </c>
      <c r="BV54" s="49" t="e">
        <f t="shared" ca="1" si="23"/>
        <v>#N/A</v>
      </c>
    </row>
    <row r="55" spans="1:74" x14ac:dyDescent="0.3">
      <c r="A55" s="47"/>
      <c r="B55" s="48"/>
      <c r="C55" s="47" t="s">
        <v>65</v>
      </c>
      <c r="D55" s="48">
        <f>MIN(3,D40+스펙계산기!F17)</f>
        <v>0</v>
      </c>
      <c r="E55" s="47">
        <v>3</v>
      </c>
      <c r="F55" s="58" t="e">
        <f ca="1">(공마*(1+공마퍼+E47/100))/(공마*(1+공마퍼))</f>
        <v>#DIV/0!</v>
      </c>
      <c r="G55" s="48" t="s">
        <v>65</v>
      </c>
      <c r="H55" s="58">
        <f>MIN(3,MAX(0,크확+스펙계산기!K20))</f>
        <v>0</v>
      </c>
      <c r="I55" s="47" t="s">
        <v>65</v>
      </c>
      <c r="J55" s="48">
        <f>MIN(3,MAX(0,크확+스펙계산기!K29))</f>
        <v>0</v>
      </c>
      <c r="K55" s="47" t="s">
        <v>182</v>
      </c>
      <c r="L55" s="48" t="str">
        <f>스펙계산기!Q28</f>
        <v xml:space="preserve"> 1레벨</v>
      </c>
      <c r="M55" s="48">
        <f ca="1">(4*ROUNDDOWN((순스탯-P$64+4+P$46*0.01)*(1+스탯퍼/100-P$65)+D$57,)+부스탯)*ROUNDDOWN((공마-P$66+4)*(1+공마퍼),)*(1+데미지+보공-P$69)*(MIN(1,크확-P67)*(1.35+크뎀-P$68-IF(크리인=1,P67*크리인뎀,))+(1-MIN(1,크확-P67)))</f>
        <v>64</v>
      </c>
      <c r="N55" s="48" t="e">
        <f ca="1">M55/N45-1</f>
        <v>#DIV/0!</v>
      </c>
      <c r="O55" s="48">
        <f ca="1">ROUNDDOWN((순스탯+P$46*0.01-P$64+4)*(1+스탯퍼/100-P65)+D$57,)</f>
        <v>4</v>
      </c>
      <c r="P55" s="58">
        <f t="shared" ca="1" si="51"/>
        <v>4</v>
      </c>
      <c r="R55" s="47">
        <v>4500</v>
      </c>
      <c r="S55" s="48">
        <v>21</v>
      </c>
      <c r="T55" s="58" t="s">
        <v>287</v>
      </c>
      <c r="U55" s="47" t="s">
        <v>210</v>
      </c>
      <c r="V55" s="58">
        <f>VLOOKUP(V54,R47:S66,2)</f>
        <v>9</v>
      </c>
      <c r="W55" s="80">
        <v>168</v>
      </c>
      <c r="X55" s="73">
        <v>115</v>
      </c>
      <c r="Y55" s="48" t="e">
        <f t="shared" si="25"/>
        <v>#N/A</v>
      </c>
      <c r="Z55" s="61" t="e">
        <f t="shared" si="26"/>
        <v>#N/A</v>
      </c>
      <c r="AA55" s="61" t="e">
        <f t="shared" si="31"/>
        <v>#N/A</v>
      </c>
      <c r="AB55" s="61" t="e">
        <f t="shared" si="27"/>
        <v>#N/A</v>
      </c>
      <c r="AC55" s="61" t="e">
        <f t="shared" si="28"/>
        <v>#N/A</v>
      </c>
      <c r="AD55" s="61" t="e">
        <f t="shared" si="29"/>
        <v>#N/A</v>
      </c>
      <c r="AE55" s="61" t="e">
        <f t="shared" si="32"/>
        <v>#N/A</v>
      </c>
      <c r="AF55" s="61">
        <f t="shared" si="33"/>
        <v>0</v>
      </c>
      <c r="AG55" s="61" t="e">
        <f t="shared" si="34"/>
        <v>#N/A</v>
      </c>
      <c r="AH55" s="61" t="e">
        <f t="shared" si="35"/>
        <v>#N/A</v>
      </c>
      <c r="AI55" s="61" t="e">
        <f t="shared" si="36"/>
        <v>#N/A</v>
      </c>
      <c r="AJ55" s="61" t="e">
        <f t="shared" si="37"/>
        <v>#N/A</v>
      </c>
      <c r="AK55" s="61" t="e">
        <f t="shared" si="38"/>
        <v>#N/A</v>
      </c>
      <c r="AL55" s="61" t="e">
        <f t="shared" si="39"/>
        <v>#N/A</v>
      </c>
      <c r="AM55" s="61" t="e">
        <f t="shared" si="40"/>
        <v>#N/A</v>
      </c>
      <c r="AN55" s="61" t="e">
        <f t="shared" si="41"/>
        <v>#N/A</v>
      </c>
      <c r="AO55" s="61" t="e">
        <f t="shared" si="42"/>
        <v>#N/A</v>
      </c>
      <c r="AP55" s="61" t="e">
        <f t="shared" si="43"/>
        <v>#N/A</v>
      </c>
      <c r="AQ55" s="61" t="e">
        <f t="shared" si="44"/>
        <v>#N/A</v>
      </c>
      <c r="AR55" s="61" t="e">
        <f t="shared" si="45"/>
        <v>#N/A</v>
      </c>
      <c r="AS55" s="61" t="e">
        <f t="shared" ca="1" si="46"/>
        <v>#N/A</v>
      </c>
      <c r="AT55" s="61" t="e">
        <f t="shared" ca="1" si="47"/>
        <v>#N/A</v>
      </c>
      <c r="AU55" s="61" t="e">
        <f t="shared" si="30"/>
        <v>#N/A</v>
      </c>
      <c r="AV55" s="61" t="e">
        <f t="shared" si="48"/>
        <v>#N/A</v>
      </c>
      <c r="AW55" s="61" t="e">
        <f t="shared" si="49"/>
        <v>#N/A</v>
      </c>
      <c r="AX55" s="61" t="e">
        <f t="shared" si="50"/>
        <v>#N/A</v>
      </c>
      <c r="AY55" s="74" t="e">
        <f t="shared" ca="1" si="0"/>
        <v>#N/A</v>
      </c>
      <c r="AZ55" s="74" t="e">
        <f t="shared" ca="1" si="1"/>
        <v>#N/A</v>
      </c>
      <c r="BA55" s="74" t="e">
        <f t="shared" ca="1" si="2"/>
        <v>#N/A</v>
      </c>
      <c r="BB55" s="74" t="e">
        <f t="shared" ca="1" si="3"/>
        <v>#N/A</v>
      </c>
      <c r="BC55" s="74" t="e">
        <f t="shared" ca="1" si="4"/>
        <v>#N/A</v>
      </c>
      <c r="BD55" s="74" t="e">
        <f t="shared" ca="1" si="5"/>
        <v>#N/A</v>
      </c>
      <c r="BE55" s="49" t="e">
        <f t="shared" ca="1" si="6"/>
        <v>#N/A</v>
      </c>
      <c r="BF55" s="49" t="e">
        <f t="shared" ca="1" si="10"/>
        <v>#N/A</v>
      </c>
      <c r="BG55" s="49" t="e">
        <f t="shared" ca="1" si="7"/>
        <v>#N/A</v>
      </c>
      <c r="BH55" s="49" t="e">
        <f t="shared" ca="1" si="11"/>
        <v>#N/A</v>
      </c>
      <c r="BI55" s="49">
        <f t="shared" si="8"/>
        <v>0</v>
      </c>
      <c r="BJ55" s="49" t="e">
        <f t="shared" ca="1" si="12"/>
        <v>#N/A</v>
      </c>
      <c r="BK55" s="71" t="e">
        <f t="shared" ca="1" si="13"/>
        <v>#N/A</v>
      </c>
      <c r="BL55" s="71" t="e">
        <f t="shared" ca="1" si="14"/>
        <v>#N/A</v>
      </c>
      <c r="BM55" s="71" t="e">
        <f t="shared" ca="1" si="15"/>
        <v>#N/A</v>
      </c>
      <c r="BN55" s="71" t="e">
        <f t="shared" ca="1" si="16"/>
        <v>#N/A</v>
      </c>
      <c r="BO55" s="75" t="e">
        <f t="shared" ca="1" si="9"/>
        <v>#N/A</v>
      </c>
      <c r="BP55" s="49" t="e">
        <f t="shared" ca="1" si="17"/>
        <v>#N/A</v>
      </c>
      <c r="BQ55" s="49" t="e">
        <f t="shared" ca="1" si="18"/>
        <v>#N/A</v>
      </c>
      <c r="BR55" s="49" t="e">
        <f t="shared" ca="1" si="19"/>
        <v>#N/A</v>
      </c>
      <c r="BS55" s="49" t="e">
        <f t="shared" ca="1" si="20"/>
        <v>#N/A</v>
      </c>
      <c r="BT55" s="49" t="e">
        <f t="shared" ca="1" si="21"/>
        <v>#N/A</v>
      </c>
      <c r="BU55" s="49" t="e">
        <f t="shared" ca="1" si="22"/>
        <v>#N/A</v>
      </c>
      <c r="BV55" s="49" t="e">
        <f t="shared" ca="1" si="23"/>
        <v>#N/A</v>
      </c>
    </row>
    <row r="56" spans="1:74" x14ac:dyDescent="0.3">
      <c r="A56" s="47"/>
      <c r="B56" s="48"/>
      <c r="C56" s="47" t="s">
        <v>59</v>
      </c>
      <c r="D56" s="48">
        <f>D41+스펙계산기!H17+IF(크리인=1,크확*크리인뎀,)</f>
        <v>0</v>
      </c>
      <c r="E56" s="47">
        <v>4</v>
      </c>
      <c r="F56" s="94">
        <f>(1+데미지+IF(보스=0,0,보공)+E47/100)/(1+데미지+IF(보스=0,0,보공))</f>
        <v>1</v>
      </c>
      <c r="G56" s="48" t="s">
        <v>59</v>
      </c>
      <c r="H56" s="48">
        <f>크뎀+스펙계산기!K21+IF(크리인=1,스펙계산기!K20*크리인뎀,)</f>
        <v>0</v>
      </c>
      <c r="I56" s="47" t="s">
        <v>59</v>
      </c>
      <c r="J56" s="48">
        <f>크뎀+스펙계산기!K30+IF(크리인=1,스펙계산기!K29*크리인뎀,)</f>
        <v>0</v>
      </c>
      <c r="K56" s="47"/>
      <c r="L56" s="48" t="str">
        <f>스펙계산기!Q29</f>
        <v xml:space="preserve"> 2레벨</v>
      </c>
      <c r="M56" s="48">
        <f ca="1">(4*ROUNDDOWN((순스탯-P$64+4+P$46*0.01)*(1+스탯퍼/100-P$65)+D$57,)+부스탯)*ROUNDDOWN((공마-P$66+4)*(1+공마퍼),)*(1+데미지+보공-P$69)*(MIN(1,크확-P67)*(1.35+크뎀-P$68-IF(크리인=1,P67*크리인뎀,))+(1-MIN(1,크확-P67)))</f>
        <v>64</v>
      </c>
      <c r="N56" s="48" t="e">
        <f ca="1">M56/N45-1</f>
        <v>#DIV/0!</v>
      </c>
      <c r="O56" s="48">
        <f ca="1">ROUNDDOWN((순스탯+P$46*0.01-P$64+4)*(1+스탯퍼/100-P65)+D$57,)</f>
        <v>4</v>
      </c>
      <c r="P56" s="58">
        <f t="shared" ca="1" si="51"/>
        <v>4</v>
      </c>
      <c r="R56" s="47">
        <v>5000</v>
      </c>
      <c r="S56" s="48">
        <v>22</v>
      </c>
      <c r="T56" s="58" t="s">
        <v>288</v>
      </c>
      <c r="U56" s="47" t="s">
        <v>214</v>
      </c>
      <c r="V56" s="58" t="e">
        <f>VLOOKUP(V54,S67:T71,2)</f>
        <v>#N/A</v>
      </c>
      <c r="W56" s="80">
        <v>169</v>
      </c>
      <c r="X56" s="73">
        <v>120</v>
      </c>
      <c r="Y56" s="48" t="e">
        <f t="shared" si="25"/>
        <v>#N/A</v>
      </c>
      <c r="Z56" s="61" t="e">
        <f t="shared" si="26"/>
        <v>#N/A</v>
      </c>
      <c r="AA56" s="61" t="e">
        <f t="shared" si="31"/>
        <v>#N/A</v>
      </c>
      <c r="AB56" s="61" t="e">
        <f t="shared" si="27"/>
        <v>#N/A</v>
      </c>
      <c r="AC56" s="61" t="e">
        <f t="shared" si="28"/>
        <v>#N/A</v>
      </c>
      <c r="AD56" s="61" t="e">
        <f t="shared" si="29"/>
        <v>#N/A</v>
      </c>
      <c r="AE56" s="61" t="e">
        <f t="shared" si="32"/>
        <v>#N/A</v>
      </c>
      <c r="AF56" s="61">
        <f t="shared" si="33"/>
        <v>0</v>
      </c>
      <c r="AG56" s="61" t="e">
        <f t="shared" si="34"/>
        <v>#N/A</v>
      </c>
      <c r="AH56" s="61" t="e">
        <f t="shared" si="35"/>
        <v>#N/A</v>
      </c>
      <c r="AI56" s="61" t="e">
        <f t="shared" si="36"/>
        <v>#N/A</v>
      </c>
      <c r="AJ56" s="61" t="e">
        <f t="shared" si="37"/>
        <v>#N/A</v>
      </c>
      <c r="AK56" s="61" t="e">
        <f t="shared" si="38"/>
        <v>#N/A</v>
      </c>
      <c r="AL56" s="61" t="e">
        <f t="shared" si="39"/>
        <v>#N/A</v>
      </c>
      <c r="AM56" s="61" t="e">
        <f t="shared" si="40"/>
        <v>#N/A</v>
      </c>
      <c r="AN56" s="61" t="e">
        <f t="shared" si="41"/>
        <v>#N/A</v>
      </c>
      <c r="AO56" s="61" t="e">
        <f t="shared" si="42"/>
        <v>#N/A</v>
      </c>
      <c r="AP56" s="61" t="e">
        <f t="shared" si="43"/>
        <v>#N/A</v>
      </c>
      <c r="AQ56" s="61" t="e">
        <f t="shared" si="44"/>
        <v>#N/A</v>
      </c>
      <c r="AR56" s="61" t="e">
        <f t="shared" si="45"/>
        <v>#N/A</v>
      </c>
      <c r="AS56" s="61" t="e">
        <f t="shared" ca="1" si="46"/>
        <v>#N/A</v>
      </c>
      <c r="AT56" s="61" t="e">
        <f t="shared" ca="1" si="47"/>
        <v>#N/A</v>
      </c>
      <c r="AU56" s="61" t="e">
        <f t="shared" si="30"/>
        <v>#N/A</v>
      </c>
      <c r="AV56" s="61" t="e">
        <f t="shared" si="48"/>
        <v>#N/A</v>
      </c>
      <c r="AW56" s="61" t="e">
        <f t="shared" si="49"/>
        <v>#N/A</v>
      </c>
      <c r="AX56" s="61" t="e">
        <f t="shared" si="50"/>
        <v>#N/A</v>
      </c>
      <c r="AY56" s="74" t="e">
        <f t="shared" ca="1" si="0"/>
        <v>#N/A</v>
      </c>
      <c r="AZ56" s="74" t="e">
        <f t="shared" ca="1" si="1"/>
        <v>#N/A</v>
      </c>
      <c r="BA56" s="74" t="e">
        <f t="shared" ca="1" si="2"/>
        <v>#N/A</v>
      </c>
      <c r="BB56" s="74" t="e">
        <f t="shared" ca="1" si="3"/>
        <v>#N/A</v>
      </c>
      <c r="BC56" s="74" t="e">
        <f t="shared" ca="1" si="4"/>
        <v>#N/A</v>
      </c>
      <c r="BD56" s="74" t="e">
        <f t="shared" ca="1" si="5"/>
        <v>#N/A</v>
      </c>
      <c r="BE56" s="49" t="e">
        <f t="shared" ca="1" si="6"/>
        <v>#N/A</v>
      </c>
      <c r="BF56" s="49" t="e">
        <f t="shared" ca="1" si="10"/>
        <v>#N/A</v>
      </c>
      <c r="BG56" s="49" t="e">
        <f t="shared" ca="1" si="7"/>
        <v>#N/A</v>
      </c>
      <c r="BH56" s="49" t="e">
        <f t="shared" ca="1" si="11"/>
        <v>#N/A</v>
      </c>
      <c r="BI56" s="49">
        <f t="shared" si="8"/>
        <v>0</v>
      </c>
      <c r="BJ56" s="49" t="e">
        <f t="shared" ca="1" si="12"/>
        <v>#N/A</v>
      </c>
      <c r="BK56" s="71" t="e">
        <f t="shared" ca="1" si="13"/>
        <v>#N/A</v>
      </c>
      <c r="BL56" s="71" t="e">
        <f t="shared" ca="1" si="14"/>
        <v>#N/A</v>
      </c>
      <c r="BM56" s="71" t="e">
        <f t="shared" ca="1" si="15"/>
        <v>#N/A</v>
      </c>
      <c r="BN56" s="71" t="e">
        <f t="shared" ca="1" si="16"/>
        <v>#N/A</v>
      </c>
      <c r="BO56" s="75" t="e">
        <f t="shared" ca="1" si="9"/>
        <v>#N/A</v>
      </c>
      <c r="BP56" s="49" t="e">
        <f t="shared" ca="1" si="17"/>
        <v>#N/A</v>
      </c>
      <c r="BQ56" s="49" t="e">
        <f t="shared" ca="1" si="18"/>
        <v>#N/A</v>
      </c>
      <c r="BR56" s="49" t="e">
        <f t="shared" ca="1" si="19"/>
        <v>#N/A</v>
      </c>
      <c r="BS56" s="49" t="e">
        <f t="shared" ca="1" si="20"/>
        <v>#N/A</v>
      </c>
      <c r="BT56" s="49" t="e">
        <f t="shared" ca="1" si="21"/>
        <v>#N/A</v>
      </c>
      <c r="BU56" s="49" t="e">
        <f t="shared" ca="1" si="22"/>
        <v>#N/A</v>
      </c>
      <c r="BV56" s="49" t="e">
        <f t="shared" ca="1" si="23"/>
        <v>#N/A</v>
      </c>
    </row>
    <row r="57" spans="1:74" ht="17.25" thickBot="1" x14ac:dyDescent="0.35">
      <c r="A57" s="47"/>
      <c r="B57" s="48"/>
      <c r="C57" s="59" t="s">
        <v>139</v>
      </c>
      <c r="D57" s="78">
        <f ca="1">D44</f>
        <v>0</v>
      </c>
      <c r="E57" s="47">
        <v>5</v>
      </c>
      <c r="F57" s="58">
        <f>(1+데미지+IF(보스=0,0,보공)+IF(보스=0,0,E47/100))/(1+데미지+IF(보스=0,0,보공))</f>
        <v>1</v>
      </c>
      <c r="G57" s="78" t="s">
        <v>139</v>
      </c>
      <c r="H57" s="78">
        <f ca="1">D57+스펙계산기!M21*10</f>
        <v>0</v>
      </c>
      <c r="I57" s="59" t="s">
        <v>139</v>
      </c>
      <c r="J57" s="78">
        <f ca="1">D57+스펙계산기!M30*10</f>
        <v>0</v>
      </c>
      <c r="K57" s="47"/>
      <c r="L57" s="48" t="str">
        <f>스펙계산기!Q30</f>
        <v xml:space="preserve"> 3레벨</v>
      </c>
      <c r="M57" s="48">
        <f ca="1">(4*ROUNDDOWN((순스탯-P$64+4+P$46*0.02)*(1+스탯퍼/100-P$65)+D$57,)+부스탯)*ROUNDDOWN((공마-P$66+4)*(1+공마퍼),)*(1+데미지+보공-P$69)*(MIN(1,크확-P67)*(1.35+크뎀-P$68-IF(크리인=1,P67*크리인뎀,))+(1-MIN(1,크확-P67)))</f>
        <v>64</v>
      </c>
      <c r="N57" s="48" t="e">
        <f ca="1">M57/N45-1</f>
        <v>#DIV/0!</v>
      </c>
      <c r="O57" s="48">
        <f ca="1">ROUNDDOWN((순스탯+P$46*0.02-P$64+4)*(1+스탯퍼/100-P65)+D$57,)</f>
        <v>4</v>
      </c>
      <c r="P57" s="58">
        <f t="shared" ca="1" si="51"/>
        <v>4</v>
      </c>
      <c r="R57" s="47">
        <v>5500</v>
      </c>
      <c r="S57" s="48">
        <v>27</v>
      </c>
      <c r="T57" s="58" t="s">
        <v>290</v>
      </c>
      <c r="U57" s="47" t="s">
        <v>235</v>
      </c>
      <c r="V57" s="58">
        <f>5*T75+4*T76+3*T77+2*T78+1*T79+V47</f>
        <v>0</v>
      </c>
      <c r="W57" s="80">
        <v>170</v>
      </c>
      <c r="X57" s="73">
        <v>126</v>
      </c>
      <c r="Y57" s="48" t="e">
        <f t="shared" si="25"/>
        <v>#N/A</v>
      </c>
      <c r="Z57" s="61" t="e">
        <f t="shared" si="26"/>
        <v>#N/A</v>
      </c>
      <c r="AA57" s="61" t="e">
        <f t="shared" si="31"/>
        <v>#N/A</v>
      </c>
      <c r="AB57" s="61" t="e">
        <f t="shared" si="27"/>
        <v>#N/A</v>
      </c>
      <c r="AC57" s="61" t="e">
        <f t="shared" si="28"/>
        <v>#N/A</v>
      </c>
      <c r="AD57" s="61" t="e">
        <f t="shared" si="29"/>
        <v>#N/A</v>
      </c>
      <c r="AE57" s="61" t="e">
        <f t="shared" si="32"/>
        <v>#N/A</v>
      </c>
      <c r="AF57" s="61">
        <f t="shared" si="33"/>
        <v>0</v>
      </c>
      <c r="AG57" s="61" t="e">
        <f t="shared" si="34"/>
        <v>#N/A</v>
      </c>
      <c r="AH57" s="61" t="e">
        <f t="shared" si="35"/>
        <v>#N/A</v>
      </c>
      <c r="AI57" s="61" t="e">
        <f t="shared" si="36"/>
        <v>#N/A</v>
      </c>
      <c r="AJ57" s="61" t="e">
        <f t="shared" si="37"/>
        <v>#N/A</v>
      </c>
      <c r="AK57" s="61" t="e">
        <f t="shared" si="38"/>
        <v>#N/A</v>
      </c>
      <c r="AL57" s="61" t="e">
        <f t="shared" si="39"/>
        <v>#N/A</v>
      </c>
      <c r="AM57" s="61" t="e">
        <f t="shared" si="40"/>
        <v>#N/A</v>
      </c>
      <c r="AN57" s="61" t="e">
        <f t="shared" si="41"/>
        <v>#N/A</v>
      </c>
      <c r="AO57" s="61" t="e">
        <f t="shared" si="42"/>
        <v>#N/A</v>
      </c>
      <c r="AP57" s="61" t="e">
        <f t="shared" si="43"/>
        <v>#N/A</v>
      </c>
      <c r="AQ57" s="61" t="e">
        <f t="shared" si="44"/>
        <v>#N/A</v>
      </c>
      <c r="AR57" s="61" t="e">
        <f t="shared" si="45"/>
        <v>#N/A</v>
      </c>
      <c r="AS57" s="61" t="e">
        <f t="shared" ca="1" si="46"/>
        <v>#N/A</v>
      </c>
      <c r="AT57" s="61" t="e">
        <f t="shared" ca="1" si="47"/>
        <v>#N/A</v>
      </c>
      <c r="AU57" s="61" t="e">
        <f t="shared" si="30"/>
        <v>#N/A</v>
      </c>
      <c r="AV57" s="61" t="e">
        <f t="shared" si="48"/>
        <v>#N/A</v>
      </c>
      <c r="AW57" s="61" t="e">
        <f t="shared" si="49"/>
        <v>#N/A</v>
      </c>
      <c r="AX57" s="61" t="e">
        <f t="shared" si="50"/>
        <v>#N/A</v>
      </c>
      <c r="AY57" s="74" t="e">
        <f t="shared" ca="1" si="0"/>
        <v>#N/A</v>
      </c>
      <c r="AZ57" s="74" t="e">
        <f t="shared" ca="1" si="1"/>
        <v>#N/A</v>
      </c>
      <c r="BA57" s="74" t="e">
        <f t="shared" ca="1" si="2"/>
        <v>#N/A</v>
      </c>
      <c r="BB57" s="74" t="e">
        <f t="shared" ca="1" si="3"/>
        <v>#N/A</v>
      </c>
      <c r="BC57" s="74" t="e">
        <f t="shared" ca="1" si="4"/>
        <v>#N/A</v>
      </c>
      <c r="BD57" s="74" t="e">
        <f t="shared" ca="1" si="5"/>
        <v>#N/A</v>
      </c>
      <c r="BE57" s="49" t="e">
        <f t="shared" ca="1" si="6"/>
        <v>#N/A</v>
      </c>
      <c r="BF57" s="49" t="e">
        <f t="shared" ca="1" si="10"/>
        <v>#N/A</v>
      </c>
      <c r="BG57" s="49" t="e">
        <f t="shared" ca="1" si="7"/>
        <v>#N/A</v>
      </c>
      <c r="BH57" s="49" t="e">
        <f t="shared" ca="1" si="11"/>
        <v>#N/A</v>
      </c>
      <c r="BI57" s="49">
        <f t="shared" si="8"/>
        <v>0</v>
      </c>
      <c r="BJ57" s="49" t="e">
        <f t="shared" ca="1" si="12"/>
        <v>#N/A</v>
      </c>
      <c r="BK57" s="71" t="e">
        <f t="shared" ca="1" si="13"/>
        <v>#N/A</v>
      </c>
      <c r="BL57" s="71" t="e">
        <f t="shared" ca="1" si="14"/>
        <v>#N/A</v>
      </c>
      <c r="BM57" s="71" t="e">
        <f t="shared" ca="1" si="15"/>
        <v>#N/A</v>
      </c>
      <c r="BN57" s="71" t="e">
        <f t="shared" ca="1" si="16"/>
        <v>#N/A</v>
      </c>
      <c r="BO57" s="75" t="e">
        <f t="shared" ca="1" si="9"/>
        <v>#N/A</v>
      </c>
      <c r="BP57" s="49" t="e">
        <f t="shared" ca="1" si="17"/>
        <v>#N/A</v>
      </c>
      <c r="BQ57" s="49" t="e">
        <f t="shared" ca="1" si="18"/>
        <v>#N/A</v>
      </c>
      <c r="BR57" s="49" t="e">
        <f t="shared" ca="1" si="19"/>
        <v>#N/A</v>
      </c>
      <c r="BS57" s="49" t="e">
        <f t="shared" ca="1" si="20"/>
        <v>#N/A</v>
      </c>
      <c r="BT57" s="49" t="e">
        <f t="shared" ca="1" si="21"/>
        <v>#N/A</v>
      </c>
      <c r="BU57" s="49" t="e">
        <f t="shared" ca="1" si="22"/>
        <v>#N/A</v>
      </c>
      <c r="BV57" s="49" t="e">
        <f t="shared" ca="1" si="23"/>
        <v>#N/A</v>
      </c>
    </row>
    <row r="58" spans="1:74" ht="17.25" thickBot="1" x14ac:dyDescent="0.35">
      <c r="A58" s="47"/>
      <c r="B58" s="48"/>
      <c r="C58" s="81" t="s">
        <v>147</v>
      </c>
      <c r="D58" s="90"/>
      <c r="E58" s="87">
        <v>6</v>
      </c>
      <c r="F58" s="60">
        <f>(1.35+크뎀+E47/100)/(1.35+크뎀)</f>
        <v>1</v>
      </c>
      <c r="G58" s="90" t="s">
        <v>71</v>
      </c>
      <c r="H58" s="90">
        <f>방어율</f>
        <v>3</v>
      </c>
      <c r="I58" s="81" t="s">
        <v>71</v>
      </c>
      <c r="J58" s="90">
        <f>방어율</f>
        <v>3</v>
      </c>
      <c r="K58" s="59"/>
      <c r="L58" s="78" t="str">
        <f>스펙계산기!Q31</f>
        <v xml:space="preserve"> 4레벨</v>
      </c>
      <c r="M58" s="78">
        <f ca="1">(4*ROUNDDOWN((순스탯-P$64+4+P$46*0.02)*(1+스탯퍼/100-P$65)+D$57,)+부스탯)*ROUNDDOWN((공마-P$66+4)*(1+공마퍼),)*(1+데미지+보공-P$69)*(MIN(1,크확-P67)*(1.35+크뎀-P$68-IF(크리인=1,P67*크리인뎀,))+(1-MIN(1,크확-P67)))</f>
        <v>64</v>
      </c>
      <c r="N58" s="78" t="e">
        <f ca="1">M58/N45-1</f>
        <v>#DIV/0!</v>
      </c>
      <c r="O58" s="78">
        <f ca="1">ROUNDDOWN((순스탯+P$46*0.02-P$64+4)*(1+스탯퍼/100-P65)+D$57,)</f>
        <v>4</v>
      </c>
      <c r="P58" s="60">
        <f t="shared" ca="1" si="51"/>
        <v>4</v>
      </c>
      <c r="Q58" s="48"/>
      <c r="R58" s="47">
        <v>6000</v>
      </c>
      <c r="S58" s="48">
        <v>28</v>
      </c>
      <c r="T58" s="58" t="s">
        <v>291</v>
      </c>
      <c r="U58" s="47" t="s">
        <v>234</v>
      </c>
      <c r="V58" s="58">
        <f ca="1">스탯퍼/100</f>
        <v>0</v>
      </c>
      <c r="W58" s="80">
        <v>171</v>
      </c>
      <c r="X58" s="73">
        <v>132</v>
      </c>
      <c r="Y58" s="48" t="e">
        <f t="shared" si="25"/>
        <v>#N/A</v>
      </c>
      <c r="Z58" s="61" t="e">
        <f t="shared" si="26"/>
        <v>#N/A</v>
      </c>
      <c r="AA58" s="61" t="e">
        <f t="shared" si="31"/>
        <v>#N/A</v>
      </c>
      <c r="AB58" s="61" t="e">
        <f t="shared" si="27"/>
        <v>#N/A</v>
      </c>
      <c r="AC58" s="61" t="e">
        <f t="shared" si="28"/>
        <v>#N/A</v>
      </c>
      <c r="AD58" s="61" t="e">
        <f t="shared" si="29"/>
        <v>#N/A</v>
      </c>
      <c r="AE58" s="61" t="e">
        <f t="shared" si="32"/>
        <v>#N/A</v>
      </c>
      <c r="AF58" s="61">
        <f t="shared" si="33"/>
        <v>0</v>
      </c>
      <c r="AG58" s="61" t="e">
        <f t="shared" si="34"/>
        <v>#N/A</v>
      </c>
      <c r="AH58" s="61" t="e">
        <f t="shared" si="35"/>
        <v>#N/A</v>
      </c>
      <c r="AI58" s="61" t="e">
        <f t="shared" si="36"/>
        <v>#N/A</v>
      </c>
      <c r="AJ58" s="61" t="e">
        <f t="shared" si="37"/>
        <v>#N/A</v>
      </c>
      <c r="AK58" s="61" t="e">
        <f t="shared" si="38"/>
        <v>#N/A</v>
      </c>
      <c r="AL58" s="61" t="e">
        <f t="shared" si="39"/>
        <v>#N/A</v>
      </c>
      <c r="AM58" s="61" t="e">
        <f t="shared" si="40"/>
        <v>#N/A</v>
      </c>
      <c r="AN58" s="61" t="e">
        <f t="shared" si="41"/>
        <v>#N/A</v>
      </c>
      <c r="AO58" s="61" t="e">
        <f t="shared" si="42"/>
        <v>#N/A</v>
      </c>
      <c r="AP58" s="61" t="e">
        <f t="shared" si="43"/>
        <v>#N/A</v>
      </c>
      <c r="AQ58" s="61" t="e">
        <f t="shared" si="44"/>
        <v>#N/A</v>
      </c>
      <c r="AR58" s="61" t="e">
        <f t="shared" si="45"/>
        <v>#N/A</v>
      </c>
      <c r="AS58" s="61" t="e">
        <f t="shared" ca="1" si="46"/>
        <v>#N/A</v>
      </c>
      <c r="AT58" s="61" t="e">
        <f t="shared" ca="1" si="47"/>
        <v>#N/A</v>
      </c>
      <c r="AU58" s="61" t="e">
        <f t="shared" si="30"/>
        <v>#N/A</v>
      </c>
      <c r="AV58" s="61" t="e">
        <f t="shared" si="48"/>
        <v>#N/A</v>
      </c>
      <c r="AW58" s="61" t="e">
        <f t="shared" si="49"/>
        <v>#N/A</v>
      </c>
      <c r="AX58" s="61" t="e">
        <f t="shared" si="50"/>
        <v>#N/A</v>
      </c>
      <c r="AY58" s="74" t="e">
        <f t="shared" ca="1" si="0"/>
        <v>#N/A</v>
      </c>
      <c r="AZ58" s="74" t="e">
        <f t="shared" ca="1" si="1"/>
        <v>#N/A</v>
      </c>
      <c r="BA58" s="74" t="e">
        <f t="shared" ca="1" si="2"/>
        <v>#N/A</v>
      </c>
      <c r="BB58" s="74" t="e">
        <f t="shared" ca="1" si="3"/>
        <v>#N/A</v>
      </c>
      <c r="BC58" s="74" t="e">
        <f t="shared" ca="1" si="4"/>
        <v>#N/A</v>
      </c>
      <c r="BD58" s="74" t="e">
        <f t="shared" ca="1" si="5"/>
        <v>#N/A</v>
      </c>
      <c r="BE58" s="49" t="e">
        <f t="shared" ca="1" si="6"/>
        <v>#N/A</v>
      </c>
      <c r="BF58" s="49" t="e">
        <f t="shared" ca="1" si="10"/>
        <v>#N/A</v>
      </c>
      <c r="BG58" s="49" t="e">
        <f t="shared" ca="1" si="7"/>
        <v>#N/A</v>
      </c>
      <c r="BH58" s="49" t="e">
        <f t="shared" ca="1" si="11"/>
        <v>#N/A</v>
      </c>
      <c r="BI58" s="49">
        <f t="shared" si="8"/>
        <v>0</v>
      </c>
      <c r="BJ58" s="49" t="e">
        <f t="shared" ca="1" si="12"/>
        <v>#N/A</v>
      </c>
      <c r="BK58" s="71" t="e">
        <f t="shared" ca="1" si="13"/>
        <v>#N/A</v>
      </c>
      <c r="BL58" s="71" t="e">
        <f t="shared" ca="1" si="14"/>
        <v>#N/A</v>
      </c>
      <c r="BM58" s="71" t="e">
        <f t="shared" ca="1" si="15"/>
        <v>#N/A</v>
      </c>
      <c r="BN58" s="71" t="e">
        <f t="shared" ca="1" si="16"/>
        <v>#N/A</v>
      </c>
      <c r="BO58" s="75" t="e">
        <f t="shared" ca="1" si="9"/>
        <v>#N/A</v>
      </c>
      <c r="BP58" s="49" t="e">
        <f t="shared" ca="1" si="17"/>
        <v>#N/A</v>
      </c>
      <c r="BQ58" s="49" t="e">
        <f t="shared" ca="1" si="18"/>
        <v>#N/A</v>
      </c>
      <c r="BR58" s="49" t="e">
        <f t="shared" ca="1" si="19"/>
        <v>#N/A</v>
      </c>
      <c r="BS58" s="49" t="e">
        <f t="shared" ca="1" si="20"/>
        <v>#N/A</v>
      </c>
      <c r="BT58" s="49" t="e">
        <f t="shared" ca="1" si="21"/>
        <v>#N/A</v>
      </c>
      <c r="BU58" s="49" t="e">
        <f t="shared" ca="1" si="22"/>
        <v>#N/A</v>
      </c>
      <c r="BV58" s="49" t="e">
        <f t="shared" ca="1" si="23"/>
        <v>#N/A</v>
      </c>
    </row>
    <row r="59" spans="1:74" ht="17.25" thickBot="1" x14ac:dyDescent="0.35">
      <c r="A59" s="47"/>
      <c r="B59" s="48"/>
      <c r="C59" s="47" t="s">
        <v>153</v>
      </c>
      <c r="D59" s="95" t="s">
        <v>61</v>
      </c>
      <c r="E59" s="59">
        <f ca="1">E49</f>
        <v>5</v>
      </c>
      <c r="F59" s="60">
        <f ca="1">VLOOKUP(E59,E52:F58,2)</f>
        <v>1</v>
      </c>
      <c r="G59" s="43" t="s">
        <v>42</v>
      </c>
      <c r="H59" s="44">
        <f ca="1">(4*ROUNDDOWN(순스탯*(1+스탯퍼/100)+D57,)+부스탯)*ROUNDDOWN(공마*(1+공마퍼),)*(1+데미지+IF(보스=1,보공,))*(1-H58*(1-방무))*H65</f>
        <v>0</v>
      </c>
      <c r="I59" s="43" t="s">
        <v>42</v>
      </c>
      <c r="J59" s="44">
        <f ca="1">(4*ROUNDDOWN(순스탯*(1+스탯퍼/100)+D57,)+부스탯)*ROUNDDOWN(공마*(1+공마퍼),)*(1+데미지+IF(보스=1,보공,))*(1-J58*(1-방무))*J65</f>
        <v>0</v>
      </c>
      <c r="K59" s="43" t="s">
        <v>30</v>
      </c>
      <c r="L59" s="44"/>
      <c r="M59" s="57"/>
      <c r="N59" s="43" t="s">
        <v>2</v>
      </c>
      <c r="O59" s="44"/>
      <c r="P59" s="57"/>
      <c r="Q59" s="48"/>
      <c r="R59" s="47">
        <v>6500</v>
      </c>
      <c r="S59" s="48">
        <v>29</v>
      </c>
      <c r="T59" s="58" t="s">
        <v>292</v>
      </c>
      <c r="U59" s="47" t="s">
        <v>242</v>
      </c>
      <c r="V59" s="58">
        <f ca="1">D57</f>
        <v>0</v>
      </c>
      <c r="W59" s="80">
        <v>172</v>
      </c>
      <c r="X59" s="73">
        <v>138</v>
      </c>
      <c r="Y59" s="48" t="e">
        <f t="shared" si="25"/>
        <v>#N/A</v>
      </c>
      <c r="Z59" s="61" t="e">
        <f t="shared" si="26"/>
        <v>#N/A</v>
      </c>
      <c r="AA59" s="61" t="e">
        <f t="shared" si="31"/>
        <v>#N/A</v>
      </c>
      <c r="AB59" s="61" t="e">
        <f t="shared" si="27"/>
        <v>#N/A</v>
      </c>
      <c r="AC59" s="61" t="e">
        <f t="shared" si="28"/>
        <v>#N/A</v>
      </c>
      <c r="AD59" s="61" t="e">
        <f t="shared" si="29"/>
        <v>#N/A</v>
      </c>
      <c r="AE59" s="61" t="e">
        <f t="shared" si="32"/>
        <v>#N/A</v>
      </c>
      <c r="AF59" s="61">
        <f t="shared" si="33"/>
        <v>0</v>
      </c>
      <c r="AG59" s="61" t="e">
        <f t="shared" si="34"/>
        <v>#N/A</v>
      </c>
      <c r="AH59" s="61" t="e">
        <f t="shared" si="35"/>
        <v>#N/A</v>
      </c>
      <c r="AI59" s="61" t="e">
        <f t="shared" si="36"/>
        <v>#N/A</v>
      </c>
      <c r="AJ59" s="61" t="e">
        <f t="shared" si="37"/>
        <v>#N/A</v>
      </c>
      <c r="AK59" s="61" t="e">
        <f t="shared" si="38"/>
        <v>#N/A</v>
      </c>
      <c r="AL59" s="61" t="e">
        <f t="shared" si="39"/>
        <v>#N/A</v>
      </c>
      <c r="AM59" s="61" t="e">
        <f t="shared" si="40"/>
        <v>#N/A</v>
      </c>
      <c r="AN59" s="61" t="e">
        <f t="shared" si="41"/>
        <v>#N/A</v>
      </c>
      <c r="AO59" s="61" t="e">
        <f t="shared" si="42"/>
        <v>#N/A</v>
      </c>
      <c r="AP59" s="61" t="e">
        <f t="shared" si="43"/>
        <v>#N/A</v>
      </c>
      <c r="AQ59" s="61" t="e">
        <f t="shared" si="44"/>
        <v>#N/A</v>
      </c>
      <c r="AR59" s="61" t="e">
        <f t="shared" si="45"/>
        <v>#N/A</v>
      </c>
      <c r="AS59" s="61" t="e">
        <f t="shared" ca="1" si="46"/>
        <v>#N/A</v>
      </c>
      <c r="AT59" s="61" t="e">
        <f t="shared" ca="1" si="47"/>
        <v>#N/A</v>
      </c>
      <c r="AU59" s="61" t="e">
        <f t="shared" si="30"/>
        <v>#N/A</v>
      </c>
      <c r="AV59" s="61" t="e">
        <f t="shared" si="48"/>
        <v>#N/A</v>
      </c>
      <c r="AW59" s="61" t="e">
        <f t="shared" si="49"/>
        <v>#N/A</v>
      </c>
      <c r="AX59" s="61" t="e">
        <f t="shared" si="50"/>
        <v>#N/A</v>
      </c>
      <c r="AY59" s="74" t="e">
        <f t="shared" ca="1" si="0"/>
        <v>#N/A</v>
      </c>
      <c r="AZ59" s="74" t="e">
        <f t="shared" ca="1" si="1"/>
        <v>#N/A</v>
      </c>
      <c r="BA59" s="74" t="e">
        <f t="shared" ca="1" si="2"/>
        <v>#N/A</v>
      </c>
      <c r="BB59" s="74" t="e">
        <f t="shared" ca="1" si="3"/>
        <v>#N/A</v>
      </c>
      <c r="BC59" s="74" t="e">
        <f t="shared" ca="1" si="4"/>
        <v>#N/A</v>
      </c>
      <c r="BD59" s="74" t="e">
        <f t="shared" ca="1" si="5"/>
        <v>#N/A</v>
      </c>
      <c r="BE59" s="49" t="e">
        <f t="shared" ca="1" si="6"/>
        <v>#N/A</v>
      </c>
      <c r="BF59" s="49" t="e">
        <f t="shared" ca="1" si="10"/>
        <v>#N/A</v>
      </c>
      <c r="BG59" s="49" t="e">
        <f t="shared" ca="1" si="7"/>
        <v>#N/A</v>
      </c>
      <c r="BH59" s="49" t="e">
        <f t="shared" ca="1" si="11"/>
        <v>#N/A</v>
      </c>
      <c r="BI59" s="49">
        <f t="shared" si="8"/>
        <v>0</v>
      </c>
      <c r="BJ59" s="49" t="e">
        <f t="shared" ca="1" si="12"/>
        <v>#N/A</v>
      </c>
      <c r="BK59" s="71" t="e">
        <f t="shared" ca="1" si="13"/>
        <v>#N/A</v>
      </c>
      <c r="BL59" s="71" t="e">
        <f t="shared" ca="1" si="14"/>
        <v>#N/A</v>
      </c>
      <c r="BM59" s="71" t="e">
        <f t="shared" ca="1" si="15"/>
        <v>#N/A</v>
      </c>
      <c r="BN59" s="71" t="e">
        <f t="shared" ca="1" si="16"/>
        <v>#N/A</v>
      </c>
      <c r="BO59" s="75" t="e">
        <f t="shared" ca="1" si="9"/>
        <v>#N/A</v>
      </c>
      <c r="BP59" s="49" t="e">
        <f t="shared" ca="1" si="17"/>
        <v>#N/A</v>
      </c>
      <c r="BQ59" s="49" t="e">
        <f t="shared" ca="1" si="18"/>
        <v>#N/A</v>
      </c>
      <c r="BR59" s="49" t="e">
        <f t="shared" ca="1" si="19"/>
        <v>#N/A</v>
      </c>
      <c r="BS59" s="49" t="e">
        <f t="shared" ca="1" si="20"/>
        <v>#N/A</v>
      </c>
      <c r="BT59" s="49" t="e">
        <f t="shared" ca="1" si="21"/>
        <v>#N/A</v>
      </c>
      <c r="BU59" s="49" t="e">
        <f t="shared" ca="1" si="22"/>
        <v>#N/A</v>
      </c>
      <c r="BV59" s="49" t="e">
        <f t="shared" ca="1" si="23"/>
        <v>#N/A</v>
      </c>
    </row>
    <row r="60" spans="1:74" ht="17.25" thickBot="1" x14ac:dyDescent="0.35">
      <c r="A60" s="47"/>
      <c r="B60" s="48"/>
      <c r="C60" s="47">
        <f ca="1">순스탯*(1.01+스탯퍼/100)</f>
        <v>0</v>
      </c>
      <c r="D60" s="58"/>
      <c r="E60" s="43" t="s">
        <v>3</v>
      </c>
      <c r="F60" s="57"/>
      <c r="G60" s="47" t="s">
        <v>32</v>
      </c>
      <c r="H60" s="48">
        <f ca="1">(4*ROUNDDOWN(H46*(1+H47/100)+H57,)+H48)*ROUNDDOWN(H49*(1+H50),)*(1+H51+IF(보스=1,H52,))*(1-H58*(1-H54))*H64</f>
        <v>0</v>
      </c>
      <c r="I60" s="47" t="s">
        <v>32</v>
      </c>
      <c r="J60" s="48">
        <f ca="1">(4*ROUNDDOWN(J46*(1+J47/100)+J57,)+J48)*ROUNDDOWN(J49*(1+J50),)*(1+J51+IF(보스=1,J52,))*(1-J58*(1-J54))*J64</f>
        <v>0</v>
      </c>
      <c r="K60" s="47" t="str">
        <f>스펙계산기!O18</f>
        <v xml:space="preserve"> 1레벨</v>
      </c>
      <c r="L60" s="48">
        <f ca="1">(4*ROUNDDOWN((순스탯-P$64+4)*(1+스탯퍼/100-P$65)+D$57,)+부스탯)*ROUNDDOWN((공마-P$66+4)*(1+공마퍼+0.2),)*(1+데미지+보공-P$69)*(MIN(1,크확-P67)*(1.35+크뎀-P$68-IF(크리인=1,P67*크리인뎀,))+(1-MIN(1,크확-P67)))</f>
        <v>80</v>
      </c>
      <c r="M60" s="58" t="e">
        <f ca="1">L60/N45-1</f>
        <v>#DIV/0!</v>
      </c>
      <c r="N60" s="47" t="str">
        <f>스펙계산기!O23</f>
        <v xml:space="preserve"> 1레벨</v>
      </c>
      <c r="O60" s="48">
        <f ca="1">(4*ROUNDDOWN((순스탯-P$64+4)*(1+스탯퍼/100-P$65)+D$57,)+부스탯)*ROUNDDOWN((공마-P$66+4)*(1+공마퍼+0.25),)*(1+데미지+보공-P$69)*(MIN(1,크확-P67)*(1.35+크뎀-P$68-IF(크리인=1,P67*크리인뎀,))+(1-MIN(1,크확-P67)))</f>
        <v>80</v>
      </c>
      <c r="P60" s="58" t="e">
        <f ca="1">O60/N45-1</f>
        <v>#DIV/0!</v>
      </c>
      <c r="Q60" s="48"/>
      <c r="R60" s="47">
        <v>7000</v>
      </c>
      <c r="S60" s="48">
        <v>30</v>
      </c>
      <c r="T60" s="58" t="s">
        <v>293</v>
      </c>
      <c r="U60" s="47" t="s">
        <v>226</v>
      </c>
      <c r="V60" s="58">
        <f>부스탯</f>
        <v>0</v>
      </c>
      <c r="W60" s="80">
        <v>173</v>
      </c>
      <c r="X60" s="73">
        <v>144</v>
      </c>
      <c r="Y60" s="48" t="e">
        <f t="shared" si="25"/>
        <v>#N/A</v>
      </c>
      <c r="Z60" s="61" t="e">
        <f t="shared" si="26"/>
        <v>#N/A</v>
      </c>
      <c r="AA60" s="61" t="e">
        <f t="shared" si="31"/>
        <v>#N/A</v>
      </c>
      <c r="AB60" s="61" t="e">
        <f t="shared" si="27"/>
        <v>#N/A</v>
      </c>
      <c r="AC60" s="61" t="e">
        <f t="shared" si="28"/>
        <v>#N/A</v>
      </c>
      <c r="AD60" s="61" t="e">
        <f t="shared" si="29"/>
        <v>#N/A</v>
      </c>
      <c r="AE60" s="61" t="e">
        <f t="shared" si="32"/>
        <v>#N/A</v>
      </c>
      <c r="AF60" s="61">
        <f t="shared" si="33"/>
        <v>0</v>
      </c>
      <c r="AG60" s="61" t="e">
        <f t="shared" si="34"/>
        <v>#N/A</v>
      </c>
      <c r="AH60" s="61" t="e">
        <f t="shared" si="35"/>
        <v>#N/A</v>
      </c>
      <c r="AI60" s="61" t="e">
        <f t="shared" si="36"/>
        <v>#N/A</v>
      </c>
      <c r="AJ60" s="61" t="e">
        <f t="shared" si="37"/>
        <v>#N/A</v>
      </c>
      <c r="AK60" s="61" t="e">
        <f t="shared" si="38"/>
        <v>#N/A</v>
      </c>
      <c r="AL60" s="61" t="e">
        <f t="shared" si="39"/>
        <v>#N/A</v>
      </c>
      <c r="AM60" s="61" t="e">
        <f t="shared" si="40"/>
        <v>#N/A</v>
      </c>
      <c r="AN60" s="61" t="e">
        <f t="shared" si="41"/>
        <v>#N/A</v>
      </c>
      <c r="AO60" s="61" t="e">
        <f t="shared" si="42"/>
        <v>#N/A</v>
      </c>
      <c r="AP60" s="61" t="e">
        <f t="shared" si="43"/>
        <v>#N/A</v>
      </c>
      <c r="AQ60" s="61" t="e">
        <f t="shared" si="44"/>
        <v>#N/A</v>
      </c>
      <c r="AR60" s="61" t="e">
        <f t="shared" si="45"/>
        <v>#N/A</v>
      </c>
      <c r="AS60" s="61" t="e">
        <f t="shared" ca="1" si="46"/>
        <v>#N/A</v>
      </c>
      <c r="AT60" s="61" t="e">
        <f t="shared" ca="1" si="47"/>
        <v>#N/A</v>
      </c>
      <c r="AU60" s="61" t="e">
        <f t="shared" si="30"/>
        <v>#N/A</v>
      </c>
      <c r="AV60" s="61" t="e">
        <f t="shared" si="48"/>
        <v>#N/A</v>
      </c>
      <c r="AW60" s="61" t="e">
        <f t="shared" si="49"/>
        <v>#N/A</v>
      </c>
      <c r="AX60" s="61" t="e">
        <f t="shared" si="50"/>
        <v>#N/A</v>
      </c>
      <c r="AY60" s="74" t="e">
        <f t="shared" ref="AY60:AY91" ca="1" si="52">IF(OR(VLOOKUP(MIN($AZ$26,BP59+1),$P$28:$R$43,2,FALSE)&gt;BG59,BP59=$AZ$26),0,((MIN(1,BN59+IF(BP59&gt;5,0.02,0.01))*(1.35+BO59+IF(크리인=1,IF(BP59&gt;5,0.02,0.01)*크리인뎀,))+(1-MIN(1,BN59+IF(BP59&gt;5,0.02,0.01))))/(BN59*(1.35+BO59)+(1-BN59))-1)/VLOOKUP(MIN($AZ$26,BP59+1),$P$28:$R$43,2,FALSE))</f>
        <v>#N/A</v>
      </c>
      <c r="AZ60" s="74" t="e">
        <f t="shared" ref="AZ60:AZ91" ca="1" si="53">IF(OR(VLOOKUP(MIN($AZ$26,BQ59+1),$P$28:$R$43,2,FALSE)&gt;BG59,BQ59=$AZ$26),0,((BN59*(1.36+BO59)+(1-BN59))/(BN59*(1.35+BO59)+(1-BN59))-1)/VLOOKUP(MIN($AZ$26,BQ59+1),$P$28:$R$43,2,FALSE))</f>
        <v>#N/A</v>
      </c>
      <c r="BA60" s="74" t="e">
        <f t="shared" ref="BA60:BA91" ca="1" si="54">IF(OR(VLOOKUP(MIN($AZ$26,BR59+1),$P$28:$R$43,2,FALSE)&gt;BG59,BR59=$AZ$26),0,(IF($O$36*(1-BM59)&gt;1,110,(1-$O$36*(1-BM59)/(1-BR59*0.03)*(0.97-BR59*0.03))/(1-$O$36*(1-BM59)))-1)/VLOOKUP(MIN($AZ$26,BR59+1),$P$28:$R$43,2,FALSE))</f>
        <v>#N/A</v>
      </c>
      <c r="BB60" s="74" t="e">
        <f t="shared" ref="BB60:BB91" ca="1" si="55">IF(OR(VLOOKUP(MIN($AZ$26,BS59+1),$P$28:$R$43,2,FALSE)&gt;BG59,BS59=$AZ$26),0,((1+BK59+BL59+IF(보스=0,0,IF(BS59&gt;5,0.04,0.03)))/(1+BK59+BL59)-1)/VLOOKUP(MIN($AZ$26,BS59+1),$P$28:$R$43,2,FALSE))</f>
        <v>#N/A</v>
      </c>
      <c r="BC60" s="74" t="e">
        <f t="shared" ref="BC60:BC91" ca="1" si="56">IF(OR(VLOOKUP(MIN($AZ$26,BT59+1),$P$28:$R$43,2,FALSE)&gt;BG59,BT59=$AZ$26),0,((1.03+BK59+BL59)/(1+BK59+BL59)-1)/VLOOKUP(MIN($AZ$26,BT59+1),$P$28:$R$43,2,FALSE))</f>
        <v>#N/A</v>
      </c>
      <c r="BD60" s="74" t="e">
        <f t="shared" ref="BD60:BD91" ca="1" si="57">IF(OR(VLOOKUP(MIN($AZ$26,BU59+1),$P$28:$R$43,2,FALSE)&gt;BG59,BU59=$AZ$26),0,((4*(BH59+30)+BI59)/(4*BH59+BI59)-1)/VLOOKUP(MIN($AZ$26,BU59+1),$P$28:$R$43,2,FALSE))</f>
        <v>#N/A</v>
      </c>
      <c r="BE60" s="49" t="e">
        <f t="shared" ref="BE60:BE91" ca="1" si="58">IF(OR(VLOOKUP(MIN($AZ$26,BV59+1),$P$28:$R$43,2,FALSE)&gt;BG59,BV59=$AZ$26),0,((BJ59+3)/BJ59-1)/VLOOKUP(MIN($AZ$26,BV59+1),$P$28:$R$43,2,FALSE))</f>
        <v>#N/A</v>
      </c>
      <c r="BF60" s="49" t="e">
        <f t="shared" ca="1" si="10"/>
        <v>#N/A</v>
      </c>
      <c r="BG60" s="49" t="e">
        <f t="shared" ref="BG60:BG91" ca="1" si="59">BG59-IF(BF60=0,0,VLOOKUP(OFFSET(BO59,0,BF60)+1,$P$28:$R$43,2,FALSE))</f>
        <v>#N/A</v>
      </c>
      <c r="BH60" s="49" t="e">
        <f t="shared" ca="1" si="11"/>
        <v>#N/A</v>
      </c>
      <c r="BI60" s="49">
        <f t="shared" si="8"/>
        <v>0</v>
      </c>
      <c r="BJ60" s="49" t="e">
        <f t="shared" ca="1" si="12"/>
        <v>#N/A</v>
      </c>
      <c r="BK60" s="71" t="e">
        <f t="shared" ca="1" si="13"/>
        <v>#N/A</v>
      </c>
      <c r="BL60" s="71" t="e">
        <f t="shared" ca="1" si="14"/>
        <v>#N/A</v>
      </c>
      <c r="BM60" s="71" t="e">
        <f t="shared" ca="1" si="15"/>
        <v>#N/A</v>
      </c>
      <c r="BN60" s="71" t="e">
        <f t="shared" ca="1" si="16"/>
        <v>#N/A</v>
      </c>
      <c r="BO60" s="75" t="e">
        <f t="shared" ref="BO60:BO91" ca="1" si="60">BO59+IF(BF60=2,0.01,)+IF(BF60=1,IF(크리인=1,IF(BP59&lt;5,0.01,0.02)*크리인뎀,),)</f>
        <v>#N/A</v>
      </c>
      <c r="BP60" s="49" t="e">
        <f t="shared" ca="1" si="17"/>
        <v>#N/A</v>
      </c>
      <c r="BQ60" s="49" t="e">
        <f t="shared" ca="1" si="18"/>
        <v>#N/A</v>
      </c>
      <c r="BR60" s="49" t="e">
        <f t="shared" ca="1" si="19"/>
        <v>#N/A</v>
      </c>
      <c r="BS60" s="49" t="e">
        <f t="shared" ca="1" si="20"/>
        <v>#N/A</v>
      </c>
      <c r="BT60" s="49" t="e">
        <f t="shared" ca="1" si="21"/>
        <v>#N/A</v>
      </c>
      <c r="BU60" s="49" t="e">
        <f t="shared" ca="1" si="22"/>
        <v>#N/A</v>
      </c>
      <c r="BV60" s="49" t="e">
        <f t="shared" ca="1" si="23"/>
        <v>#N/A</v>
      </c>
    </row>
    <row r="61" spans="1:74" ht="17.25" thickBot="1" x14ac:dyDescent="0.35">
      <c r="A61" s="47"/>
      <c r="B61" s="48"/>
      <c r="C61" s="59">
        <f ca="1">C60/(1+스탯퍼/100)-순스탯</f>
        <v>0</v>
      </c>
      <c r="D61" s="78"/>
      <c r="E61" s="43">
        <v>0</v>
      </c>
      <c r="F61" s="57">
        <f ca="1">((F59*(4*((순스탯)*(1+스탯퍼/100)+D57)+부스탯)-부스탯)/4-D57)/(1+스탯퍼/100)-순스탯</f>
        <v>0</v>
      </c>
      <c r="G61" s="78"/>
      <c r="H61" s="78" t="e">
        <f ca="1">H60/H59-1</f>
        <v>#DIV/0!</v>
      </c>
      <c r="I61" s="59"/>
      <c r="J61" s="78" t="e">
        <f ca="1">J60/J59-1</f>
        <v>#DIV/0!</v>
      </c>
      <c r="K61" s="47" t="str">
        <f>스펙계산기!O19</f>
        <v xml:space="preserve"> 2레벨</v>
      </c>
      <c r="L61" s="48">
        <f ca="1">(4*ROUNDDOWN((순스탯-P$64+4)*(1+스탯퍼/100-P$65)+D$57,)+부스탯)*ROUNDDOWN((공마-P$66+4)*(1+공마퍼+0.3),)*(1+데미지+보공-P$69)*(MIN(1,크확-P67)*(1.35+크뎀-P$68-IF(크리인=1,P67*크리인뎀,))+(1-MIN(1,크확-P67)))</f>
        <v>96</v>
      </c>
      <c r="M61" s="58" t="e">
        <f ca="1">L61/N45-1</f>
        <v>#DIV/0!</v>
      </c>
      <c r="N61" s="47" t="str">
        <f>스펙계산기!O24</f>
        <v xml:space="preserve"> 2레벨</v>
      </c>
      <c r="O61" s="48">
        <f ca="1">(4*ROUNDDOWN((순스탯-P$64+4)*(1+스탯퍼/100-P$65)+D$57,)+부스탯)*ROUNDDOWN((공마-P$66+4)*(1+공마퍼+0.5),)*(1+데미지+보공-P$69)*(MIN(1,크확-P67)*(1.35+크뎀-P$68-IF(크리인=1,P67*크리인뎀,))+(1-MIN(1,크확-P67)))</f>
        <v>96</v>
      </c>
      <c r="P61" s="58" t="e">
        <f ca="1">O61/N45-1</f>
        <v>#DIV/0!</v>
      </c>
      <c r="Q61" s="48"/>
      <c r="R61" s="47">
        <v>7500</v>
      </c>
      <c r="S61" s="48">
        <v>31</v>
      </c>
      <c r="T61" s="58" t="s">
        <v>294</v>
      </c>
      <c r="U61" s="47" t="s">
        <v>236</v>
      </c>
      <c r="V61" s="96">
        <f>방어율</f>
        <v>3</v>
      </c>
      <c r="W61" s="80">
        <v>174</v>
      </c>
      <c r="X61" s="73">
        <v>150</v>
      </c>
      <c r="Y61" s="48" t="e">
        <f t="shared" si="25"/>
        <v>#N/A</v>
      </c>
      <c r="Z61" s="61" t="e">
        <f t="shared" si="26"/>
        <v>#N/A</v>
      </c>
      <c r="AA61" s="61" t="e">
        <f t="shared" si="31"/>
        <v>#N/A</v>
      </c>
      <c r="AB61" s="61" t="e">
        <f t="shared" si="27"/>
        <v>#N/A</v>
      </c>
      <c r="AC61" s="61" t="e">
        <f t="shared" si="28"/>
        <v>#N/A</v>
      </c>
      <c r="AD61" s="61" t="e">
        <f t="shared" si="29"/>
        <v>#N/A</v>
      </c>
      <c r="AE61" s="61" t="e">
        <f t="shared" si="32"/>
        <v>#N/A</v>
      </c>
      <c r="AF61" s="61">
        <f t="shared" si="33"/>
        <v>0</v>
      </c>
      <c r="AG61" s="61" t="e">
        <f t="shared" si="34"/>
        <v>#N/A</v>
      </c>
      <c r="AH61" s="61" t="e">
        <f t="shared" si="35"/>
        <v>#N/A</v>
      </c>
      <c r="AI61" s="61" t="e">
        <f t="shared" si="36"/>
        <v>#N/A</v>
      </c>
      <c r="AJ61" s="61" t="e">
        <f t="shared" si="37"/>
        <v>#N/A</v>
      </c>
      <c r="AK61" s="61" t="e">
        <f t="shared" si="38"/>
        <v>#N/A</v>
      </c>
      <c r="AL61" s="61" t="e">
        <f t="shared" si="39"/>
        <v>#N/A</v>
      </c>
      <c r="AM61" s="61" t="e">
        <f t="shared" si="40"/>
        <v>#N/A</v>
      </c>
      <c r="AN61" s="61" t="e">
        <f t="shared" si="41"/>
        <v>#N/A</v>
      </c>
      <c r="AO61" s="61" t="e">
        <f t="shared" si="42"/>
        <v>#N/A</v>
      </c>
      <c r="AP61" s="61" t="e">
        <f t="shared" si="43"/>
        <v>#N/A</v>
      </c>
      <c r="AQ61" s="61" t="e">
        <f t="shared" si="44"/>
        <v>#N/A</v>
      </c>
      <c r="AR61" s="61" t="e">
        <f t="shared" si="45"/>
        <v>#N/A</v>
      </c>
      <c r="AS61" s="61" t="e">
        <f t="shared" ca="1" si="46"/>
        <v>#N/A</v>
      </c>
      <c r="AT61" s="61" t="e">
        <f t="shared" ca="1" si="47"/>
        <v>#N/A</v>
      </c>
      <c r="AU61" s="61" t="e">
        <f t="shared" si="30"/>
        <v>#N/A</v>
      </c>
      <c r="AV61" s="61" t="e">
        <f t="shared" si="48"/>
        <v>#N/A</v>
      </c>
      <c r="AW61" s="61" t="e">
        <f t="shared" si="49"/>
        <v>#N/A</v>
      </c>
      <c r="AX61" s="61" t="e">
        <f t="shared" si="50"/>
        <v>#N/A</v>
      </c>
      <c r="AY61" s="74" t="e">
        <f t="shared" ca="1" si="52"/>
        <v>#N/A</v>
      </c>
      <c r="AZ61" s="74" t="e">
        <f t="shared" ca="1" si="53"/>
        <v>#N/A</v>
      </c>
      <c r="BA61" s="74" t="e">
        <f t="shared" ca="1" si="54"/>
        <v>#N/A</v>
      </c>
      <c r="BB61" s="74" t="e">
        <f t="shared" ca="1" si="55"/>
        <v>#N/A</v>
      </c>
      <c r="BC61" s="74" t="e">
        <f t="shared" ca="1" si="56"/>
        <v>#N/A</v>
      </c>
      <c r="BD61" s="74" t="e">
        <f t="shared" ca="1" si="57"/>
        <v>#N/A</v>
      </c>
      <c r="BE61" s="49" t="e">
        <f t="shared" ca="1" si="58"/>
        <v>#N/A</v>
      </c>
      <c r="BF61" s="49" t="e">
        <f t="shared" ca="1" si="10"/>
        <v>#N/A</v>
      </c>
      <c r="BG61" s="49" t="e">
        <f t="shared" ca="1" si="59"/>
        <v>#N/A</v>
      </c>
      <c r="BH61" s="49" t="e">
        <f t="shared" ca="1" si="11"/>
        <v>#N/A</v>
      </c>
      <c r="BI61" s="49">
        <f t="shared" si="8"/>
        <v>0</v>
      </c>
      <c r="BJ61" s="49" t="e">
        <f t="shared" ca="1" si="12"/>
        <v>#N/A</v>
      </c>
      <c r="BK61" s="71" t="e">
        <f t="shared" ca="1" si="13"/>
        <v>#N/A</v>
      </c>
      <c r="BL61" s="71" t="e">
        <f t="shared" ca="1" si="14"/>
        <v>#N/A</v>
      </c>
      <c r="BM61" s="71" t="e">
        <f t="shared" ca="1" si="15"/>
        <v>#N/A</v>
      </c>
      <c r="BN61" s="71" t="e">
        <f t="shared" ca="1" si="16"/>
        <v>#N/A</v>
      </c>
      <c r="BO61" s="75" t="e">
        <f t="shared" ca="1" si="60"/>
        <v>#N/A</v>
      </c>
      <c r="BP61" s="49" t="e">
        <f t="shared" ca="1" si="17"/>
        <v>#N/A</v>
      </c>
      <c r="BQ61" s="49" t="e">
        <f t="shared" ca="1" si="18"/>
        <v>#N/A</v>
      </c>
      <c r="BR61" s="49" t="e">
        <f t="shared" ca="1" si="19"/>
        <v>#N/A</v>
      </c>
      <c r="BS61" s="49" t="e">
        <f t="shared" ca="1" si="20"/>
        <v>#N/A</v>
      </c>
      <c r="BT61" s="49" t="e">
        <f t="shared" ca="1" si="21"/>
        <v>#N/A</v>
      </c>
      <c r="BU61" s="49" t="e">
        <f t="shared" ca="1" si="22"/>
        <v>#N/A</v>
      </c>
      <c r="BV61" s="49" t="e">
        <f t="shared" ca="1" si="23"/>
        <v>#N/A</v>
      </c>
    </row>
    <row r="62" spans="1:74" ht="17.25" thickBot="1" x14ac:dyDescent="0.35">
      <c r="A62" s="47"/>
      <c r="B62" s="48"/>
      <c r="C62" s="43" t="s">
        <v>153</v>
      </c>
      <c r="D62" s="44"/>
      <c r="E62" s="47">
        <v>1</v>
      </c>
      <c r="F62" s="58" t="e">
        <f ca="1">(((F59*(4*((순스탯)*(1+(스탯퍼)/100)+D57)+부스탯)-부스탯)/4-D57)/순스탯-1)*100-스탯퍼</f>
        <v>#DIV/0!</v>
      </c>
      <c r="G62" s="90" t="s">
        <v>12</v>
      </c>
      <c r="H62" s="90">
        <f ca="1">ROUNDDOWN((4*ROUNDDOWN(H46*(1+H47/100)+H57,)+H48)*ROUNDDOWN(H49*(1+H50),)*(1+H51)*(1+최종뎀)*D30/100,)</f>
        <v>0</v>
      </c>
      <c r="I62" s="81" t="s">
        <v>12</v>
      </c>
      <c r="J62" s="90">
        <f ca="1">ROUNDDOWN((4*ROUNDDOWN(J46*(1+J47/100)+J57,)+J48)*ROUNDDOWN(J49*(1+J50),)*(1+J51)*(1+최종뎀)*D30/100,)</f>
        <v>0</v>
      </c>
      <c r="K62" s="47" t="str">
        <f>스펙계산기!O20</f>
        <v xml:space="preserve"> 3레벨</v>
      </c>
      <c r="L62" s="48">
        <f ca="1">(4*ROUNDDOWN((순스탯-P$64+4)*(1+스탯퍼/100-P$65)+D$57,)+부스탯)*ROUNDDOWN((공마-P$66+4)*(1+공마퍼+0.4),)*(1+데미지+보공-P$69)*(MIN(1,크확-P67)*(1.35+크뎀-P$68-IF(크리인=1,P67*크리인뎀,))+(1-MIN(1,크확-P67)))</f>
        <v>96</v>
      </c>
      <c r="M62" s="58" t="e">
        <f ca="1">L62/N45-1</f>
        <v>#DIV/0!</v>
      </c>
      <c r="N62" s="47" t="str">
        <f>스펙계산기!O25</f>
        <v xml:space="preserve"> 3레벨</v>
      </c>
      <c r="O62" s="48">
        <f ca="1">(4*ROUNDDOWN((순스탯-P$64+4)*(1+스탯퍼/100-P$65)+D$57,)+부스탯)*ROUNDDOWN((공마-P$66+4)*(1+공마퍼+0.75),)*(1+데미지+보공-P$69)*(MIN(1,크확-P67)*(1.35+크뎀-P$68-IF(크리인=1,P67*크리인뎀,))+(1-MIN(1,크확-P67)))</f>
        <v>112</v>
      </c>
      <c r="P62" s="58" t="e">
        <f ca="1">O62/N45-1</f>
        <v>#DIV/0!</v>
      </c>
      <c r="Q62" s="48"/>
      <c r="R62" s="47">
        <v>8000</v>
      </c>
      <c r="S62" s="48">
        <v>36</v>
      </c>
      <c r="T62" s="97" t="s">
        <v>295</v>
      </c>
      <c r="U62" s="47" t="s">
        <v>301</v>
      </c>
      <c r="V62" s="58">
        <f>스펙계산기!X31</f>
        <v>0</v>
      </c>
      <c r="W62" s="80">
        <v>175</v>
      </c>
      <c r="X62" s="73">
        <v>156</v>
      </c>
      <c r="Y62" s="48" t="e">
        <f t="shared" si="25"/>
        <v>#N/A</v>
      </c>
      <c r="Z62" s="61" t="e">
        <f t="shared" si="26"/>
        <v>#N/A</v>
      </c>
      <c r="AA62" s="61" t="e">
        <f t="shared" si="31"/>
        <v>#N/A</v>
      </c>
      <c r="AB62" s="61" t="e">
        <f t="shared" si="27"/>
        <v>#N/A</v>
      </c>
      <c r="AC62" s="61" t="e">
        <f t="shared" si="28"/>
        <v>#N/A</v>
      </c>
      <c r="AD62" s="61" t="e">
        <f t="shared" si="29"/>
        <v>#N/A</v>
      </c>
      <c r="AE62" s="61" t="e">
        <f t="shared" si="32"/>
        <v>#N/A</v>
      </c>
      <c r="AF62" s="61">
        <f t="shared" si="33"/>
        <v>0</v>
      </c>
      <c r="AG62" s="61" t="e">
        <f t="shared" si="34"/>
        <v>#N/A</v>
      </c>
      <c r="AH62" s="61" t="e">
        <f t="shared" si="35"/>
        <v>#N/A</v>
      </c>
      <c r="AI62" s="61" t="e">
        <f t="shared" si="36"/>
        <v>#N/A</v>
      </c>
      <c r="AJ62" s="61" t="e">
        <f t="shared" si="37"/>
        <v>#N/A</v>
      </c>
      <c r="AK62" s="61" t="e">
        <f t="shared" si="38"/>
        <v>#N/A</v>
      </c>
      <c r="AL62" s="61" t="e">
        <f t="shared" si="39"/>
        <v>#N/A</v>
      </c>
      <c r="AM62" s="61" t="e">
        <f t="shared" si="40"/>
        <v>#N/A</v>
      </c>
      <c r="AN62" s="61" t="e">
        <f t="shared" si="41"/>
        <v>#N/A</v>
      </c>
      <c r="AO62" s="61" t="e">
        <f t="shared" si="42"/>
        <v>#N/A</v>
      </c>
      <c r="AP62" s="61" t="e">
        <f t="shared" si="43"/>
        <v>#N/A</v>
      </c>
      <c r="AQ62" s="61" t="e">
        <f t="shared" si="44"/>
        <v>#N/A</v>
      </c>
      <c r="AR62" s="61" t="e">
        <f t="shared" si="45"/>
        <v>#N/A</v>
      </c>
      <c r="AS62" s="61" t="e">
        <f t="shared" ca="1" si="46"/>
        <v>#N/A</v>
      </c>
      <c r="AT62" s="61" t="e">
        <f t="shared" ca="1" si="47"/>
        <v>#N/A</v>
      </c>
      <c r="AU62" s="61" t="e">
        <f t="shared" si="30"/>
        <v>#N/A</v>
      </c>
      <c r="AV62" s="61" t="e">
        <f t="shared" si="48"/>
        <v>#N/A</v>
      </c>
      <c r="AW62" s="61" t="e">
        <f t="shared" si="49"/>
        <v>#N/A</v>
      </c>
      <c r="AX62" s="61" t="e">
        <f t="shared" si="50"/>
        <v>#N/A</v>
      </c>
      <c r="AY62" s="74" t="e">
        <f t="shared" ca="1" si="52"/>
        <v>#N/A</v>
      </c>
      <c r="AZ62" s="74" t="e">
        <f t="shared" ca="1" si="53"/>
        <v>#N/A</v>
      </c>
      <c r="BA62" s="74" t="e">
        <f t="shared" ca="1" si="54"/>
        <v>#N/A</v>
      </c>
      <c r="BB62" s="74" t="e">
        <f t="shared" ca="1" si="55"/>
        <v>#N/A</v>
      </c>
      <c r="BC62" s="74" t="e">
        <f t="shared" ca="1" si="56"/>
        <v>#N/A</v>
      </c>
      <c r="BD62" s="74" t="e">
        <f t="shared" ca="1" si="57"/>
        <v>#N/A</v>
      </c>
      <c r="BE62" s="49" t="e">
        <f t="shared" ca="1" si="58"/>
        <v>#N/A</v>
      </c>
      <c r="BF62" s="49" t="e">
        <f t="shared" ca="1" si="10"/>
        <v>#N/A</v>
      </c>
      <c r="BG62" s="49" t="e">
        <f t="shared" ca="1" si="59"/>
        <v>#N/A</v>
      </c>
      <c r="BH62" s="49" t="e">
        <f t="shared" ca="1" si="11"/>
        <v>#N/A</v>
      </c>
      <c r="BI62" s="49">
        <f t="shared" si="8"/>
        <v>0</v>
      </c>
      <c r="BJ62" s="49" t="e">
        <f t="shared" ca="1" si="12"/>
        <v>#N/A</v>
      </c>
      <c r="BK62" s="71" t="e">
        <f t="shared" ca="1" si="13"/>
        <v>#N/A</v>
      </c>
      <c r="BL62" s="71" t="e">
        <f t="shared" ca="1" si="14"/>
        <v>#N/A</v>
      </c>
      <c r="BM62" s="71" t="e">
        <f t="shared" ca="1" si="15"/>
        <v>#N/A</v>
      </c>
      <c r="BN62" s="71" t="e">
        <f t="shared" ca="1" si="16"/>
        <v>#N/A</v>
      </c>
      <c r="BO62" s="75" t="e">
        <f t="shared" ca="1" si="60"/>
        <v>#N/A</v>
      </c>
      <c r="BP62" s="49" t="e">
        <f t="shared" ca="1" si="17"/>
        <v>#N/A</v>
      </c>
      <c r="BQ62" s="49" t="e">
        <f t="shared" ca="1" si="18"/>
        <v>#N/A</v>
      </c>
      <c r="BR62" s="49" t="e">
        <f t="shared" ca="1" si="19"/>
        <v>#N/A</v>
      </c>
      <c r="BS62" s="49" t="e">
        <f t="shared" ca="1" si="20"/>
        <v>#N/A</v>
      </c>
      <c r="BT62" s="49" t="e">
        <f t="shared" ca="1" si="21"/>
        <v>#N/A</v>
      </c>
      <c r="BU62" s="49" t="e">
        <f t="shared" ca="1" si="22"/>
        <v>#N/A</v>
      </c>
      <c r="BV62" s="49" t="e">
        <f t="shared" ca="1" si="23"/>
        <v>#N/A</v>
      </c>
    </row>
    <row r="63" spans="1:74" ht="17.25" thickBot="1" x14ac:dyDescent="0.35">
      <c r="A63" s="47"/>
      <c r="B63" s="48"/>
      <c r="C63" s="47" t="e">
        <f ca="1">(4*(순스탯*(1.01+스탯퍼/100)+D57)+부스탯)*((공마)*(1+공마퍼))/(4*(순스탯*(1+스탯퍼/100)+D57)+부스탯)</f>
        <v>#DIV/0!</v>
      </c>
      <c r="D63" s="48"/>
      <c r="E63" s="47">
        <v>2</v>
      </c>
      <c r="F63" s="58">
        <f ca="1">F59*((공마)*(1+공마퍼))/(1+공마퍼)-공마</f>
        <v>0</v>
      </c>
      <c r="G63" s="44" t="s">
        <v>45</v>
      </c>
      <c r="H63" s="44">
        <f ca="1">ROUNDDOWN(H46*(1+H47/100),)+H57</f>
        <v>0</v>
      </c>
      <c r="I63" s="43" t="s">
        <v>45</v>
      </c>
      <c r="J63" s="44">
        <f ca="1">ROUNDDOWN(J46*(1+J47/100),)+J57</f>
        <v>0</v>
      </c>
      <c r="K63" s="59" t="str">
        <f>스펙계산기!O21</f>
        <v xml:space="preserve"> 4레벨</v>
      </c>
      <c r="L63" s="48">
        <f ca="1">(4*ROUNDDOWN((순스탯-P$64+4)*(1+스탯퍼/100-P$65)+D$57,)+부스탯)*ROUNDDOWN((공마-P$66+4)*(1+공마퍼+0.5),)*(1+데미지+보공-P$69)*(MIN(1,크확-P67)*(1.35+크뎀-P$68-IF(크리인=1,P67*크리인뎀,))+(1-MIN(1,크확-P67)))</f>
        <v>96</v>
      </c>
      <c r="M63" s="60" t="e">
        <f ca="1">L63/N45-1</f>
        <v>#DIV/0!</v>
      </c>
      <c r="N63" s="59" t="str">
        <f>스펙계산기!O26</f>
        <v xml:space="preserve"> 4레벨</v>
      </c>
      <c r="O63" s="78">
        <f ca="1">(4*ROUNDDOWN((순스탯-P$64+4)*(1+스탯퍼/100-P$65)+D$57,)+부스탯)*ROUNDDOWN((공마-P$66+4)*(1+공마퍼+1),)*(1+데미지+보공-P$69)*(MIN(1,크확-P67)*(1.35+크뎀-P$68-IF(크리인=1,P67*크리인뎀,))+(1-MIN(1,크확-P67)))</f>
        <v>128</v>
      </c>
      <c r="P63" s="60" t="e">
        <f ca="1">O63/N45-1</f>
        <v>#DIV/0!</v>
      </c>
      <c r="Q63" s="48"/>
      <c r="R63" s="47">
        <v>8500</v>
      </c>
      <c r="S63" s="48">
        <v>37</v>
      </c>
      <c r="T63" s="97" t="s">
        <v>296</v>
      </c>
      <c r="U63" s="47" t="s">
        <v>253</v>
      </c>
      <c r="V63" s="58"/>
      <c r="W63" s="80">
        <v>176</v>
      </c>
      <c r="X63" s="73">
        <v>162</v>
      </c>
      <c r="Y63" s="48" t="e">
        <f t="shared" si="25"/>
        <v>#N/A</v>
      </c>
      <c r="Z63" s="61" t="e">
        <f t="shared" si="26"/>
        <v>#N/A</v>
      </c>
      <c r="AA63" s="61" t="e">
        <f t="shared" si="31"/>
        <v>#N/A</v>
      </c>
      <c r="AB63" s="61" t="e">
        <f t="shared" si="27"/>
        <v>#N/A</v>
      </c>
      <c r="AC63" s="61" t="e">
        <f t="shared" si="28"/>
        <v>#N/A</v>
      </c>
      <c r="AD63" s="61" t="e">
        <f t="shared" si="29"/>
        <v>#N/A</v>
      </c>
      <c r="AE63" s="61" t="e">
        <f t="shared" si="32"/>
        <v>#N/A</v>
      </c>
      <c r="AF63" s="61">
        <f t="shared" si="33"/>
        <v>0</v>
      </c>
      <c r="AG63" s="61" t="e">
        <f t="shared" si="34"/>
        <v>#N/A</v>
      </c>
      <c r="AH63" s="61" t="e">
        <f t="shared" si="35"/>
        <v>#N/A</v>
      </c>
      <c r="AI63" s="61" t="e">
        <f t="shared" si="36"/>
        <v>#N/A</v>
      </c>
      <c r="AJ63" s="61" t="e">
        <f t="shared" si="37"/>
        <v>#N/A</v>
      </c>
      <c r="AK63" s="61" t="e">
        <f t="shared" si="38"/>
        <v>#N/A</v>
      </c>
      <c r="AL63" s="61" t="e">
        <f t="shared" si="39"/>
        <v>#N/A</v>
      </c>
      <c r="AM63" s="61" t="e">
        <f t="shared" si="40"/>
        <v>#N/A</v>
      </c>
      <c r="AN63" s="61" t="e">
        <f t="shared" si="41"/>
        <v>#N/A</v>
      </c>
      <c r="AO63" s="61" t="e">
        <f t="shared" si="42"/>
        <v>#N/A</v>
      </c>
      <c r="AP63" s="61" t="e">
        <f t="shared" si="43"/>
        <v>#N/A</v>
      </c>
      <c r="AQ63" s="61" t="e">
        <f t="shared" si="44"/>
        <v>#N/A</v>
      </c>
      <c r="AR63" s="61" t="e">
        <f t="shared" si="45"/>
        <v>#N/A</v>
      </c>
      <c r="AS63" s="61" t="e">
        <f t="shared" ca="1" si="46"/>
        <v>#N/A</v>
      </c>
      <c r="AT63" s="61" t="e">
        <f t="shared" ca="1" si="47"/>
        <v>#N/A</v>
      </c>
      <c r="AU63" s="61" t="e">
        <f t="shared" si="30"/>
        <v>#N/A</v>
      </c>
      <c r="AV63" s="61" t="e">
        <f t="shared" si="48"/>
        <v>#N/A</v>
      </c>
      <c r="AW63" s="61" t="e">
        <f t="shared" si="49"/>
        <v>#N/A</v>
      </c>
      <c r="AX63" s="61" t="e">
        <f t="shared" si="50"/>
        <v>#N/A</v>
      </c>
      <c r="AY63" s="74" t="e">
        <f t="shared" ca="1" si="52"/>
        <v>#N/A</v>
      </c>
      <c r="AZ63" s="74" t="e">
        <f t="shared" ca="1" si="53"/>
        <v>#N/A</v>
      </c>
      <c r="BA63" s="74" t="e">
        <f t="shared" ca="1" si="54"/>
        <v>#N/A</v>
      </c>
      <c r="BB63" s="74" t="e">
        <f t="shared" ca="1" si="55"/>
        <v>#N/A</v>
      </c>
      <c r="BC63" s="74" t="e">
        <f t="shared" ca="1" si="56"/>
        <v>#N/A</v>
      </c>
      <c r="BD63" s="74" t="e">
        <f t="shared" ca="1" si="57"/>
        <v>#N/A</v>
      </c>
      <c r="BE63" s="49" t="e">
        <f t="shared" ca="1" si="58"/>
        <v>#N/A</v>
      </c>
      <c r="BF63" s="49" t="e">
        <f t="shared" ca="1" si="10"/>
        <v>#N/A</v>
      </c>
      <c r="BG63" s="49" t="e">
        <f t="shared" ca="1" si="59"/>
        <v>#N/A</v>
      </c>
      <c r="BH63" s="49" t="e">
        <f t="shared" ca="1" si="11"/>
        <v>#N/A</v>
      </c>
      <c r="BI63" s="49">
        <f t="shared" si="8"/>
        <v>0</v>
      </c>
      <c r="BJ63" s="49" t="e">
        <f t="shared" ca="1" si="12"/>
        <v>#N/A</v>
      </c>
      <c r="BK63" s="71" t="e">
        <f t="shared" ca="1" si="13"/>
        <v>#N/A</v>
      </c>
      <c r="BL63" s="71" t="e">
        <f t="shared" ca="1" si="14"/>
        <v>#N/A</v>
      </c>
      <c r="BM63" s="71" t="e">
        <f t="shared" ca="1" si="15"/>
        <v>#N/A</v>
      </c>
      <c r="BN63" s="71" t="e">
        <f t="shared" ca="1" si="16"/>
        <v>#N/A</v>
      </c>
      <c r="BO63" s="75" t="e">
        <f t="shared" ca="1" si="60"/>
        <v>#N/A</v>
      </c>
      <c r="BP63" s="49" t="e">
        <f t="shared" ca="1" si="17"/>
        <v>#N/A</v>
      </c>
      <c r="BQ63" s="49" t="e">
        <f t="shared" ca="1" si="18"/>
        <v>#N/A</v>
      </c>
      <c r="BR63" s="49" t="e">
        <f t="shared" ca="1" si="19"/>
        <v>#N/A</v>
      </c>
      <c r="BS63" s="49" t="e">
        <f t="shared" ca="1" si="20"/>
        <v>#N/A</v>
      </c>
      <c r="BT63" s="49" t="e">
        <f t="shared" ca="1" si="21"/>
        <v>#N/A</v>
      </c>
      <c r="BU63" s="49" t="e">
        <f t="shared" ca="1" si="22"/>
        <v>#N/A</v>
      </c>
      <c r="BV63" s="49" t="e">
        <f t="shared" ca="1" si="23"/>
        <v>#N/A</v>
      </c>
    </row>
    <row r="64" spans="1:74" ht="17.25" thickBot="1" x14ac:dyDescent="0.35">
      <c r="A64" s="47"/>
      <c r="B64" s="48"/>
      <c r="C64" s="59" t="e">
        <f ca="1">C63/(1+공마퍼)-공마</f>
        <v>#DIV/0!</v>
      </c>
      <c r="D64" s="78"/>
      <c r="E64" s="47">
        <v>3</v>
      </c>
      <c r="F64" s="58" t="e">
        <f ca="1">(F59*(공마*(1+공마퍼))/공마-(1+공마퍼))*100</f>
        <v>#DIV/0!</v>
      </c>
      <c r="G64" s="44" t="s">
        <v>63</v>
      </c>
      <c r="H64" s="44">
        <f>MIN(1,H55)*(1.35+H56)+(1-MIN(1,H55))</f>
        <v>1</v>
      </c>
      <c r="I64" s="43" t="s">
        <v>63</v>
      </c>
      <c r="J64" s="44">
        <f>MIN(1,H55)*(1.35+J56)+(1-MIN(1,H55))</f>
        <v>1</v>
      </c>
      <c r="K64" s="43" t="s">
        <v>59</v>
      </c>
      <c r="L64" s="44"/>
      <c r="M64" s="57"/>
      <c r="N64" s="98" t="s">
        <v>183</v>
      </c>
      <c r="O64" s="43" t="str">
        <f ca="1">스펙계산기!O14</f>
        <v xml:space="preserve"> DEX</v>
      </c>
      <c r="P64" s="57">
        <f>스펙계산기!Q14</f>
        <v>0</v>
      </c>
      <c r="Q64" s="48"/>
      <c r="R64" s="47">
        <v>9000</v>
      </c>
      <c r="S64" s="48">
        <v>38</v>
      </c>
      <c r="T64" s="97" t="s">
        <v>297</v>
      </c>
      <c r="U64" s="76" t="s">
        <v>181</v>
      </c>
      <c r="V64" s="79" t="e">
        <f ca="1">IF(V57&gt;12,AG248,IF(C67&lt;5,V57,0))</f>
        <v>#DIV/0!</v>
      </c>
      <c r="W64" s="80">
        <v>177</v>
      </c>
      <c r="X64" s="73">
        <v>168</v>
      </c>
      <c r="Y64" s="48" t="e">
        <f t="shared" si="25"/>
        <v>#N/A</v>
      </c>
      <c r="Z64" s="61" t="e">
        <f t="shared" si="26"/>
        <v>#N/A</v>
      </c>
      <c r="AA64" s="61" t="e">
        <f t="shared" si="31"/>
        <v>#N/A</v>
      </c>
      <c r="AB64" s="61" t="e">
        <f t="shared" si="27"/>
        <v>#N/A</v>
      </c>
      <c r="AC64" s="61" t="e">
        <f t="shared" si="28"/>
        <v>#N/A</v>
      </c>
      <c r="AD64" s="61" t="e">
        <f t="shared" si="29"/>
        <v>#N/A</v>
      </c>
      <c r="AE64" s="61" t="e">
        <f t="shared" si="32"/>
        <v>#N/A</v>
      </c>
      <c r="AF64" s="61">
        <f t="shared" si="33"/>
        <v>0</v>
      </c>
      <c r="AG64" s="61" t="e">
        <f t="shared" si="34"/>
        <v>#N/A</v>
      </c>
      <c r="AH64" s="61" t="e">
        <f t="shared" si="35"/>
        <v>#N/A</v>
      </c>
      <c r="AI64" s="61" t="e">
        <f t="shared" si="36"/>
        <v>#N/A</v>
      </c>
      <c r="AJ64" s="61" t="e">
        <f t="shared" si="37"/>
        <v>#N/A</v>
      </c>
      <c r="AK64" s="61" t="e">
        <f t="shared" si="38"/>
        <v>#N/A</v>
      </c>
      <c r="AL64" s="61" t="e">
        <f t="shared" si="39"/>
        <v>#N/A</v>
      </c>
      <c r="AM64" s="61" t="e">
        <f t="shared" si="40"/>
        <v>#N/A</v>
      </c>
      <c r="AN64" s="61" t="e">
        <f t="shared" si="41"/>
        <v>#N/A</v>
      </c>
      <c r="AO64" s="61" t="e">
        <f t="shared" si="42"/>
        <v>#N/A</v>
      </c>
      <c r="AP64" s="61" t="e">
        <f t="shared" si="43"/>
        <v>#N/A</v>
      </c>
      <c r="AQ64" s="61" t="e">
        <f t="shared" si="44"/>
        <v>#N/A</v>
      </c>
      <c r="AR64" s="61" t="e">
        <f t="shared" si="45"/>
        <v>#N/A</v>
      </c>
      <c r="AS64" s="61" t="e">
        <f t="shared" ca="1" si="46"/>
        <v>#N/A</v>
      </c>
      <c r="AT64" s="61" t="e">
        <f t="shared" ca="1" si="47"/>
        <v>#N/A</v>
      </c>
      <c r="AU64" s="61" t="e">
        <f t="shared" si="30"/>
        <v>#N/A</v>
      </c>
      <c r="AV64" s="61" t="e">
        <f t="shared" si="48"/>
        <v>#N/A</v>
      </c>
      <c r="AW64" s="61" t="e">
        <f t="shared" si="49"/>
        <v>#N/A</v>
      </c>
      <c r="AX64" s="61" t="e">
        <f t="shared" si="50"/>
        <v>#N/A</v>
      </c>
      <c r="AY64" s="74" t="e">
        <f t="shared" ca="1" si="52"/>
        <v>#N/A</v>
      </c>
      <c r="AZ64" s="74" t="e">
        <f t="shared" ca="1" si="53"/>
        <v>#N/A</v>
      </c>
      <c r="BA64" s="74" t="e">
        <f t="shared" ca="1" si="54"/>
        <v>#N/A</v>
      </c>
      <c r="BB64" s="74" t="e">
        <f t="shared" ca="1" si="55"/>
        <v>#N/A</v>
      </c>
      <c r="BC64" s="74" t="e">
        <f t="shared" ca="1" si="56"/>
        <v>#N/A</v>
      </c>
      <c r="BD64" s="74" t="e">
        <f t="shared" ca="1" si="57"/>
        <v>#N/A</v>
      </c>
      <c r="BE64" s="49" t="e">
        <f t="shared" ca="1" si="58"/>
        <v>#N/A</v>
      </c>
      <c r="BF64" s="49" t="e">
        <f t="shared" ca="1" si="10"/>
        <v>#N/A</v>
      </c>
      <c r="BG64" s="49" t="e">
        <f t="shared" ca="1" si="59"/>
        <v>#N/A</v>
      </c>
      <c r="BH64" s="49" t="e">
        <f t="shared" ca="1" si="11"/>
        <v>#N/A</v>
      </c>
      <c r="BI64" s="49">
        <f t="shared" si="8"/>
        <v>0</v>
      </c>
      <c r="BJ64" s="49" t="e">
        <f t="shared" ca="1" si="12"/>
        <v>#N/A</v>
      </c>
      <c r="BK64" s="71" t="e">
        <f t="shared" ca="1" si="13"/>
        <v>#N/A</v>
      </c>
      <c r="BL64" s="71" t="e">
        <f t="shared" ca="1" si="14"/>
        <v>#N/A</v>
      </c>
      <c r="BM64" s="71" t="e">
        <f t="shared" ca="1" si="15"/>
        <v>#N/A</v>
      </c>
      <c r="BN64" s="71" t="e">
        <f t="shared" ca="1" si="16"/>
        <v>#N/A</v>
      </c>
      <c r="BO64" s="75" t="e">
        <f t="shared" ca="1" si="60"/>
        <v>#N/A</v>
      </c>
      <c r="BP64" s="49" t="e">
        <f t="shared" ca="1" si="17"/>
        <v>#N/A</v>
      </c>
      <c r="BQ64" s="49" t="e">
        <f t="shared" ca="1" si="18"/>
        <v>#N/A</v>
      </c>
      <c r="BR64" s="49" t="e">
        <f t="shared" ca="1" si="19"/>
        <v>#N/A</v>
      </c>
      <c r="BS64" s="49" t="e">
        <f t="shared" ca="1" si="20"/>
        <v>#N/A</v>
      </c>
      <c r="BT64" s="49" t="e">
        <f t="shared" ca="1" si="21"/>
        <v>#N/A</v>
      </c>
      <c r="BU64" s="49" t="e">
        <f t="shared" ca="1" si="22"/>
        <v>#N/A</v>
      </c>
      <c r="BV64" s="49" t="e">
        <f t="shared" ca="1" si="23"/>
        <v>#N/A</v>
      </c>
    </row>
    <row r="65" spans="1:74" ht="17.25" thickBot="1" x14ac:dyDescent="0.35">
      <c r="A65" s="47"/>
      <c r="B65" s="48"/>
      <c r="C65" s="43" t="s">
        <v>149</v>
      </c>
      <c r="D65" s="44"/>
      <c r="E65" s="47">
        <v>4</v>
      </c>
      <c r="F65" s="94">
        <f ca="1">(F59*(1+데미지+IF(보스=0,0,보공))-(1+데미지+IF(보스=0,0,보공)))*100</f>
        <v>0</v>
      </c>
      <c r="G65" s="78" t="s">
        <v>85</v>
      </c>
      <c r="H65" s="60">
        <f>MIN(1,크확)*(1.35+크뎀)+(1-MIN(1,크확))</f>
        <v>1</v>
      </c>
      <c r="I65" s="59" t="s">
        <v>85</v>
      </c>
      <c r="J65" s="78">
        <f>MIN(1,크확)*(1.35+크뎀)+(1-MIN(1,크확))</f>
        <v>1</v>
      </c>
      <c r="K65" s="47" t="str">
        <f>스펙계산기!O28</f>
        <v xml:space="preserve"> 1레벨</v>
      </c>
      <c r="L65" s="48">
        <f ca="1">(4*ROUNDDOWN((순스탯-P$64+4)*(1+스탯퍼/100-P$65)+포스스탯,)+부스탯)*ROUNDDOWN((공마-P$66+4)*(1+공마퍼),)*(1+데미지+보공-P$69)*(MIN(1,크확-P67)*(1.35+크뎀-P$68+0.07-IF(크리인=1,P67*크리인뎀,))+(1-MIN(1,크확-P67)))</f>
        <v>64</v>
      </c>
      <c r="M65" s="58" t="e">
        <f ca="1">L65/$N$45-1</f>
        <v>#DIV/0!</v>
      </c>
      <c r="N65" s="48"/>
      <c r="O65" s="47" t="str">
        <f ca="1">스펙계산기!R14</f>
        <v xml:space="preserve"> DEX%</v>
      </c>
      <c r="P65" s="58">
        <f>스펙계산기!T14</f>
        <v>0</v>
      </c>
      <c r="Q65" s="61"/>
      <c r="R65" s="47">
        <v>9500</v>
      </c>
      <c r="S65" s="48">
        <v>39</v>
      </c>
      <c r="T65" s="97" t="s">
        <v>298</v>
      </c>
      <c r="U65" s="76" t="s">
        <v>82</v>
      </c>
      <c r="V65" s="79" t="e">
        <f ca="1">IF(V57&gt;12,AH248,IF(NOT(C67&lt;5),V57,0))</f>
        <v>#DIV/0!</v>
      </c>
      <c r="W65" s="80">
        <v>178</v>
      </c>
      <c r="X65" s="73">
        <v>174</v>
      </c>
      <c r="Y65" s="48" t="e">
        <f t="shared" si="25"/>
        <v>#N/A</v>
      </c>
      <c r="Z65" s="61" t="e">
        <f t="shared" si="26"/>
        <v>#N/A</v>
      </c>
      <c r="AA65" s="61" t="e">
        <f t="shared" si="31"/>
        <v>#N/A</v>
      </c>
      <c r="AB65" s="61" t="e">
        <f t="shared" si="27"/>
        <v>#N/A</v>
      </c>
      <c r="AC65" s="61" t="e">
        <f t="shared" si="28"/>
        <v>#N/A</v>
      </c>
      <c r="AD65" s="61" t="e">
        <f t="shared" si="29"/>
        <v>#N/A</v>
      </c>
      <c r="AE65" s="61" t="e">
        <f t="shared" si="32"/>
        <v>#N/A</v>
      </c>
      <c r="AF65" s="61">
        <f t="shared" si="33"/>
        <v>0</v>
      </c>
      <c r="AG65" s="61" t="e">
        <f t="shared" si="34"/>
        <v>#N/A</v>
      </c>
      <c r="AH65" s="61" t="e">
        <f t="shared" si="35"/>
        <v>#N/A</v>
      </c>
      <c r="AI65" s="61" t="e">
        <f t="shared" si="36"/>
        <v>#N/A</v>
      </c>
      <c r="AJ65" s="61" t="e">
        <f t="shared" si="37"/>
        <v>#N/A</v>
      </c>
      <c r="AK65" s="61" t="e">
        <f t="shared" si="38"/>
        <v>#N/A</v>
      </c>
      <c r="AL65" s="61" t="e">
        <f t="shared" si="39"/>
        <v>#N/A</v>
      </c>
      <c r="AM65" s="61" t="e">
        <f t="shared" si="40"/>
        <v>#N/A</v>
      </c>
      <c r="AN65" s="61" t="e">
        <f t="shared" si="41"/>
        <v>#N/A</v>
      </c>
      <c r="AO65" s="61" t="e">
        <f t="shared" si="42"/>
        <v>#N/A</v>
      </c>
      <c r="AP65" s="61" t="e">
        <f t="shared" si="43"/>
        <v>#N/A</v>
      </c>
      <c r="AQ65" s="61" t="e">
        <f t="shared" si="44"/>
        <v>#N/A</v>
      </c>
      <c r="AR65" s="61" t="e">
        <f t="shared" si="45"/>
        <v>#N/A</v>
      </c>
      <c r="AS65" s="61" t="e">
        <f t="shared" ca="1" si="46"/>
        <v>#N/A</v>
      </c>
      <c r="AT65" s="61" t="e">
        <f t="shared" ca="1" si="47"/>
        <v>#N/A</v>
      </c>
      <c r="AU65" s="61" t="e">
        <f t="shared" si="30"/>
        <v>#N/A</v>
      </c>
      <c r="AV65" s="61" t="e">
        <f t="shared" si="48"/>
        <v>#N/A</v>
      </c>
      <c r="AW65" s="61" t="e">
        <f t="shared" si="49"/>
        <v>#N/A</v>
      </c>
      <c r="AX65" s="61" t="e">
        <f t="shared" si="50"/>
        <v>#N/A</v>
      </c>
      <c r="AY65" s="74" t="e">
        <f t="shared" ca="1" si="52"/>
        <v>#N/A</v>
      </c>
      <c r="AZ65" s="74" t="e">
        <f t="shared" ca="1" si="53"/>
        <v>#N/A</v>
      </c>
      <c r="BA65" s="74" t="e">
        <f t="shared" ca="1" si="54"/>
        <v>#N/A</v>
      </c>
      <c r="BB65" s="74" t="e">
        <f t="shared" ca="1" si="55"/>
        <v>#N/A</v>
      </c>
      <c r="BC65" s="74" t="e">
        <f t="shared" ca="1" si="56"/>
        <v>#N/A</v>
      </c>
      <c r="BD65" s="74" t="e">
        <f t="shared" ca="1" si="57"/>
        <v>#N/A</v>
      </c>
      <c r="BE65" s="49" t="e">
        <f t="shared" ca="1" si="58"/>
        <v>#N/A</v>
      </c>
      <c r="BF65" s="49" t="e">
        <f t="shared" ca="1" si="10"/>
        <v>#N/A</v>
      </c>
      <c r="BG65" s="49" t="e">
        <f t="shared" ca="1" si="59"/>
        <v>#N/A</v>
      </c>
      <c r="BH65" s="49" t="e">
        <f t="shared" ca="1" si="11"/>
        <v>#N/A</v>
      </c>
      <c r="BI65" s="49">
        <f t="shared" si="8"/>
        <v>0</v>
      </c>
      <c r="BJ65" s="49" t="e">
        <f t="shared" ca="1" si="12"/>
        <v>#N/A</v>
      </c>
      <c r="BK65" s="71" t="e">
        <f t="shared" ca="1" si="13"/>
        <v>#N/A</v>
      </c>
      <c r="BL65" s="71" t="e">
        <f t="shared" ca="1" si="14"/>
        <v>#N/A</v>
      </c>
      <c r="BM65" s="71" t="e">
        <f t="shared" ca="1" si="15"/>
        <v>#N/A</v>
      </c>
      <c r="BN65" s="71" t="e">
        <f t="shared" ca="1" si="16"/>
        <v>#N/A</v>
      </c>
      <c r="BO65" s="75" t="e">
        <f t="shared" ca="1" si="60"/>
        <v>#N/A</v>
      </c>
      <c r="BP65" s="49" t="e">
        <f t="shared" ca="1" si="17"/>
        <v>#N/A</v>
      </c>
      <c r="BQ65" s="49" t="e">
        <f t="shared" ca="1" si="18"/>
        <v>#N/A</v>
      </c>
      <c r="BR65" s="49" t="e">
        <f t="shared" ca="1" si="19"/>
        <v>#N/A</v>
      </c>
      <c r="BS65" s="49" t="e">
        <f t="shared" ca="1" si="20"/>
        <v>#N/A</v>
      </c>
      <c r="BT65" s="49" t="e">
        <f t="shared" ca="1" si="21"/>
        <v>#N/A</v>
      </c>
      <c r="BU65" s="49" t="e">
        <f t="shared" ca="1" si="22"/>
        <v>#N/A</v>
      </c>
      <c r="BV65" s="49" t="e">
        <f t="shared" ca="1" si="23"/>
        <v>#N/A</v>
      </c>
    </row>
    <row r="66" spans="1:74" ht="17.25" thickBot="1" x14ac:dyDescent="0.35">
      <c r="A66" s="47"/>
      <c r="B66" s="48"/>
      <c r="C66" s="47" t="e">
        <f ca="1">(((4*(순스탯*(1+스탯퍼/100)+D57)+부스탯)*((공마+1))/공마-부스탯)/4-D57)/(1+스탯퍼/100)-순스탯</f>
        <v>#DIV/0!</v>
      </c>
      <c r="D66" s="48"/>
      <c r="E66" s="47">
        <v>5</v>
      </c>
      <c r="F66" s="58">
        <f ca="1">IF(보스=0,0,(F59*(1+데미지+IF(보스=0,0,보공))-(1+데미지+IF(보스=0,0,보공)))*100)</f>
        <v>0</v>
      </c>
      <c r="G66" s="48"/>
      <c r="H66" s="48"/>
      <c r="I66" s="48"/>
      <c r="J66" s="48"/>
      <c r="K66" s="47" t="str">
        <f>스펙계산기!O29</f>
        <v xml:space="preserve"> 2레벨</v>
      </c>
      <c r="L66" s="48">
        <f ca="1">(4*ROUNDDOWN((순스탯-P$64+4)*(1+스탯퍼/100-P$65)+D$57,)+부스탯)*ROUNDDOWN((공마-P$66+4)*(1+공마퍼),)*(1+데미지+보공-P$69)*(MIN(1,크확-P67)*(1.35+크뎀-P$68+0.14-IF(크리인=1,P67*크리인뎀,))+(1-MIN(1,크확-P67)))</f>
        <v>64</v>
      </c>
      <c r="M66" s="58" t="e">
        <f t="shared" ref="M66:M68" ca="1" si="61">L66/$N$45-1</f>
        <v>#DIV/0!</v>
      </c>
      <c r="N66" s="48"/>
      <c r="O66" s="47" t="str">
        <f ca="1">스펙계산기!O15</f>
        <v xml:space="preserve"> 공격력</v>
      </c>
      <c r="P66" s="58">
        <f>스펙계산기!Q15</f>
        <v>0</v>
      </c>
      <c r="Q66" s="48"/>
      <c r="R66" s="59">
        <v>10000</v>
      </c>
      <c r="S66" s="78">
        <v>40</v>
      </c>
      <c r="T66" s="99" t="s">
        <v>299</v>
      </c>
      <c r="U66" s="76" t="s">
        <v>91</v>
      </c>
      <c r="V66" s="79" t="e">
        <f>AI248</f>
        <v>#N/A</v>
      </c>
      <c r="W66" s="80">
        <v>179</v>
      </c>
      <c r="X66" s="73">
        <v>180</v>
      </c>
      <c r="Y66" s="48" t="e">
        <f t="shared" si="25"/>
        <v>#N/A</v>
      </c>
      <c r="Z66" s="61" t="e">
        <f t="shared" si="26"/>
        <v>#N/A</v>
      </c>
      <c r="AA66" s="61" t="e">
        <f t="shared" si="31"/>
        <v>#N/A</v>
      </c>
      <c r="AB66" s="61" t="e">
        <f t="shared" si="27"/>
        <v>#N/A</v>
      </c>
      <c r="AC66" s="61" t="e">
        <f t="shared" si="28"/>
        <v>#N/A</v>
      </c>
      <c r="AD66" s="61" t="e">
        <f t="shared" si="29"/>
        <v>#N/A</v>
      </c>
      <c r="AE66" s="61" t="e">
        <f t="shared" si="32"/>
        <v>#N/A</v>
      </c>
      <c r="AF66" s="61">
        <f t="shared" si="33"/>
        <v>0</v>
      </c>
      <c r="AG66" s="61" t="e">
        <f t="shared" si="34"/>
        <v>#N/A</v>
      </c>
      <c r="AH66" s="61" t="e">
        <f t="shared" si="35"/>
        <v>#N/A</v>
      </c>
      <c r="AI66" s="61" t="e">
        <f t="shared" si="36"/>
        <v>#N/A</v>
      </c>
      <c r="AJ66" s="61" t="e">
        <f t="shared" si="37"/>
        <v>#N/A</v>
      </c>
      <c r="AK66" s="61" t="e">
        <f t="shared" si="38"/>
        <v>#N/A</v>
      </c>
      <c r="AL66" s="61" t="e">
        <f t="shared" si="39"/>
        <v>#N/A</v>
      </c>
      <c r="AM66" s="61" t="e">
        <f t="shared" si="40"/>
        <v>#N/A</v>
      </c>
      <c r="AN66" s="61" t="e">
        <f t="shared" si="41"/>
        <v>#N/A</v>
      </c>
      <c r="AO66" s="61" t="e">
        <f t="shared" si="42"/>
        <v>#N/A</v>
      </c>
      <c r="AP66" s="61" t="e">
        <f t="shared" si="43"/>
        <v>#N/A</v>
      </c>
      <c r="AQ66" s="61" t="e">
        <f t="shared" si="44"/>
        <v>#N/A</v>
      </c>
      <c r="AR66" s="61" t="e">
        <f t="shared" si="45"/>
        <v>#N/A</v>
      </c>
      <c r="AS66" s="61" t="e">
        <f t="shared" ca="1" si="46"/>
        <v>#N/A</v>
      </c>
      <c r="AT66" s="61" t="e">
        <f t="shared" ca="1" si="47"/>
        <v>#N/A</v>
      </c>
      <c r="AU66" s="61" t="e">
        <f t="shared" si="30"/>
        <v>#N/A</v>
      </c>
      <c r="AV66" s="61" t="e">
        <f t="shared" si="48"/>
        <v>#N/A</v>
      </c>
      <c r="AW66" s="61" t="e">
        <f t="shared" si="49"/>
        <v>#N/A</v>
      </c>
      <c r="AX66" s="61" t="e">
        <f t="shared" si="50"/>
        <v>#N/A</v>
      </c>
      <c r="AY66" s="74" t="e">
        <f t="shared" ca="1" si="52"/>
        <v>#N/A</v>
      </c>
      <c r="AZ66" s="74" t="e">
        <f t="shared" ca="1" si="53"/>
        <v>#N/A</v>
      </c>
      <c r="BA66" s="74" t="e">
        <f t="shared" ca="1" si="54"/>
        <v>#N/A</v>
      </c>
      <c r="BB66" s="74" t="e">
        <f t="shared" ca="1" si="55"/>
        <v>#N/A</v>
      </c>
      <c r="BC66" s="74" t="e">
        <f t="shared" ca="1" si="56"/>
        <v>#N/A</v>
      </c>
      <c r="BD66" s="74" t="e">
        <f t="shared" ca="1" si="57"/>
        <v>#N/A</v>
      </c>
      <c r="BE66" s="49" t="e">
        <f t="shared" ca="1" si="58"/>
        <v>#N/A</v>
      </c>
      <c r="BF66" s="49" t="e">
        <f t="shared" ca="1" si="10"/>
        <v>#N/A</v>
      </c>
      <c r="BG66" s="49" t="e">
        <f t="shared" ca="1" si="59"/>
        <v>#N/A</v>
      </c>
      <c r="BH66" s="49" t="e">
        <f t="shared" ca="1" si="11"/>
        <v>#N/A</v>
      </c>
      <c r="BI66" s="49">
        <f t="shared" si="8"/>
        <v>0</v>
      </c>
      <c r="BJ66" s="49" t="e">
        <f t="shared" ca="1" si="12"/>
        <v>#N/A</v>
      </c>
      <c r="BK66" s="71" t="e">
        <f t="shared" ca="1" si="13"/>
        <v>#N/A</v>
      </c>
      <c r="BL66" s="71" t="e">
        <f t="shared" ca="1" si="14"/>
        <v>#N/A</v>
      </c>
      <c r="BM66" s="71" t="e">
        <f t="shared" ca="1" si="15"/>
        <v>#N/A</v>
      </c>
      <c r="BN66" s="71" t="e">
        <f t="shared" ca="1" si="16"/>
        <v>#N/A</v>
      </c>
      <c r="BO66" s="75" t="e">
        <f t="shared" ca="1" si="60"/>
        <v>#N/A</v>
      </c>
      <c r="BP66" s="49" t="e">
        <f t="shared" ca="1" si="17"/>
        <v>#N/A</v>
      </c>
      <c r="BQ66" s="49" t="e">
        <f t="shared" ca="1" si="18"/>
        <v>#N/A</v>
      </c>
      <c r="BR66" s="49" t="e">
        <f t="shared" ca="1" si="19"/>
        <v>#N/A</v>
      </c>
      <c r="BS66" s="49" t="e">
        <f t="shared" ca="1" si="20"/>
        <v>#N/A</v>
      </c>
      <c r="BT66" s="49" t="e">
        <f t="shared" ca="1" si="21"/>
        <v>#N/A</v>
      </c>
      <c r="BU66" s="49" t="e">
        <f t="shared" ca="1" si="22"/>
        <v>#N/A</v>
      </c>
      <c r="BV66" s="49" t="e">
        <f t="shared" ca="1" si="23"/>
        <v>#N/A</v>
      </c>
    </row>
    <row r="67" spans="1:74" ht="17.25" thickBot="1" x14ac:dyDescent="0.35">
      <c r="A67" s="47"/>
      <c r="B67" s="48"/>
      <c r="C67" s="59" t="e">
        <f ca="1">C66</f>
        <v>#DIV/0!</v>
      </c>
      <c r="D67" s="60"/>
      <c r="E67" s="87">
        <v>6</v>
      </c>
      <c r="F67" s="60">
        <f ca="1">(F59*(1.35+크뎀)-(1.35+크뎀))*100</f>
        <v>0</v>
      </c>
      <c r="G67" s="48"/>
      <c r="H67" s="48"/>
      <c r="I67" s="48"/>
      <c r="J67" s="48"/>
      <c r="K67" s="47" t="str">
        <f>스펙계산기!O30</f>
        <v xml:space="preserve"> 3레벨</v>
      </c>
      <c r="L67" s="48">
        <f ca="1">(4*ROUNDDOWN((순스탯-P$64+4)*(1+스탯퍼/100-P$65)+D$57,)+부스탯)*ROUNDDOWN((공마-P$66+4)*(1+공마퍼),)*(1+데미지+보공-P$69)*(MIN(1,크확-P67)*(1.35+크뎀-P$68+0.21-IF(크리인=1,P67*크리인뎀,))+(1-MIN(1,크확-P67)))</f>
        <v>64</v>
      </c>
      <c r="M67" s="58" t="e">
        <f t="shared" ca="1" si="61"/>
        <v>#DIV/0!</v>
      </c>
      <c r="N67" s="48"/>
      <c r="O67" s="83" t="str">
        <f>스펙계산기!O16</f>
        <v xml:space="preserve"> 크리티컬 확률</v>
      </c>
      <c r="P67" s="94">
        <f>스펙계산기!Q16</f>
        <v>0</v>
      </c>
      <c r="Q67" s="48"/>
      <c r="R67" s="61"/>
      <c r="S67" s="47">
        <v>2000</v>
      </c>
      <c r="T67" s="58">
        <v>6</v>
      </c>
      <c r="U67" s="76" t="s">
        <v>133</v>
      </c>
      <c r="V67" s="79" t="e">
        <f>AJ248</f>
        <v>#N/A</v>
      </c>
      <c r="W67" s="80">
        <v>180</v>
      </c>
      <c r="X67" s="73">
        <v>187</v>
      </c>
      <c r="Y67" s="48" t="e">
        <f t="shared" si="25"/>
        <v>#N/A</v>
      </c>
      <c r="Z67" s="61" t="e">
        <f t="shared" si="26"/>
        <v>#N/A</v>
      </c>
      <c r="AA67" s="61" t="e">
        <f t="shared" si="31"/>
        <v>#N/A</v>
      </c>
      <c r="AB67" s="61" t="e">
        <f t="shared" si="27"/>
        <v>#N/A</v>
      </c>
      <c r="AC67" s="61" t="e">
        <f t="shared" si="28"/>
        <v>#N/A</v>
      </c>
      <c r="AD67" s="61" t="e">
        <f t="shared" si="29"/>
        <v>#N/A</v>
      </c>
      <c r="AE67" s="61" t="e">
        <f t="shared" si="32"/>
        <v>#N/A</v>
      </c>
      <c r="AF67" s="61">
        <f t="shared" si="33"/>
        <v>0</v>
      </c>
      <c r="AG67" s="61" t="e">
        <f t="shared" si="34"/>
        <v>#N/A</v>
      </c>
      <c r="AH67" s="61" t="e">
        <f t="shared" si="35"/>
        <v>#N/A</v>
      </c>
      <c r="AI67" s="61" t="e">
        <f t="shared" si="36"/>
        <v>#N/A</v>
      </c>
      <c r="AJ67" s="61" t="e">
        <f t="shared" si="37"/>
        <v>#N/A</v>
      </c>
      <c r="AK67" s="61" t="e">
        <f t="shared" si="38"/>
        <v>#N/A</v>
      </c>
      <c r="AL67" s="61" t="e">
        <f t="shared" si="39"/>
        <v>#N/A</v>
      </c>
      <c r="AM67" s="61" t="e">
        <f t="shared" si="40"/>
        <v>#N/A</v>
      </c>
      <c r="AN67" s="61" t="e">
        <f t="shared" si="41"/>
        <v>#N/A</v>
      </c>
      <c r="AO67" s="61" t="e">
        <f t="shared" si="42"/>
        <v>#N/A</v>
      </c>
      <c r="AP67" s="61" t="e">
        <f t="shared" si="43"/>
        <v>#N/A</v>
      </c>
      <c r="AQ67" s="61" t="e">
        <f t="shared" si="44"/>
        <v>#N/A</v>
      </c>
      <c r="AR67" s="61" t="e">
        <f t="shared" si="45"/>
        <v>#N/A</v>
      </c>
      <c r="AS67" s="61" t="e">
        <f t="shared" ca="1" si="46"/>
        <v>#N/A</v>
      </c>
      <c r="AT67" s="61" t="e">
        <f t="shared" ca="1" si="47"/>
        <v>#N/A</v>
      </c>
      <c r="AU67" s="61" t="e">
        <f t="shared" si="30"/>
        <v>#N/A</v>
      </c>
      <c r="AV67" s="61" t="e">
        <f t="shared" si="48"/>
        <v>#N/A</v>
      </c>
      <c r="AW67" s="61" t="e">
        <f t="shared" si="49"/>
        <v>#N/A</v>
      </c>
      <c r="AX67" s="61" t="e">
        <f t="shared" si="50"/>
        <v>#N/A</v>
      </c>
      <c r="AY67" s="74" t="e">
        <f t="shared" ca="1" si="52"/>
        <v>#N/A</v>
      </c>
      <c r="AZ67" s="74" t="e">
        <f t="shared" ca="1" si="53"/>
        <v>#N/A</v>
      </c>
      <c r="BA67" s="74" t="e">
        <f t="shared" ca="1" si="54"/>
        <v>#N/A</v>
      </c>
      <c r="BB67" s="74" t="e">
        <f t="shared" ca="1" si="55"/>
        <v>#N/A</v>
      </c>
      <c r="BC67" s="74" t="e">
        <f t="shared" ca="1" si="56"/>
        <v>#N/A</v>
      </c>
      <c r="BD67" s="74" t="e">
        <f t="shared" ca="1" si="57"/>
        <v>#N/A</v>
      </c>
      <c r="BE67" s="49" t="e">
        <f t="shared" ca="1" si="58"/>
        <v>#N/A</v>
      </c>
      <c r="BF67" s="49" t="e">
        <f t="shared" ca="1" si="10"/>
        <v>#N/A</v>
      </c>
      <c r="BG67" s="49" t="e">
        <f t="shared" ca="1" si="59"/>
        <v>#N/A</v>
      </c>
      <c r="BH67" s="49" t="e">
        <f t="shared" ca="1" si="11"/>
        <v>#N/A</v>
      </c>
      <c r="BI67" s="49">
        <f t="shared" si="8"/>
        <v>0</v>
      </c>
      <c r="BJ67" s="49" t="e">
        <f t="shared" ca="1" si="12"/>
        <v>#N/A</v>
      </c>
      <c r="BK67" s="71" t="e">
        <f t="shared" ca="1" si="13"/>
        <v>#N/A</v>
      </c>
      <c r="BL67" s="71" t="e">
        <f t="shared" ca="1" si="14"/>
        <v>#N/A</v>
      </c>
      <c r="BM67" s="71" t="e">
        <f t="shared" ca="1" si="15"/>
        <v>#N/A</v>
      </c>
      <c r="BN67" s="71" t="e">
        <f t="shared" ca="1" si="16"/>
        <v>#N/A</v>
      </c>
      <c r="BO67" s="75" t="e">
        <f t="shared" ca="1" si="60"/>
        <v>#N/A</v>
      </c>
      <c r="BP67" s="49" t="e">
        <f t="shared" ca="1" si="17"/>
        <v>#N/A</v>
      </c>
      <c r="BQ67" s="49" t="e">
        <f t="shared" ca="1" si="18"/>
        <v>#N/A</v>
      </c>
      <c r="BR67" s="49" t="e">
        <f t="shared" ca="1" si="19"/>
        <v>#N/A</v>
      </c>
      <c r="BS67" s="49" t="e">
        <f t="shared" ca="1" si="20"/>
        <v>#N/A</v>
      </c>
      <c r="BT67" s="49" t="e">
        <f t="shared" ca="1" si="21"/>
        <v>#N/A</v>
      </c>
      <c r="BU67" s="49" t="e">
        <f t="shared" ca="1" si="22"/>
        <v>#N/A</v>
      </c>
      <c r="BV67" s="49" t="e">
        <f t="shared" ca="1" si="23"/>
        <v>#N/A</v>
      </c>
    </row>
    <row r="68" spans="1:74" ht="17.25" thickBot="1" x14ac:dyDescent="0.35">
      <c r="A68" s="47"/>
      <c r="B68" s="48"/>
      <c r="C68" s="43" t="s">
        <v>150</v>
      </c>
      <c r="D68" s="100" t="s">
        <v>61</v>
      </c>
      <c r="E68" s="59">
        <f ca="1">F49</f>
        <v>2</v>
      </c>
      <c r="F68" s="60">
        <f ca="1">VLOOKUP(E68,E61:F67,2)</f>
        <v>0</v>
      </c>
      <c r="G68" s="48"/>
      <c r="H68" s="48"/>
      <c r="I68" s="48"/>
      <c r="J68" s="48"/>
      <c r="K68" s="47" t="str">
        <f>스펙계산기!O31</f>
        <v xml:space="preserve"> 4레벨</v>
      </c>
      <c r="L68" s="48">
        <f ca="1">(4*ROUNDDOWN((순스탯-P$64+4)*(1+스탯퍼/100-P$65)+D$57,)+부스탯)*ROUNDDOWN((공마-P$66+4)*(1+공마퍼),)*(1+데미지+보공-P$69)*(MIN(1,크확-P67)*(1.35+크뎀-P$68+0.28-IF(크리인=1,P67*크리인뎀,))+(1-MIN(1,크확-P67)))</f>
        <v>64</v>
      </c>
      <c r="M68" s="58" t="e">
        <f t="shared" ca="1" si="61"/>
        <v>#DIV/0!</v>
      </c>
      <c r="N68" s="48"/>
      <c r="O68" s="47" t="str">
        <f>스펙계산기!R16</f>
        <v xml:space="preserve"> 크리티컬 데미지</v>
      </c>
      <c r="P68" s="58">
        <f>스펙계산기!T16</f>
        <v>0</v>
      </c>
      <c r="Q68" s="48"/>
      <c r="R68" s="48"/>
      <c r="S68" s="47">
        <v>3000</v>
      </c>
      <c r="T68" s="58">
        <v>13</v>
      </c>
      <c r="U68" s="76" t="s">
        <v>89</v>
      </c>
      <c r="V68" s="79" t="e">
        <f>AK248</f>
        <v>#N/A</v>
      </c>
      <c r="W68" s="80">
        <v>181</v>
      </c>
      <c r="X68" s="73">
        <v>194</v>
      </c>
      <c r="Y68" s="48" t="e">
        <f t="shared" si="25"/>
        <v>#N/A</v>
      </c>
      <c r="Z68" s="61" t="e">
        <f t="shared" si="26"/>
        <v>#N/A</v>
      </c>
      <c r="AA68" s="61" t="e">
        <f t="shared" si="31"/>
        <v>#N/A</v>
      </c>
      <c r="AB68" s="61" t="e">
        <f t="shared" si="27"/>
        <v>#N/A</v>
      </c>
      <c r="AC68" s="61" t="e">
        <f t="shared" si="28"/>
        <v>#N/A</v>
      </c>
      <c r="AD68" s="61" t="e">
        <f t="shared" si="29"/>
        <v>#N/A</v>
      </c>
      <c r="AE68" s="61" t="e">
        <f t="shared" si="32"/>
        <v>#N/A</v>
      </c>
      <c r="AF68" s="61">
        <f t="shared" si="33"/>
        <v>0</v>
      </c>
      <c r="AG68" s="61" t="e">
        <f t="shared" si="34"/>
        <v>#N/A</v>
      </c>
      <c r="AH68" s="61" t="e">
        <f t="shared" si="35"/>
        <v>#N/A</v>
      </c>
      <c r="AI68" s="61" t="e">
        <f t="shared" si="36"/>
        <v>#N/A</v>
      </c>
      <c r="AJ68" s="61" t="e">
        <f t="shared" si="37"/>
        <v>#N/A</v>
      </c>
      <c r="AK68" s="61" t="e">
        <f t="shared" si="38"/>
        <v>#N/A</v>
      </c>
      <c r="AL68" s="61" t="e">
        <f t="shared" si="39"/>
        <v>#N/A</v>
      </c>
      <c r="AM68" s="61" t="e">
        <f t="shared" si="40"/>
        <v>#N/A</v>
      </c>
      <c r="AN68" s="61" t="e">
        <f t="shared" si="41"/>
        <v>#N/A</v>
      </c>
      <c r="AO68" s="61" t="e">
        <f t="shared" si="42"/>
        <v>#N/A</v>
      </c>
      <c r="AP68" s="61" t="e">
        <f t="shared" si="43"/>
        <v>#N/A</v>
      </c>
      <c r="AQ68" s="61" t="e">
        <f t="shared" si="44"/>
        <v>#N/A</v>
      </c>
      <c r="AR68" s="61" t="e">
        <f t="shared" si="45"/>
        <v>#N/A</v>
      </c>
      <c r="AS68" s="61" t="e">
        <f t="shared" ca="1" si="46"/>
        <v>#N/A</v>
      </c>
      <c r="AT68" s="61" t="e">
        <f t="shared" ca="1" si="47"/>
        <v>#N/A</v>
      </c>
      <c r="AU68" s="61" t="e">
        <f t="shared" si="30"/>
        <v>#N/A</v>
      </c>
      <c r="AV68" s="61" t="e">
        <f t="shared" si="48"/>
        <v>#N/A</v>
      </c>
      <c r="AW68" s="61" t="e">
        <f t="shared" si="49"/>
        <v>#N/A</v>
      </c>
      <c r="AX68" s="61" t="e">
        <f t="shared" si="50"/>
        <v>#N/A</v>
      </c>
      <c r="AY68" s="74" t="e">
        <f t="shared" ca="1" si="52"/>
        <v>#N/A</v>
      </c>
      <c r="AZ68" s="74" t="e">
        <f t="shared" ca="1" si="53"/>
        <v>#N/A</v>
      </c>
      <c r="BA68" s="74" t="e">
        <f t="shared" ca="1" si="54"/>
        <v>#N/A</v>
      </c>
      <c r="BB68" s="74" t="e">
        <f t="shared" ca="1" si="55"/>
        <v>#N/A</v>
      </c>
      <c r="BC68" s="74" t="e">
        <f t="shared" ca="1" si="56"/>
        <v>#N/A</v>
      </c>
      <c r="BD68" s="74" t="e">
        <f t="shared" ca="1" si="57"/>
        <v>#N/A</v>
      </c>
      <c r="BE68" s="49" t="e">
        <f t="shared" ca="1" si="58"/>
        <v>#N/A</v>
      </c>
      <c r="BF68" s="49" t="e">
        <f t="shared" ca="1" si="10"/>
        <v>#N/A</v>
      </c>
      <c r="BG68" s="49" t="e">
        <f t="shared" ca="1" si="59"/>
        <v>#N/A</v>
      </c>
      <c r="BH68" s="49" t="e">
        <f t="shared" ca="1" si="11"/>
        <v>#N/A</v>
      </c>
      <c r="BI68" s="49">
        <f t="shared" si="8"/>
        <v>0</v>
      </c>
      <c r="BJ68" s="49" t="e">
        <f t="shared" ca="1" si="12"/>
        <v>#N/A</v>
      </c>
      <c r="BK68" s="71" t="e">
        <f t="shared" ca="1" si="13"/>
        <v>#N/A</v>
      </c>
      <c r="BL68" s="71" t="e">
        <f t="shared" ca="1" si="14"/>
        <v>#N/A</v>
      </c>
      <c r="BM68" s="71" t="e">
        <f t="shared" ca="1" si="15"/>
        <v>#N/A</v>
      </c>
      <c r="BN68" s="71" t="e">
        <f t="shared" ca="1" si="16"/>
        <v>#N/A</v>
      </c>
      <c r="BO68" s="75" t="e">
        <f t="shared" ca="1" si="60"/>
        <v>#N/A</v>
      </c>
      <c r="BP68" s="49" t="e">
        <f t="shared" ca="1" si="17"/>
        <v>#N/A</v>
      </c>
      <c r="BQ68" s="49" t="e">
        <f t="shared" ca="1" si="18"/>
        <v>#N/A</v>
      </c>
      <c r="BR68" s="49" t="e">
        <f t="shared" ca="1" si="19"/>
        <v>#N/A</v>
      </c>
      <c r="BS68" s="49" t="e">
        <f t="shared" ca="1" si="20"/>
        <v>#N/A</v>
      </c>
      <c r="BT68" s="49" t="e">
        <f t="shared" ca="1" si="21"/>
        <v>#N/A</v>
      </c>
      <c r="BU68" s="49" t="e">
        <f t="shared" ca="1" si="22"/>
        <v>#N/A</v>
      </c>
      <c r="BV68" s="49" t="e">
        <f t="shared" ca="1" si="23"/>
        <v>#N/A</v>
      </c>
    </row>
    <row r="69" spans="1:74" ht="17.25" thickBot="1" x14ac:dyDescent="0.35">
      <c r="A69" s="47"/>
      <c r="B69" s="48"/>
      <c r="C69" s="47">
        <f ca="1">(공마*(1.01+공마퍼))</f>
        <v>0</v>
      </c>
      <c r="D69" s="58"/>
      <c r="E69" s="48"/>
      <c r="F69" s="48"/>
      <c r="G69" s="48"/>
      <c r="H69" s="48"/>
      <c r="I69" s="48"/>
      <c r="J69" s="48"/>
      <c r="K69" s="81" t="str">
        <f>스펙계산기!O32</f>
        <v xml:space="preserve"> 얼티링</v>
      </c>
      <c r="L69" s="90">
        <f ca="1">(4*(ROUNDDOWN(순스탯*(1+스탯퍼/100),)+D57)+부스탯)*ROUNDDOWN(공마*(1+공마퍼),)*D30/100</f>
        <v>0</v>
      </c>
      <c r="M69" s="90" t="e">
        <f ca="1">IF(L69&gt;2000000,0,2000000/L69-1)</f>
        <v>#DIV/0!</v>
      </c>
      <c r="N69" s="90">
        <f>MAX(D35,2000000*(1+데미지)*(1+최종뎀))</f>
        <v>2000000</v>
      </c>
      <c r="O69" s="59" t="str">
        <f>스펙계산기!R15</f>
        <v xml:space="preserve"> 보스 데미지</v>
      </c>
      <c r="P69" s="60">
        <f>IF(보스=0,0,스펙계산기!T15)</f>
        <v>0</v>
      </c>
      <c r="Q69" s="48"/>
      <c r="R69" s="48"/>
      <c r="S69" s="47">
        <v>4000</v>
      </c>
      <c r="T69" s="58">
        <v>21</v>
      </c>
      <c r="U69" s="47" t="s">
        <v>92</v>
      </c>
      <c r="V69" s="58" t="e">
        <f>AL248</f>
        <v>#N/A</v>
      </c>
      <c r="W69" s="80">
        <v>182</v>
      </c>
      <c r="X69" s="73">
        <v>201</v>
      </c>
      <c r="Y69" s="48" t="e">
        <f t="shared" si="25"/>
        <v>#N/A</v>
      </c>
      <c r="Z69" s="61" t="e">
        <f t="shared" si="26"/>
        <v>#N/A</v>
      </c>
      <c r="AA69" s="61" t="e">
        <f t="shared" si="31"/>
        <v>#N/A</v>
      </c>
      <c r="AB69" s="61" t="e">
        <f t="shared" si="27"/>
        <v>#N/A</v>
      </c>
      <c r="AC69" s="61" t="e">
        <f t="shared" si="28"/>
        <v>#N/A</v>
      </c>
      <c r="AD69" s="61" t="e">
        <f t="shared" si="29"/>
        <v>#N/A</v>
      </c>
      <c r="AE69" s="61" t="e">
        <f t="shared" si="32"/>
        <v>#N/A</v>
      </c>
      <c r="AF69" s="61">
        <f t="shared" si="33"/>
        <v>0</v>
      </c>
      <c r="AG69" s="61" t="e">
        <f t="shared" si="34"/>
        <v>#N/A</v>
      </c>
      <c r="AH69" s="61" t="e">
        <f t="shared" si="35"/>
        <v>#N/A</v>
      </c>
      <c r="AI69" s="61" t="e">
        <f t="shared" si="36"/>
        <v>#N/A</v>
      </c>
      <c r="AJ69" s="61" t="e">
        <f t="shared" si="37"/>
        <v>#N/A</v>
      </c>
      <c r="AK69" s="61" t="e">
        <f t="shared" si="38"/>
        <v>#N/A</v>
      </c>
      <c r="AL69" s="61" t="e">
        <f t="shared" si="39"/>
        <v>#N/A</v>
      </c>
      <c r="AM69" s="61" t="e">
        <f t="shared" si="40"/>
        <v>#N/A</v>
      </c>
      <c r="AN69" s="61" t="e">
        <f t="shared" si="41"/>
        <v>#N/A</v>
      </c>
      <c r="AO69" s="61" t="e">
        <f t="shared" si="42"/>
        <v>#N/A</v>
      </c>
      <c r="AP69" s="61" t="e">
        <f t="shared" si="43"/>
        <v>#N/A</v>
      </c>
      <c r="AQ69" s="61" t="e">
        <f t="shared" si="44"/>
        <v>#N/A</v>
      </c>
      <c r="AR69" s="61" t="e">
        <f t="shared" si="45"/>
        <v>#N/A</v>
      </c>
      <c r="AS69" s="61" t="e">
        <f t="shared" ca="1" si="46"/>
        <v>#N/A</v>
      </c>
      <c r="AT69" s="61" t="e">
        <f t="shared" ca="1" si="47"/>
        <v>#N/A</v>
      </c>
      <c r="AU69" s="61" t="e">
        <f t="shared" si="30"/>
        <v>#N/A</v>
      </c>
      <c r="AV69" s="61" t="e">
        <f t="shared" si="48"/>
        <v>#N/A</v>
      </c>
      <c r="AW69" s="61" t="e">
        <f t="shared" si="49"/>
        <v>#N/A</v>
      </c>
      <c r="AX69" s="61" t="e">
        <f t="shared" si="50"/>
        <v>#N/A</v>
      </c>
      <c r="AY69" s="74" t="e">
        <f t="shared" ca="1" si="52"/>
        <v>#N/A</v>
      </c>
      <c r="AZ69" s="74" t="e">
        <f t="shared" ca="1" si="53"/>
        <v>#N/A</v>
      </c>
      <c r="BA69" s="74" t="e">
        <f t="shared" ca="1" si="54"/>
        <v>#N/A</v>
      </c>
      <c r="BB69" s="74" t="e">
        <f t="shared" ca="1" si="55"/>
        <v>#N/A</v>
      </c>
      <c r="BC69" s="74" t="e">
        <f t="shared" ca="1" si="56"/>
        <v>#N/A</v>
      </c>
      <c r="BD69" s="74" t="e">
        <f t="shared" ca="1" si="57"/>
        <v>#N/A</v>
      </c>
      <c r="BE69" s="49" t="e">
        <f t="shared" ca="1" si="58"/>
        <v>#N/A</v>
      </c>
      <c r="BF69" s="49" t="e">
        <f t="shared" ca="1" si="10"/>
        <v>#N/A</v>
      </c>
      <c r="BG69" s="49" t="e">
        <f t="shared" ca="1" si="59"/>
        <v>#N/A</v>
      </c>
      <c r="BH69" s="49" t="e">
        <f t="shared" ca="1" si="11"/>
        <v>#N/A</v>
      </c>
      <c r="BI69" s="49">
        <f t="shared" si="8"/>
        <v>0</v>
      </c>
      <c r="BJ69" s="49" t="e">
        <f t="shared" ca="1" si="12"/>
        <v>#N/A</v>
      </c>
      <c r="BK69" s="71" t="e">
        <f t="shared" ca="1" si="13"/>
        <v>#N/A</v>
      </c>
      <c r="BL69" s="71" t="e">
        <f t="shared" ca="1" si="14"/>
        <v>#N/A</v>
      </c>
      <c r="BM69" s="71" t="e">
        <f t="shared" ca="1" si="15"/>
        <v>#N/A</v>
      </c>
      <c r="BN69" s="71" t="e">
        <f t="shared" ca="1" si="16"/>
        <v>#N/A</v>
      </c>
      <c r="BO69" s="75" t="e">
        <f t="shared" ca="1" si="60"/>
        <v>#N/A</v>
      </c>
      <c r="BP69" s="49" t="e">
        <f t="shared" ca="1" si="17"/>
        <v>#N/A</v>
      </c>
      <c r="BQ69" s="49" t="e">
        <f t="shared" ca="1" si="18"/>
        <v>#N/A</v>
      </c>
      <c r="BR69" s="49" t="e">
        <f t="shared" ca="1" si="19"/>
        <v>#N/A</v>
      </c>
      <c r="BS69" s="49" t="e">
        <f t="shared" ca="1" si="20"/>
        <v>#N/A</v>
      </c>
      <c r="BT69" s="49" t="e">
        <f t="shared" ca="1" si="21"/>
        <v>#N/A</v>
      </c>
      <c r="BU69" s="49" t="e">
        <f t="shared" ca="1" si="22"/>
        <v>#N/A</v>
      </c>
      <c r="BV69" s="49" t="e">
        <f t="shared" ca="1" si="23"/>
        <v>#N/A</v>
      </c>
    </row>
    <row r="70" spans="1:74" ht="17.25" thickBot="1" x14ac:dyDescent="0.35">
      <c r="A70" s="47"/>
      <c r="B70" s="48"/>
      <c r="C70" s="59">
        <f ca="1">C69/(1+공마퍼)-공마</f>
        <v>0</v>
      </c>
      <c r="D70" s="60"/>
      <c r="E70" s="48"/>
      <c r="F70" s="48"/>
      <c r="G70" s="48"/>
      <c r="H70" s="48"/>
      <c r="I70" s="48"/>
      <c r="J70" s="48"/>
      <c r="K70" s="47" t="s">
        <v>161</v>
      </c>
      <c r="L70" s="48" t="s">
        <v>162</v>
      </c>
      <c r="M70" s="48">
        <f>방어율</f>
        <v>3</v>
      </c>
      <c r="N70" s="48" t="s">
        <v>172</v>
      </c>
      <c r="O70" s="48">
        <f>M70*(1-N72)</f>
        <v>3</v>
      </c>
      <c r="P70" s="95" t="s">
        <v>359</v>
      </c>
      <c r="R70" s="48"/>
      <c r="S70" s="47">
        <v>5000</v>
      </c>
      <c r="T70" s="58">
        <v>30</v>
      </c>
      <c r="U70" s="47"/>
      <c r="V70" s="58"/>
      <c r="W70" s="80">
        <v>183</v>
      </c>
      <c r="X70" s="73">
        <v>208</v>
      </c>
      <c r="Y70" s="48" t="e">
        <f t="shared" si="25"/>
        <v>#N/A</v>
      </c>
      <c r="Z70" s="61" t="e">
        <f t="shared" si="26"/>
        <v>#N/A</v>
      </c>
      <c r="AA70" s="61" t="e">
        <f t="shared" si="31"/>
        <v>#N/A</v>
      </c>
      <c r="AB70" s="61" t="e">
        <f t="shared" si="27"/>
        <v>#N/A</v>
      </c>
      <c r="AC70" s="61" t="e">
        <f t="shared" si="28"/>
        <v>#N/A</v>
      </c>
      <c r="AD70" s="61" t="e">
        <f t="shared" si="29"/>
        <v>#N/A</v>
      </c>
      <c r="AE70" s="61" t="e">
        <f t="shared" si="32"/>
        <v>#N/A</v>
      </c>
      <c r="AF70" s="61">
        <f t="shared" si="33"/>
        <v>0</v>
      </c>
      <c r="AG70" s="61" t="e">
        <f t="shared" si="34"/>
        <v>#N/A</v>
      </c>
      <c r="AH70" s="61" t="e">
        <f t="shared" si="35"/>
        <v>#N/A</v>
      </c>
      <c r="AI70" s="61" t="e">
        <f t="shared" si="36"/>
        <v>#N/A</v>
      </c>
      <c r="AJ70" s="61" t="e">
        <f t="shared" si="37"/>
        <v>#N/A</v>
      </c>
      <c r="AK70" s="61" t="e">
        <f t="shared" si="38"/>
        <v>#N/A</v>
      </c>
      <c r="AL70" s="61" t="e">
        <f t="shared" si="39"/>
        <v>#N/A</v>
      </c>
      <c r="AM70" s="61" t="e">
        <f t="shared" si="40"/>
        <v>#N/A</v>
      </c>
      <c r="AN70" s="61" t="e">
        <f t="shared" si="41"/>
        <v>#N/A</v>
      </c>
      <c r="AO70" s="61" t="e">
        <f t="shared" si="42"/>
        <v>#N/A</v>
      </c>
      <c r="AP70" s="61" t="e">
        <f t="shared" si="43"/>
        <v>#N/A</v>
      </c>
      <c r="AQ70" s="61" t="e">
        <f t="shared" si="44"/>
        <v>#N/A</v>
      </c>
      <c r="AR70" s="61" t="e">
        <f t="shared" si="45"/>
        <v>#N/A</v>
      </c>
      <c r="AS70" s="61" t="e">
        <f t="shared" ca="1" si="46"/>
        <v>#N/A</v>
      </c>
      <c r="AT70" s="61" t="e">
        <f t="shared" ca="1" si="47"/>
        <v>#N/A</v>
      </c>
      <c r="AU70" s="61" t="e">
        <f t="shared" si="30"/>
        <v>#N/A</v>
      </c>
      <c r="AV70" s="61" t="e">
        <f t="shared" si="48"/>
        <v>#N/A</v>
      </c>
      <c r="AW70" s="61" t="e">
        <f t="shared" si="49"/>
        <v>#N/A</v>
      </c>
      <c r="AX70" s="61" t="e">
        <f t="shared" si="50"/>
        <v>#N/A</v>
      </c>
      <c r="AY70" s="74" t="e">
        <f t="shared" ca="1" si="52"/>
        <v>#N/A</v>
      </c>
      <c r="AZ70" s="74" t="e">
        <f t="shared" ca="1" si="53"/>
        <v>#N/A</v>
      </c>
      <c r="BA70" s="74" t="e">
        <f t="shared" ca="1" si="54"/>
        <v>#N/A</v>
      </c>
      <c r="BB70" s="74" t="e">
        <f t="shared" ca="1" si="55"/>
        <v>#N/A</v>
      </c>
      <c r="BC70" s="74" t="e">
        <f t="shared" ca="1" si="56"/>
        <v>#N/A</v>
      </c>
      <c r="BD70" s="74" t="e">
        <f t="shared" ca="1" si="57"/>
        <v>#N/A</v>
      </c>
      <c r="BE70" s="49" t="e">
        <f t="shared" ca="1" si="58"/>
        <v>#N/A</v>
      </c>
      <c r="BF70" s="49" t="e">
        <f t="shared" ca="1" si="10"/>
        <v>#N/A</v>
      </c>
      <c r="BG70" s="49" t="e">
        <f t="shared" ca="1" si="59"/>
        <v>#N/A</v>
      </c>
      <c r="BH70" s="49" t="e">
        <f t="shared" ca="1" si="11"/>
        <v>#N/A</v>
      </c>
      <c r="BI70" s="49">
        <f t="shared" si="8"/>
        <v>0</v>
      </c>
      <c r="BJ70" s="49" t="e">
        <f t="shared" ca="1" si="12"/>
        <v>#N/A</v>
      </c>
      <c r="BK70" s="71" t="e">
        <f t="shared" ca="1" si="13"/>
        <v>#N/A</v>
      </c>
      <c r="BL70" s="71" t="e">
        <f t="shared" ca="1" si="14"/>
        <v>#N/A</v>
      </c>
      <c r="BM70" s="71" t="e">
        <f t="shared" ca="1" si="15"/>
        <v>#N/A</v>
      </c>
      <c r="BN70" s="71" t="e">
        <f t="shared" ca="1" si="16"/>
        <v>#N/A</v>
      </c>
      <c r="BO70" s="75" t="e">
        <f t="shared" ca="1" si="60"/>
        <v>#N/A</v>
      </c>
      <c r="BP70" s="49" t="e">
        <f t="shared" ca="1" si="17"/>
        <v>#N/A</v>
      </c>
      <c r="BQ70" s="49" t="e">
        <f t="shared" ca="1" si="18"/>
        <v>#N/A</v>
      </c>
      <c r="BR70" s="49" t="e">
        <f t="shared" ca="1" si="19"/>
        <v>#N/A</v>
      </c>
      <c r="BS70" s="49" t="e">
        <f t="shared" ca="1" si="20"/>
        <v>#N/A</v>
      </c>
      <c r="BT70" s="49" t="e">
        <f t="shared" ca="1" si="21"/>
        <v>#N/A</v>
      </c>
      <c r="BU70" s="49" t="e">
        <f t="shared" ca="1" si="22"/>
        <v>#N/A</v>
      </c>
      <c r="BV70" s="49" t="e">
        <f t="shared" ca="1" si="23"/>
        <v>#N/A</v>
      </c>
    </row>
    <row r="71" spans="1:74" ht="17.25" thickBot="1" x14ac:dyDescent="0.35">
      <c r="A71" s="47"/>
      <c r="B71" s="48"/>
      <c r="C71" s="43" t="s">
        <v>151</v>
      </c>
      <c r="D71" s="57"/>
      <c r="E71" s="48"/>
      <c r="F71" s="48"/>
      <c r="G71" s="48"/>
      <c r="H71" s="48"/>
      <c r="I71" s="48"/>
      <c r="J71" s="48"/>
      <c r="K71" s="47" t="s">
        <v>38</v>
      </c>
      <c r="L71" s="48" t="s">
        <v>74</v>
      </c>
      <c r="M71" s="48" t="s">
        <v>77</v>
      </c>
      <c r="N71" s="48" t="s">
        <v>62</v>
      </c>
      <c r="O71" s="48"/>
      <c r="P71" s="58"/>
      <c r="R71" s="48"/>
      <c r="S71" s="59">
        <v>6000</v>
      </c>
      <c r="T71" s="60">
        <v>40</v>
      </c>
      <c r="U71" s="47" t="s">
        <v>247</v>
      </c>
      <c r="V71" s="58">
        <f ca="1">(4*(ROUNDDOWN(순스탯*(1+스탯퍼),)+포스스탯)+부스탯)* ROUNDDOWN(공마*(1+공마퍼),)*(1+데미지+IF(보스=0,0,보공))*(MIN(1,크확)*(1.35+크뎀)+MIN(1,크확))*(1-$V$61*(1-방무))</f>
        <v>0</v>
      </c>
      <c r="W71" s="80">
        <v>184</v>
      </c>
      <c r="X71" s="73">
        <v>215</v>
      </c>
      <c r="Y71" s="48" t="e">
        <f t="shared" si="25"/>
        <v>#N/A</v>
      </c>
      <c r="Z71" s="61" t="e">
        <f t="shared" si="26"/>
        <v>#N/A</v>
      </c>
      <c r="AA71" s="61" t="e">
        <f t="shared" si="31"/>
        <v>#N/A</v>
      </c>
      <c r="AB71" s="61" t="e">
        <f t="shared" si="27"/>
        <v>#N/A</v>
      </c>
      <c r="AC71" s="61" t="e">
        <f t="shared" si="28"/>
        <v>#N/A</v>
      </c>
      <c r="AD71" s="61" t="e">
        <f t="shared" si="29"/>
        <v>#N/A</v>
      </c>
      <c r="AE71" s="61" t="e">
        <f t="shared" si="32"/>
        <v>#N/A</v>
      </c>
      <c r="AF71" s="61">
        <f t="shared" si="33"/>
        <v>0</v>
      </c>
      <c r="AG71" s="61" t="e">
        <f t="shared" si="34"/>
        <v>#N/A</v>
      </c>
      <c r="AH71" s="61" t="e">
        <f t="shared" si="35"/>
        <v>#N/A</v>
      </c>
      <c r="AI71" s="61" t="e">
        <f t="shared" si="36"/>
        <v>#N/A</v>
      </c>
      <c r="AJ71" s="61" t="e">
        <f t="shared" si="37"/>
        <v>#N/A</v>
      </c>
      <c r="AK71" s="61" t="e">
        <f t="shared" si="38"/>
        <v>#N/A</v>
      </c>
      <c r="AL71" s="61" t="e">
        <f t="shared" si="39"/>
        <v>#N/A</v>
      </c>
      <c r="AM71" s="61" t="e">
        <f t="shared" si="40"/>
        <v>#N/A</v>
      </c>
      <c r="AN71" s="61" t="e">
        <f t="shared" si="41"/>
        <v>#N/A</v>
      </c>
      <c r="AO71" s="61" t="e">
        <f t="shared" si="42"/>
        <v>#N/A</v>
      </c>
      <c r="AP71" s="61" t="e">
        <f t="shared" si="43"/>
        <v>#N/A</v>
      </c>
      <c r="AQ71" s="61" t="e">
        <f t="shared" si="44"/>
        <v>#N/A</v>
      </c>
      <c r="AR71" s="61" t="e">
        <f t="shared" si="45"/>
        <v>#N/A</v>
      </c>
      <c r="AS71" s="61" t="e">
        <f t="shared" ca="1" si="46"/>
        <v>#N/A</v>
      </c>
      <c r="AT71" s="61" t="e">
        <f t="shared" ca="1" si="47"/>
        <v>#N/A</v>
      </c>
      <c r="AU71" s="61" t="e">
        <f t="shared" si="30"/>
        <v>#N/A</v>
      </c>
      <c r="AV71" s="61" t="e">
        <f t="shared" si="48"/>
        <v>#N/A</v>
      </c>
      <c r="AW71" s="61" t="e">
        <f t="shared" si="49"/>
        <v>#N/A</v>
      </c>
      <c r="AX71" s="61" t="e">
        <f t="shared" si="50"/>
        <v>#N/A</v>
      </c>
      <c r="AY71" s="74" t="e">
        <f t="shared" ca="1" si="52"/>
        <v>#N/A</v>
      </c>
      <c r="AZ71" s="74" t="e">
        <f t="shared" ca="1" si="53"/>
        <v>#N/A</v>
      </c>
      <c r="BA71" s="74" t="e">
        <f t="shared" ca="1" si="54"/>
        <v>#N/A</v>
      </c>
      <c r="BB71" s="74" t="e">
        <f t="shared" ca="1" si="55"/>
        <v>#N/A</v>
      </c>
      <c r="BC71" s="74" t="e">
        <f t="shared" ca="1" si="56"/>
        <v>#N/A</v>
      </c>
      <c r="BD71" s="74" t="e">
        <f t="shared" ca="1" si="57"/>
        <v>#N/A</v>
      </c>
      <c r="BE71" s="49" t="e">
        <f t="shared" ca="1" si="58"/>
        <v>#N/A</v>
      </c>
      <c r="BF71" s="49" t="e">
        <f t="shared" ca="1" si="10"/>
        <v>#N/A</v>
      </c>
      <c r="BG71" s="49" t="e">
        <f t="shared" ca="1" si="59"/>
        <v>#N/A</v>
      </c>
      <c r="BH71" s="49" t="e">
        <f t="shared" ca="1" si="11"/>
        <v>#N/A</v>
      </c>
      <c r="BI71" s="49">
        <f t="shared" si="8"/>
        <v>0</v>
      </c>
      <c r="BJ71" s="49" t="e">
        <f t="shared" ca="1" si="12"/>
        <v>#N/A</v>
      </c>
      <c r="BK71" s="71" t="e">
        <f t="shared" ca="1" si="13"/>
        <v>#N/A</v>
      </c>
      <c r="BL71" s="71" t="e">
        <f t="shared" ca="1" si="14"/>
        <v>#N/A</v>
      </c>
      <c r="BM71" s="71" t="e">
        <f t="shared" ca="1" si="15"/>
        <v>#N/A</v>
      </c>
      <c r="BN71" s="71" t="e">
        <f t="shared" ca="1" si="16"/>
        <v>#N/A</v>
      </c>
      <c r="BO71" s="75" t="e">
        <f t="shared" ca="1" si="60"/>
        <v>#N/A</v>
      </c>
      <c r="BP71" s="49" t="e">
        <f t="shared" ca="1" si="17"/>
        <v>#N/A</v>
      </c>
      <c r="BQ71" s="49" t="e">
        <f t="shared" ca="1" si="18"/>
        <v>#N/A</v>
      </c>
      <c r="BR71" s="49" t="e">
        <f t="shared" ca="1" si="19"/>
        <v>#N/A</v>
      </c>
      <c r="BS71" s="49" t="e">
        <f t="shared" ca="1" si="20"/>
        <v>#N/A</v>
      </c>
      <c r="BT71" s="49" t="e">
        <f t="shared" ca="1" si="21"/>
        <v>#N/A</v>
      </c>
      <c r="BU71" s="49" t="e">
        <f t="shared" ca="1" si="22"/>
        <v>#N/A</v>
      </c>
      <c r="BV71" s="49" t="e">
        <f t="shared" ca="1" si="23"/>
        <v>#N/A</v>
      </c>
    </row>
    <row r="72" spans="1:74" ht="17.25" thickBot="1" x14ac:dyDescent="0.35">
      <c r="A72" s="47"/>
      <c r="B72" s="48"/>
      <c r="C72" s="47">
        <f ca="1">((1.36+크뎀)/(1.35+크뎀)*(4*(순스탯*(1+스탯퍼/100)+D57)+부스탯)-부스탯)/4-D57</f>
        <v>0</v>
      </c>
      <c r="D72" s="58"/>
      <c r="E72" s="48"/>
      <c r="F72" s="48"/>
      <c r="G72" s="48"/>
      <c r="H72" s="48"/>
      <c r="I72" s="48"/>
      <c r="J72" s="48"/>
      <c r="K72" s="47">
        <f ca="1">공마퍼</f>
        <v>0.2</v>
      </c>
      <c r="L72" s="48">
        <f>데미지</f>
        <v>0</v>
      </c>
      <c r="M72" s="48">
        <f>보공</f>
        <v>0</v>
      </c>
      <c r="N72" s="48">
        <f>방무</f>
        <v>0</v>
      </c>
      <c r="O72" s="48"/>
      <c r="P72" s="58"/>
      <c r="U72" s="47" t="s">
        <v>248</v>
      </c>
      <c r="V72" s="58" t="e">
        <f ca="1">(4*(ROUNDDOWN(AS248*(1+스탯퍼),)+포스스탯)+부스탯)* ROUNDDOWN(AT248*(1+공마퍼),)*(1+데미지+IF(보스=0,0,AW248))*(AV248*(1.35+AU248)+AV248)*(1-$V$61*(1-AX248))</f>
        <v>#N/A</v>
      </c>
      <c r="W72" s="80">
        <v>185</v>
      </c>
      <c r="X72" s="73">
        <v>222</v>
      </c>
      <c r="Y72" s="48" t="e">
        <f t="shared" si="25"/>
        <v>#N/A</v>
      </c>
      <c r="Z72" s="61" t="e">
        <f t="shared" si="26"/>
        <v>#N/A</v>
      </c>
      <c r="AA72" s="61" t="e">
        <f t="shared" si="31"/>
        <v>#N/A</v>
      </c>
      <c r="AB72" s="61" t="e">
        <f t="shared" si="27"/>
        <v>#N/A</v>
      </c>
      <c r="AC72" s="61" t="e">
        <f t="shared" si="28"/>
        <v>#N/A</v>
      </c>
      <c r="AD72" s="61" t="e">
        <f t="shared" si="29"/>
        <v>#N/A</v>
      </c>
      <c r="AE72" s="61" t="e">
        <f t="shared" si="32"/>
        <v>#N/A</v>
      </c>
      <c r="AF72" s="61">
        <f t="shared" si="33"/>
        <v>0</v>
      </c>
      <c r="AG72" s="61" t="e">
        <f t="shared" si="34"/>
        <v>#N/A</v>
      </c>
      <c r="AH72" s="61" t="e">
        <f t="shared" si="35"/>
        <v>#N/A</v>
      </c>
      <c r="AI72" s="61" t="e">
        <f t="shared" si="36"/>
        <v>#N/A</v>
      </c>
      <c r="AJ72" s="61" t="e">
        <f t="shared" si="37"/>
        <v>#N/A</v>
      </c>
      <c r="AK72" s="61" t="e">
        <f t="shared" si="38"/>
        <v>#N/A</v>
      </c>
      <c r="AL72" s="61" t="e">
        <f t="shared" si="39"/>
        <v>#N/A</v>
      </c>
      <c r="AM72" s="61" t="e">
        <f t="shared" si="40"/>
        <v>#N/A</v>
      </c>
      <c r="AN72" s="61" t="e">
        <f t="shared" si="41"/>
        <v>#N/A</v>
      </c>
      <c r="AO72" s="61" t="e">
        <f t="shared" si="42"/>
        <v>#N/A</v>
      </c>
      <c r="AP72" s="61" t="e">
        <f t="shared" si="43"/>
        <v>#N/A</v>
      </c>
      <c r="AQ72" s="61" t="e">
        <f t="shared" si="44"/>
        <v>#N/A</v>
      </c>
      <c r="AR72" s="61" t="e">
        <f t="shared" si="45"/>
        <v>#N/A</v>
      </c>
      <c r="AS72" s="61" t="e">
        <f t="shared" ca="1" si="46"/>
        <v>#N/A</v>
      </c>
      <c r="AT72" s="61" t="e">
        <f t="shared" ca="1" si="47"/>
        <v>#N/A</v>
      </c>
      <c r="AU72" s="61" t="e">
        <f t="shared" si="30"/>
        <v>#N/A</v>
      </c>
      <c r="AV72" s="61" t="e">
        <f t="shared" si="48"/>
        <v>#N/A</v>
      </c>
      <c r="AW72" s="61" t="e">
        <f t="shared" si="49"/>
        <v>#N/A</v>
      </c>
      <c r="AX72" s="61" t="e">
        <f t="shared" si="50"/>
        <v>#N/A</v>
      </c>
      <c r="AY72" s="74" t="e">
        <f t="shared" ca="1" si="52"/>
        <v>#N/A</v>
      </c>
      <c r="AZ72" s="74" t="e">
        <f t="shared" ca="1" si="53"/>
        <v>#N/A</v>
      </c>
      <c r="BA72" s="74" t="e">
        <f t="shared" ca="1" si="54"/>
        <v>#N/A</v>
      </c>
      <c r="BB72" s="74" t="e">
        <f t="shared" ca="1" si="55"/>
        <v>#N/A</v>
      </c>
      <c r="BC72" s="74" t="e">
        <f t="shared" ca="1" si="56"/>
        <v>#N/A</v>
      </c>
      <c r="BD72" s="74" t="e">
        <f t="shared" ca="1" si="57"/>
        <v>#N/A</v>
      </c>
      <c r="BE72" s="49" t="e">
        <f t="shared" ca="1" si="58"/>
        <v>#N/A</v>
      </c>
      <c r="BF72" s="49" t="e">
        <f t="shared" ca="1" si="10"/>
        <v>#N/A</v>
      </c>
      <c r="BG72" s="49" t="e">
        <f t="shared" ca="1" si="59"/>
        <v>#N/A</v>
      </c>
      <c r="BH72" s="49" t="e">
        <f t="shared" ca="1" si="11"/>
        <v>#N/A</v>
      </c>
      <c r="BI72" s="49">
        <f t="shared" si="8"/>
        <v>0</v>
      </c>
      <c r="BJ72" s="49" t="e">
        <f t="shared" ca="1" si="12"/>
        <v>#N/A</v>
      </c>
      <c r="BK72" s="71" t="e">
        <f t="shared" ca="1" si="13"/>
        <v>#N/A</v>
      </c>
      <c r="BL72" s="71" t="e">
        <f t="shared" ca="1" si="14"/>
        <v>#N/A</v>
      </c>
      <c r="BM72" s="71" t="e">
        <f t="shared" ca="1" si="15"/>
        <v>#N/A</v>
      </c>
      <c r="BN72" s="71" t="e">
        <f t="shared" ca="1" si="16"/>
        <v>#N/A</v>
      </c>
      <c r="BO72" s="75" t="e">
        <f t="shared" ca="1" si="60"/>
        <v>#N/A</v>
      </c>
      <c r="BP72" s="49" t="e">
        <f t="shared" ca="1" si="17"/>
        <v>#N/A</v>
      </c>
      <c r="BQ72" s="49" t="e">
        <f t="shared" ca="1" si="18"/>
        <v>#N/A</v>
      </c>
      <c r="BR72" s="49" t="e">
        <f t="shared" ca="1" si="19"/>
        <v>#N/A</v>
      </c>
      <c r="BS72" s="49" t="e">
        <f t="shared" ca="1" si="20"/>
        <v>#N/A</v>
      </c>
      <c r="BT72" s="49" t="e">
        <f t="shared" ca="1" si="21"/>
        <v>#N/A</v>
      </c>
      <c r="BU72" s="49" t="e">
        <f t="shared" ca="1" si="22"/>
        <v>#N/A</v>
      </c>
      <c r="BV72" s="49" t="e">
        <f t="shared" ca="1" si="23"/>
        <v>#N/A</v>
      </c>
    </row>
    <row r="73" spans="1:74" ht="17.25" thickBot="1" x14ac:dyDescent="0.35">
      <c r="A73" s="47"/>
      <c r="B73" s="48"/>
      <c r="C73" s="59" t="e">
        <f ca="1">(C72/순스탯-1-(스탯퍼/100))*100</f>
        <v>#DIV/0!</v>
      </c>
      <c r="D73" s="60"/>
      <c r="E73" s="48"/>
      <c r="F73" s="48"/>
      <c r="G73" s="48"/>
      <c r="H73" s="48"/>
      <c r="I73" s="48"/>
      <c r="J73" s="48"/>
      <c r="K73" s="101" t="str">
        <f ca="1">스펙계산기!O3</f>
        <v xml:space="preserve"> 공격력</v>
      </c>
      <c r="L73" s="44"/>
      <c r="M73" s="102" t="str">
        <f>스펙계산기!Q3</f>
        <v xml:space="preserve"> 보스 데미지</v>
      </c>
      <c r="N73" s="44"/>
      <c r="O73" s="102" t="str">
        <f>스펙계산기!S3</f>
        <v xml:space="preserve"> 방어율 무시</v>
      </c>
      <c r="P73" s="57"/>
      <c r="U73" s="59" t="s">
        <v>249</v>
      </c>
      <c r="V73" s="60" t="e">
        <f ca="1">V72/V71-1</f>
        <v>#N/A</v>
      </c>
      <c r="W73" s="80">
        <v>186</v>
      </c>
      <c r="X73" s="73">
        <v>229</v>
      </c>
      <c r="Y73" s="48" t="e">
        <f t="shared" si="25"/>
        <v>#N/A</v>
      </c>
      <c r="Z73" s="61" t="e">
        <f t="shared" si="26"/>
        <v>#N/A</v>
      </c>
      <c r="AA73" s="61" t="e">
        <f t="shared" si="31"/>
        <v>#N/A</v>
      </c>
      <c r="AB73" s="61" t="e">
        <f t="shared" si="27"/>
        <v>#N/A</v>
      </c>
      <c r="AC73" s="61" t="e">
        <f t="shared" si="28"/>
        <v>#N/A</v>
      </c>
      <c r="AD73" s="61" t="e">
        <f t="shared" si="29"/>
        <v>#N/A</v>
      </c>
      <c r="AE73" s="61" t="e">
        <f t="shared" si="32"/>
        <v>#N/A</v>
      </c>
      <c r="AF73" s="61">
        <f t="shared" si="33"/>
        <v>0</v>
      </c>
      <c r="AG73" s="61" t="e">
        <f t="shared" si="34"/>
        <v>#N/A</v>
      </c>
      <c r="AH73" s="61" t="e">
        <f t="shared" si="35"/>
        <v>#N/A</v>
      </c>
      <c r="AI73" s="61" t="e">
        <f t="shared" si="36"/>
        <v>#N/A</v>
      </c>
      <c r="AJ73" s="61" t="e">
        <f t="shared" si="37"/>
        <v>#N/A</v>
      </c>
      <c r="AK73" s="61" t="e">
        <f t="shared" si="38"/>
        <v>#N/A</v>
      </c>
      <c r="AL73" s="61" t="e">
        <f t="shared" si="39"/>
        <v>#N/A</v>
      </c>
      <c r="AM73" s="61" t="e">
        <f t="shared" si="40"/>
        <v>#N/A</v>
      </c>
      <c r="AN73" s="61" t="e">
        <f t="shared" si="41"/>
        <v>#N/A</v>
      </c>
      <c r="AO73" s="61" t="e">
        <f t="shared" si="42"/>
        <v>#N/A</v>
      </c>
      <c r="AP73" s="61" t="e">
        <f t="shared" si="43"/>
        <v>#N/A</v>
      </c>
      <c r="AQ73" s="61" t="e">
        <f t="shared" si="44"/>
        <v>#N/A</v>
      </c>
      <c r="AR73" s="61" t="e">
        <f t="shared" si="45"/>
        <v>#N/A</v>
      </c>
      <c r="AS73" s="61" t="e">
        <f t="shared" ca="1" si="46"/>
        <v>#N/A</v>
      </c>
      <c r="AT73" s="61" t="e">
        <f t="shared" ca="1" si="47"/>
        <v>#N/A</v>
      </c>
      <c r="AU73" s="61" t="e">
        <f t="shared" si="30"/>
        <v>#N/A</v>
      </c>
      <c r="AV73" s="61" t="e">
        <f t="shared" si="48"/>
        <v>#N/A</v>
      </c>
      <c r="AW73" s="61" t="e">
        <f t="shared" si="49"/>
        <v>#N/A</v>
      </c>
      <c r="AX73" s="61" t="e">
        <f t="shared" si="50"/>
        <v>#N/A</v>
      </c>
      <c r="AY73" s="74" t="e">
        <f t="shared" ca="1" si="52"/>
        <v>#N/A</v>
      </c>
      <c r="AZ73" s="74" t="e">
        <f t="shared" ca="1" si="53"/>
        <v>#N/A</v>
      </c>
      <c r="BA73" s="74" t="e">
        <f t="shared" ca="1" si="54"/>
        <v>#N/A</v>
      </c>
      <c r="BB73" s="74" t="e">
        <f t="shared" ca="1" si="55"/>
        <v>#N/A</v>
      </c>
      <c r="BC73" s="74" t="e">
        <f t="shared" ca="1" si="56"/>
        <v>#N/A</v>
      </c>
      <c r="BD73" s="74" t="e">
        <f t="shared" ca="1" si="57"/>
        <v>#N/A</v>
      </c>
      <c r="BE73" s="49" t="e">
        <f t="shared" ca="1" si="58"/>
        <v>#N/A</v>
      </c>
      <c r="BF73" s="49" t="e">
        <f t="shared" ca="1" si="10"/>
        <v>#N/A</v>
      </c>
      <c r="BG73" s="49" t="e">
        <f t="shared" ca="1" si="59"/>
        <v>#N/A</v>
      </c>
      <c r="BH73" s="49" t="e">
        <f t="shared" ca="1" si="11"/>
        <v>#N/A</v>
      </c>
      <c r="BI73" s="49">
        <f t="shared" si="8"/>
        <v>0</v>
      </c>
      <c r="BJ73" s="49" t="e">
        <f t="shared" ca="1" si="12"/>
        <v>#N/A</v>
      </c>
      <c r="BK73" s="71" t="e">
        <f t="shared" ca="1" si="13"/>
        <v>#N/A</v>
      </c>
      <c r="BL73" s="71" t="e">
        <f t="shared" ca="1" si="14"/>
        <v>#N/A</v>
      </c>
      <c r="BM73" s="71" t="e">
        <f t="shared" ca="1" si="15"/>
        <v>#N/A</v>
      </c>
      <c r="BN73" s="71" t="e">
        <f t="shared" ca="1" si="16"/>
        <v>#N/A</v>
      </c>
      <c r="BO73" s="75" t="e">
        <f t="shared" ca="1" si="60"/>
        <v>#N/A</v>
      </c>
      <c r="BP73" s="49" t="e">
        <f t="shared" ca="1" si="17"/>
        <v>#N/A</v>
      </c>
      <c r="BQ73" s="49" t="e">
        <f t="shared" ca="1" si="18"/>
        <v>#N/A</v>
      </c>
      <c r="BR73" s="49" t="e">
        <f t="shared" ca="1" si="19"/>
        <v>#N/A</v>
      </c>
      <c r="BS73" s="49" t="e">
        <f t="shared" ca="1" si="20"/>
        <v>#N/A</v>
      </c>
      <c r="BT73" s="49" t="e">
        <f t="shared" ca="1" si="21"/>
        <v>#N/A</v>
      </c>
      <c r="BU73" s="49" t="e">
        <f t="shared" ca="1" si="22"/>
        <v>#N/A</v>
      </c>
      <c r="BV73" s="49" t="e">
        <f t="shared" ca="1" si="23"/>
        <v>#N/A</v>
      </c>
    </row>
    <row r="74" spans="1:74" x14ac:dyDescent="0.3">
      <c r="A74" s="47"/>
      <c r="B74" s="48"/>
      <c r="C74" s="43" t="s">
        <v>152</v>
      </c>
      <c r="D74" s="57"/>
      <c r="E74" s="48"/>
      <c r="F74" s="48"/>
      <c r="G74" s="48"/>
      <c r="H74" s="48"/>
      <c r="I74" s="48"/>
      <c r="J74" s="48"/>
      <c r="K74" s="103" t="str">
        <f>스펙계산기!O4</f>
        <v>3%</v>
      </c>
      <c r="L74" s="48">
        <f ca="1">(1+공마퍼+K74)/(1+공마퍼)*100-100</f>
        <v>2.5000000000000142</v>
      </c>
      <c r="M74" s="52">
        <f>스펙계산기!Q4</f>
        <v>0.05</v>
      </c>
      <c r="N74" s="48">
        <f t="shared" ref="N74:N79" si="62">IF(보스=0,0,(1+데미지+보공+M74)/(1+데미지+보공)*100-100)</f>
        <v>5</v>
      </c>
      <c r="O74" s="52">
        <f>스펙계산기!S4</f>
        <v>0.1</v>
      </c>
      <c r="P74" s="58" t="str">
        <f>IF(O70&gt;=1,P70,ROUND((1-M70*(1-방무)*(1-O74))/(1-M70*(1-방무))*100-100,2))</f>
        <v xml:space="preserve">+∞% </v>
      </c>
      <c r="Q74" s="44" t="s">
        <v>210</v>
      </c>
      <c r="R74" s="44">
        <f>V55</f>
        <v>9</v>
      </c>
      <c r="S74" s="44"/>
      <c r="T74" s="57"/>
      <c r="U74" s="43" t="s">
        <v>215</v>
      </c>
      <c r="V74" s="91">
        <v>4</v>
      </c>
      <c r="W74" s="80">
        <v>187</v>
      </c>
      <c r="X74" s="73">
        <v>236</v>
      </c>
      <c r="Y74" s="48" t="e">
        <f t="shared" si="25"/>
        <v>#N/A</v>
      </c>
      <c r="Z74" s="61" t="e">
        <f t="shared" si="26"/>
        <v>#N/A</v>
      </c>
      <c r="AA74" s="61" t="e">
        <f t="shared" si="31"/>
        <v>#N/A</v>
      </c>
      <c r="AB74" s="61" t="e">
        <f t="shared" si="27"/>
        <v>#N/A</v>
      </c>
      <c r="AC74" s="61" t="e">
        <f t="shared" si="28"/>
        <v>#N/A</v>
      </c>
      <c r="AD74" s="61" t="e">
        <f t="shared" si="29"/>
        <v>#N/A</v>
      </c>
      <c r="AE74" s="61" t="e">
        <f t="shared" si="32"/>
        <v>#N/A</v>
      </c>
      <c r="AF74" s="61">
        <f t="shared" si="33"/>
        <v>0</v>
      </c>
      <c r="AG74" s="61" t="e">
        <f t="shared" si="34"/>
        <v>#N/A</v>
      </c>
      <c r="AH74" s="61" t="e">
        <f t="shared" si="35"/>
        <v>#N/A</v>
      </c>
      <c r="AI74" s="61" t="e">
        <f t="shared" si="36"/>
        <v>#N/A</v>
      </c>
      <c r="AJ74" s="61" t="e">
        <f t="shared" si="37"/>
        <v>#N/A</v>
      </c>
      <c r="AK74" s="61" t="e">
        <f t="shared" si="38"/>
        <v>#N/A</v>
      </c>
      <c r="AL74" s="61" t="e">
        <f t="shared" si="39"/>
        <v>#N/A</v>
      </c>
      <c r="AM74" s="61" t="e">
        <f t="shared" si="40"/>
        <v>#N/A</v>
      </c>
      <c r="AN74" s="61" t="e">
        <f t="shared" si="41"/>
        <v>#N/A</v>
      </c>
      <c r="AO74" s="61" t="e">
        <f t="shared" si="42"/>
        <v>#N/A</v>
      </c>
      <c r="AP74" s="61" t="e">
        <f t="shared" si="43"/>
        <v>#N/A</v>
      </c>
      <c r="AQ74" s="61" t="e">
        <f t="shared" si="44"/>
        <v>#N/A</v>
      </c>
      <c r="AR74" s="61" t="e">
        <f t="shared" si="45"/>
        <v>#N/A</v>
      </c>
      <c r="AS74" s="61" t="e">
        <f t="shared" ca="1" si="46"/>
        <v>#N/A</v>
      </c>
      <c r="AT74" s="61" t="e">
        <f t="shared" ca="1" si="47"/>
        <v>#N/A</v>
      </c>
      <c r="AU74" s="61" t="e">
        <f t="shared" si="30"/>
        <v>#N/A</v>
      </c>
      <c r="AV74" s="61" t="e">
        <f t="shared" si="48"/>
        <v>#N/A</v>
      </c>
      <c r="AW74" s="61" t="e">
        <f t="shared" si="49"/>
        <v>#N/A</v>
      </c>
      <c r="AX74" s="61" t="e">
        <f t="shared" si="50"/>
        <v>#N/A</v>
      </c>
      <c r="AY74" s="74" t="e">
        <f t="shared" ca="1" si="52"/>
        <v>#N/A</v>
      </c>
      <c r="AZ74" s="74" t="e">
        <f t="shared" ca="1" si="53"/>
        <v>#N/A</v>
      </c>
      <c r="BA74" s="74" t="e">
        <f t="shared" ca="1" si="54"/>
        <v>#N/A</v>
      </c>
      <c r="BB74" s="74" t="e">
        <f t="shared" ca="1" si="55"/>
        <v>#N/A</v>
      </c>
      <c r="BC74" s="74" t="e">
        <f t="shared" ca="1" si="56"/>
        <v>#N/A</v>
      </c>
      <c r="BD74" s="74" t="e">
        <f t="shared" ca="1" si="57"/>
        <v>#N/A</v>
      </c>
      <c r="BE74" s="49" t="e">
        <f t="shared" ca="1" si="58"/>
        <v>#N/A</v>
      </c>
      <c r="BF74" s="49" t="e">
        <f t="shared" ca="1" si="10"/>
        <v>#N/A</v>
      </c>
      <c r="BG74" s="49" t="e">
        <f t="shared" ca="1" si="59"/>
        <v>#N/A</v>
      </c>
      <c r="BH74" s="49" t="e">
        <f t="shared" ca="1" si="11"/>
        <v>#N/A</v>
      </c>
      <c r="BI74" s="49">
        <f t="shared" si="8"/>
        <v>0</v>
      </c>
      <c r="BJ74" s="49" t="e">
        <f t="shared" ca="1" si="12"/>
        <v>#N/A</v>
      </c>
      <c r="BK74" s="71" t="e">
        <f t="shared" ca="1" si="13"/>
        <v>#N/A</v>
      </c>
      <c r="BL74" s="71" t="e">
        <f t="shared" ca="1" si="14"/>
        <v>#N/A</v>
      </c>
      <c r="BM74" s="71" t="e">
        <f t="shared" ca="1" si="15"/>
        <v>#N/A</v>
      </c>
      <c r="BN74" s="71" t="e">
        <f t="shared" ca="1" si="16"/>
        <v>#N/A</v>
      </c>
      <c r="BO74" s="75" t="e">
        <f t="shared" ca="1" si="60"/>
        <v>#N/A</v>
      </c>
      <c r="BP74" s="49" t="e">
        <f t="shared" ca="1" si="17"/>
        <v>#N/A</v>
      </c>
      <c r="BQ74" s="49" t="e">
        <f t="shared" ca="1" si="18"/>
        <v>#N/A</v>
      </c>
      <c r="BR74" s="49" t="e">
        <f t="shared" ca="1" si="19"/>
        <v>#N/A</v>
      </c>
      <c r="BS74" s="49" t="e">
        <f t="shared" ca="1" si="20"/>
        <v>#N/A</v>
      </c>
      <c r="BT74" s="49" t="e">
        <f t="shared" ca="1" si="21"/>
        <v>#N/A</v>
      </c>
      <c r="BU74" s="49" t="e">
        <f t="shared" ca="1" si="22"/>
        <v>#N/A</v>
      </c>
      <c r="BV74" s="49" t="e">
        <f t="shared" ca="1" si="23"/>
        <v>#N/A</v>
      </c>
    </row>
    <row r="75" spans="1:74" x14ac:dyDescent="0.3">
      <c r="A75" s="47"/>
      <c r="B75" s="48"/>
      <c r="C75" s="47">
        <f ca="1">(1.01+데미지+보공)/(1+데미지+보공)*(공마*(1+공마퍼))</f>
        <v>0</v>
      </c>
      <c r="D75" s="58"/>
      <c r="E75" s="48"/>
      <c r="F75" s="48"/>
      <c r="G75" s="48"/>
      <c r="H75" s="48"/>
      <c r="I75" s="48"/>
      <c r="J75" s="48"/>
      <c r="K75" s="103" t="str">
        <f>스펙계산기!O5</f>
        <v>6%</v>
      </c>
      <c r="L75" s="48">
        <f ca="1">(1+공마퍼+K75)/(1+공마퍼)*100-100</f>
        <v>5</v>
      </c>
      <c r="M75" s="52">
        <f>스펙계산기!Q5</f>
        <v>0.1</v>
      </c>
      <c r="N75" s="48">
        <f t="shared" si="62"/>
        <v>10.000000000000014</v>
      </c>
      <c r="O75" s="52">
        <f>스펙계산기!S5</f>
        <v>0.15</v>
      </c>
      <c r="P75" s="58" t="str">
        <f>IF(O70&gt;=1,P70,ROUND((1-M70*(1-방무)*(1-O75))/(1-M70*(1-방무))*100-100,2))</f>
        <v xml:space="preserve">+∞% </v>
      </c>
      <c r="Q75" s="48" t="s">
        <v>239</v>
      </c>
      <c r="R75" s="51">
        <f>스펙계산기!W21</f>
        <v>0</v>
      </c>
      <c r="S75" s="48">
        <f>R75</f>
        <v>0</v>
      </c>
      <c r="T75" s="58">
        <f>MAX(0,IF(S75&gt;$R$74,$R$74-S74,R75))</f>
        <v>0</v>
      </c>
      <c r="U75" s="47" t="s">
        <v>219</v>
      </c>
      <c r="V75" s="79">
        <v>3</v>
      </c>
      <c r="W75" s="80">
        <v>188</v>
      </c>
      <c r="X75" s="73">
        <v>243</v>
      </c>
      <c r="Y75" s="48" t="e">
        <f t="shared" si="25"/>
        <v>#N/A</v>
      </c>
      <c r="Z75" s="61" t="e">
        <f t="shared" si="26"/>
        <v>#N/A</v>
      </c>
      <c r="AA75" s="61" t="e">
        <f t="shared" si="31"/>
        <v>#N/A</v>
      </c>
      <c r="AB75" s="61" t="e">
        <f t="shared" si="27"/>
        <v>#N/A</v>
      </c>
      <c r="AC75" s="61" t="e">
        <f t="shared" si="28"/>
        <v>#N/A</v>
      </c>
      <c r="AD75" s="61" t="e">
        <f t="shared" si="29"/>
        <v>#N/A</v>
      </c>
      <c r="AE75" s="61" t="e">
        <f t="shared" si="32"/>
        <v>#N/A</v>
      </c>
      <c r="AF75" s="61">
        <f t="shared" si="33"/>
        <v>0</v>
      </c>
      <c r="AG75" s="61" t="e">
        <f t="shared" si="34"/>
        <v>#N/A</v>
      </c>
      <c r="AH75" s="61" t="e">
        <f t="shared" si="35"/>
        <v>#N/A</v>
      </c>
      <c r="AI75" s="61" t="e">
        <f t="shared" si="36"/>
        <v>#N/A</v>
      </c>
      <c r="AJ75" s="61" t="e">
        <f t="shared" si="37"/>
        <v>#N/A</v>
      </c>
      <c r="AK75" s="61" t="e">
        <f t="shared" si="38"/>
        <v>#N/A</v>
      </c>
      <c r="AL75" s="61" t="e">
        <f t="shared" si="39"/>
        <v>#N/A</v>
      </c>
      <c r="AM75" s="61" t="e">
        <f t="shared" si="40"/>
        <v>#N/A</v>
      </c>
      <c r="AN75" s="61" t="e">
        <f t="shared" si="41"/>
        <v>#N/A</v>
      </c>
      <c r="AO75" s="61" t="e">
        <f t="shared" si="42"/>
        <v>#N/A</v>
      </c>
      <c r="AP75" s="61" t="e">
        <f t="shared" si="43"/>
        <v>#N/A</v>
      </c>
      <c r="AQ75" s="61" t="e">
        <f t="shared" si="44"/>
        <v>#N/A</v>
      </c>
      <c r="AR75" s="61" t="e">
        <f t="shared" si="45"/>
        <v>#N/A</v>
      </c>
      <c r="AS75" s="61" t="e">
        <f t="shared" ca="1" si="46"/>
        <v>#N/A</v>
      </c>
      <c r="AT75" s="61" t="e">
        <f t="shared" ca="1" si="47"/>
        <v>#N/A</v>
      </c>
      <c r="AU75" s="61" t="e">
        <f t="shared" si="30"/>
        <v>#N/A</v>
      </c>
      <c r="AV75" s="61" t="e">
        <f t="shared" si="48"/>
        <v>#N/A</v>
      </c>
      <c r="AW75" s="61" t="e">
        <f t="shared" si="49"/>
        <v>#N/A</v>
      </c>
      <c r="AX75" s="61" t="e">
        <f t="shared" si="50"/>
        <v>#N/A</v>
      </c>
      <c r="AY75" s="74" t="e">
        <f t="shared" ca="1" si="52"/>
        <v>#N/A</v>
      </c>
      <c r="AZ75" s="74" t="e">
        <f t="shared" ca="1" si="53"/>
        <v>#N/A</v>
      </c>
      <c r="BA75" s="74" t="e">
        <f t="shared" ca="1" si="54"/>
        <v>#N/A</v>
      </c>
      <c r="BB75" s="74" t="e">
        <f t="shared" ca="1" si="55"/>
        <v>#N/A</v>
      </c>
      <c r="BC75" s="74" t="e">
        <f t="shared" ca="1" si="56"/>
        <v>#N/A</v>
      </c>
      <c r="BD75" s="74" t="e">
        <f t="shared" ca="1" si="57"/>
        <v>#N/A</v>
      </c>
      <c r="BE75" s="49" t="e">
        <f t="shared" ca="1" si="58"/>
        <v>#N/A</v>
      </c>
      <c r="BF75" s="49" t="e">
        <f t="shared" ca="1" si="10"/>
        <v>#N/A</v>
      </c>
      <c r="BG75" s="49" t="e">
        <f t="shared" ca="1" si="59"/>
        <v>#N/A</v>
      </c>
      <c r="BH75" s="49" t="e">
        <f t="shared" ca="1" si="11"/>
        <v>#N/A</v>
      </c>
      <c r="BI75" s="49">
        <f t="shared" si="8"/>
        <v>0</v>
      </c>
      <c r="BJ75" s="49" t="e">
        <f t="shared" ca="1" si="12"/>
        <v>#N/A</v>
      </c>
      <c r="BK75" s="71" t="e">
        <f t="shared" ca="1" si="13"/>
        <v>#N/A</v>
      </c>
      <c r="BL75" s="71" t="e">
        <f t="shared" ca="1" si="14"/>
        <v>#N/A</v>
      </c>
      <c r="BM75" s="71" t="e">
        <f t="shared" ca="1" si="15"/>
        <v>#N/A</v>
      </c>
      <c r="BN75" s="71" t="e">
        <f t="shared" ca="1" si="16"/>
        <v>#N/A</v>
      </c>
      <c r="BO75" s="75" t="e">
        <f t="shared" ca="1" si="60"/>
        <v>#N/A</v>
      </c>
      <c r="BP75" s="49" t="e">
        <f t="shared" ca="1" si="17"/>
        <v>#N/A</v>
      </c>
      <c r="BQ75" s="49" t="e">
        <f t="shared" ca="1" si="18"/>
        <v>#N/A</v>
      </c>
      <c r="BR75" s="49" t="e">
        <f t="shared" ca="1" si="19"/>
        <v>#N/A</v>
      </c>
      <c r="BS75" s="49" t="e">
        <f t="shared" ca="1" si="20"/>
        <v>#N/A</v>
      </c>
      <c r="BT75" s="49" t="e">
        <f t="shared" ca="1" si="21"/>
        <v>#N/A</v>
      </c>
      <c r="BU75" s="49" t="e">
        <f t="shared" ca="1" si="22"/>
        <v>#N/A</v>
      </c>
      <c r="BV75" s="49" t="e">
        <f t="shared" ca="1" si="23"/>
        <v>#N/A</v>
      </c>
    </row>
    <row r="76" spans="1:74" ht="17.25" thickBot="1" x14ac:dyDescent="0.35">
      <c r="A76" s="47"/>
      <c r="B76" s="48"/>
      <c r="C76" s="59">
        <f ca="1">C75/(1+공마퍼)-공마</f>
        <v>0</v>
      </c>
      <c r="D76" s="60"/>
      <c r="E76" s="48"/>
      <c r="F76" s="48"/>
      <c r="G76" s="48"/>
      <c r="H76" s="48"/>
      <c r="I76" s="48"/>
      <c r="J76" s="48"/>
      <c r="K76" s="103" t="str">
        <f>스펙계산기!O6</f>
        <v>9%</v>
      </c>
      <c r="L76" s="48">
        <f ca="1">(1+공마퍼+K76)/(1+공마퍼)*100-100</f>
        <v>7.5000000000000142</v>
      </c>
      <c r="M76" s="52">
        <f>스펙계산기!Q6</f>
        <v>0.2</v>
      </c>
      <c r="N76" s="48">
        <f t="shared" si="62"/>
        <v>20</v>
      </c>
      <c r="O76" s="52">
        <f>스펙계산기!S6</f>
        <v>0.2</v>
      </c>
      <c r="P76" s="58" t="str">
        <f>IF(O70&gt;=1,P70,ROUND((1-M70*(1-방무)*(1-O76))/(1-M70*(1-방무))*100-100,2))</f>
        <v xml:space="preserve">+∞% </v>
      </c>
      <c r="Q76" s="48" t="s">
        <v>224</v>
      </c>
      <c r="R76" s="51">
        <f>스펙계산기!Y21</f>
        <v>0</v>
      </c>
      <c r="S76" s="48">
        <f>R76+S75</f>
        <v>0</v>
      </c>
      <c r="T76" s="58">
        <f>MAX(0,IF(S76&gt;$R$74,$R$74-S75,R76))</f>
        <v>0</v>
      </c>
      <c r="U76" s="47" t="s">
        <v>232</v>
      </c>
      <c r="V76" s="79">
        <v>2</v>
      </c>
      <c r="W76" s="80">
        <v>189</v>
      </c>
      <c r="X76" s="73">
        <v>250</v>
      </c>
      <c r="Y76" s="48" t="e">
        <f t="shared" si="25"/>
        <v>#N/A</v>
      </c>
      <c r="Z76" s="61" t="e">
        <f t="shared" si="26"/>
        <v>#N/A</v>
      </c>
      <c r="AA76" s="61" t="e">
        <f t="shared" si="31"/>
        <v>#N/A</v>
      </c>
      <c r="AB76" s="61" t="e">
        <f t="shared" si="27"/>
        <v>#N/A</v>
      </c>
      <c r="AC76" s="61" t="e">
        <f t="shared" si="28"/>
        <v>#N/A</v>
      </c>
      <c r="AD76" s="61" t="e">
        <f t="shared" si="29"/>
        <v>#N/A</v>
      </c>
      <c r="AE76" s="61" t="e">
        <f t="shared" si="32"/>
        <v>#N/A</v>
      </c>
      <c r="AF76" s="61">
        <f t="shared" si="33"/>
        <v>0</v>
      </c>
      <c r="AG76" s="61" t="e">
        <f t="shared" si="34"/>
        <v>#N/A</v>
      </c>
      <c r="AH76" s="61" t="e">
        <f t="shared" si="35"/>
        <v>#N/A</v>
      </c>
      <c r="AI76" s="61" t="e">
        <f t="shared" si="36"/>
        <v>#N/A</v>
      </c>
      <c r="AJ76" s="61" t="e">
        <f t="shared" si="37"/>
        <v>#N/A</v>
      </c>
      <c r="AK76" s="61" t="e">
        <f t="shared" si="38"/>
        <v>#N/A</v>
      </c>
      <c r="AL76" s="61" t="e">
        <f t="shared" si="39"/>
        <v>#N/A</v>
      </c>
      <c r="AM76" s="61" t="e">
        <f t="shared" si="40"/>
        <v>#N/A</v>
      </c>
      <c r="AN76" s="61" t="e">
        <f t="shared" si="41"/>
        <v>#N/A</v>
      </c>
      <c r="AO76" s="61" t="e">
        <f t="shared" si="42"/>
        <v>#N/A</v>
      </c>
      <c r="AP76" s="61" t="e">
        <f t="shared" si="43"/>
        <v>#N/A</v>
      </c>
      <c r="AQ76" s="61" t="e">
        <f t="shared" si="44"/>
        <v>#N/A</v>
      </c>
      <c r="AR76" s="61" t="e">
        <f t="shared" si="45"/>
        <v>#N/A</v>
      </c>
      <c r="AS76" s="61" t="e">
        <f t="shared" ca="1" si="46"/>
        <v>#N/A</v>
      </c>
      <c r="AT76" s="61" t="e">
        <f t="shared" ca="1" si="47"/>
        <v>#N/A</v>
      </c>
      <c r="AU76" s="61" t="e">
        <f t="shared" si="30"/>
        <v>#N/A</v>
      </c>
      <c r="AV76" s="61" t="e">
        <f t="shared" si="48"/>
        <v>#N/A</v>
      </c>
      <c r="AW76" s="61" t="e">
        <f t="shared" si="49"/>
        <v>#N/A</v>
      </c>
      <c r="AX76" s="61" t="e">
        <f t="shared" si="50"/>
        <v>#N/A</v>
      </c>
      <c r="AY76" s="74" t="e">
        <f t="shared" ca="1" si="52"/>
        <v>#N/A</v>
      </c>
      <c r="AZ76" s="74" t="e">
        <f t="shared" ca="1" si="53"/>
        <v>#N/A</v>
      </c>
      <c r="BA76" s="74" t="e">
        <f t="shared" ca="1" si="54"/>
        <v>#N/A</v>
      </c>
      <c r="BB76" s="74" t="e">
        <f t="shared" ca="1" si="55"/>
        <v>#N/A</v>
      </c>
      <c r="BC76" s="74" t="e">
        <f t="shared" ca="1" si="56"/>
        <v>#N/A</v>
      </c>
      <c r="BD76" s="74" t="e">
        <f t="shared" ca="1" si="57"/>
        <v>#N/A</v>
      </c>
      <c r="BE76" s="49" t="e">
        <f t="shared" ca="1" si="58"/>
        <v>#N/A</v>
      </c>
      <c r="BF76" s="49" t="e">
        <f t="shared" ca="1" si="10"/>
        <v>#N/A</v>
      </c>
      <c r="BG76" s="49" t="e">
        <f t="shared" ca="1" si="59"/>
        <v>#N/A</v>
      </c>
      <c r="BH76" s="49" t="e">
        <f t="shared" ca="1" si="11"/>
        <v>#N/A</v>
      </c>
      <c r="BI76" s="49">
        <f t="shared" si="8"/>
        <v>0</v>
      </c>
      <c r="BJ76" s="49" t="e">
        <f t="shared" ca="1" si="12"/>
        <v>#N/A</v>
      </c>
      <c r="BK76" s="71" t="e">
        <f t="shared" ca="1" si="13"/>
        <v>#N/A</v>
      </c>
      <c r="BL76" s="71" t="e">
        <f t="shared" ca="1" si="14"/>
        <v>#N/A</v>
      </c>
      <c r="BM76" s="71" t="e">
        <f t="shared" ca="1" si="15"/>
        <v>#N/A</v>
      </c>
      <c r="BN76" s="71" t="e">
        <f t="shared" ca="1" si="16"/>
        <v>#N/A</v>
      </c>
      <c r="BO76" s="75" t="e">
        <f t="shared" ca="1" si="60"/>
        <v>#N/A</v>
      </c>
      <c r="BP76" s="49" t="e">
        <f t="shared" ca="1" si="17"/>
        <v>#N/A</v>
      </c>
      <c r="BQ76" s="49" t="e">
        <f t="shared" ca="1" si="18"/>
        <v>#N/A</v>
      </c>
      <c r="BR76" s="49" t="e">
        <f t="shared" ca="1" si="19"/>
        <v>#N/A</v>
      </c>
      <c r="BS76" s="49" t="e">
        <f t="shared" ca="1" si="20"/>
        <v>#N/A</v>
      </c>
      <c r="BT76" s="49" t="e">
        <f t="shared" ca="1" si="21"/>
        <v>#N/A</v>
      </c>
      <c r="BU76" s="49" t="e">
        <f t="shared" ca="1" si="22"/>
        <v>#N/A</v>
      </c>
      <c r="BV76" s="49" t="e">
        <f t="shared" ca="1" si="23"/>
        <v>#N/A</v>
      </c>
    </row>
    <row r="77" spans="1:74" x14ac:dyDescent="0.3">
      <c r="A77" s="47"/>
      <c r="B77" s="48"/>
      <c r="E77" s="48"/>
      <c r="F77" s="48"/>
      <c r="G77" s="48"/>
      <c r="H77" s="48"/>
      <c r="I77" s="48"/>
      <c r="J77" s="48"/>
      <c r="K77" s="103" t="str">
        <f>스펙계산기!O7</f>
        <v>12%</v>
      </c>
      <c r="L77" s="48">
        <f ca="1">(1+공마퍼+K77)/(1+공마퍼)*100-100</f>
        <v>9.9999999999999858</v>
      </c>
      <c r="M77" s="52">
        <f>스펙계산기!Q7</f>
        <v>0.3</v>
      </c>
      <c r="N77" s="48">
        <f t="shared" si="62"/>
        <v>30</v>
      </c>
      <c r="O77" s="52">
        <f>스펙계산기!S7</f>
        <v>0.3</v>
      </c>
      <c r="P77" s="58" t="str">
        <f>IF(O70&gt;=1,P70,ROUND((1-M70*(1-방무)*(1-O77))/(1-M70*(1-방무))*100-100,2))</f>
        <v xml:space="preserve">+∞% </v>
      </c>
      <c r="Q77" s="48" t="s">
        <v>222</v>
      </c>
      <c r="R77" s="51">
        <f>스펙계산기!W22</f>
        <v>0</v>
      </c>
      <c r="S77" s="48">
        <f>R77+S76</f>
        <v>0</v>
      </c>
      <c r="T77" s="58">
        <f>MAX(0,IF(S77&gt;$R$74,$R$74-S76,R77))</f>
        <v>0</v>
      </c>
      <c r="U77" s="47" t="s">
        <v>233</v>
      </c>
      <c r="V77" s="79">
        <v>1</v>
      </c>
      <c r="W77" s="80">
        <v>190</v>
      </c>
      <c r="X77" s="73">
        <v>258</v>
      </c>
      <c r="Y77" s="48" t="e">
        <f t="shared" si="25"/>
        <v>#N/A</v>
      </c>
      <c r="Z77" s="61" t="e">
        <f t="shared" si="26"/>
        <v>#N/A</v>
      </c>
      <c r="AA77" s="61" t="e">
        <f t="shared" si="31"/>
        <v>#N/A</v>
      </c>
      <c r="AB77" s="61" t="e">
        <f t="shared" si="27"/>
        <v>#N/A</v>
      </c>
      <c r="AC77" s="61" t="e">
        <f t="shared" si="28"/>
        <v>#N/A</v>
      </c>
      <c r="AD77" s="61" t="e">
        <f t="shared" si="29"/>
        <v>#N/A</v>
      </c>
      <c r="AE77" s="61" t="e">
        <f t="shared" si="32"/>
        <v>#N/A</v>
      </c>
      <c r="AF77" s="61">
        <f t="shared" si="33"/>
        <v>0</v>
      </c>
      <c r="AG77" s="61" t="e">
        <f t="shared" si="34"/>
        <v>#N/A</v>
      </c>
      <c r="AH77" s="61" t="e">
        <f t="shared" si="35"/>
        <v>#N/A</v>
      </c>
      <c r="AI77" s="61" t="e">
        <f t="shared" si="36"/>
        <v>#N/A</v>
      </c>
      <c r="AJ77" s="61" t="e">
        <f t="shared" si="37"/>
        <v>#N/A</v>
      </c>
      <c r="AK77" s="61" t="e">
        <f t="shared" si="38"/>
        <v>#N/A</v>
      </c>
      <c r="AL77" s="61" t="e">
        <f t="shared" si="39"/>
        <v>#N/A</v>
      </c>
      <c r="AM77" s="61" t="e">
        <f t="shared" si="40"/>
        <v>#N/A</v>
      </c>
      <c r="AN77" s="61" t="e">
        <f t="shared" si="41"/>
        <v>#N/A</v>
      </c>
      <c r="AO77" s="61" t="e">
        <f t="shared" si="42"/>
        <v>#N/A</v>
      </c>
      <c r="AP77" s="61" t="e">
        <f t="shared" si="43"/>
        <v>#N/A</v>
      </c>
      <c r="AQ77" s="61" t="e">
        <f t="shared" si="44"/>
        <v>#N/A</v>
      </c>
      <c r="AR77" s="61" t="e">
        <f t="shared" si="45"/>
        <v>#N/A</v>
      </c>
      <c r="AS77" s="61" t="e">
        <f t="shared" ca="1" si="46"/>
        <v>#N/A</v>
      </c>
      <c r="AT77" s="61" t="e">
        <f t="shared" ca="1" si="47"/>
        <v>#N/A</v>
      </c>
      <c r="AU77" s="61" t="e">
        <f t="shared" si="30"/>
        <v>#N/A</v>
      </c>
      <c r="AV77" s="61" t="e">
        <f t="shared" si="48"/>
        <v>#N/A</v>
      </c>
      <c r="AW77" s="61" t="e">
        <f t="shared" si="49"/>
        <v>#N/A</v>
      </c>
      <c r="AX77" s="61" t="e">
        <f t="shared" si="50"/>
        <v>#N/A</v>
      </c>
      <c r="AY77" s="74" t="e">
        <f t="shared" ca="1" si="52"/>
        <v>#N/A</v>
      </c>
      <c r="AZ77" s="74" t="e">
        <f t="shared" ca="1" si="53"/>
        <v>#N/A</v>
      </c>
      <c r="BA77" s="74" t="e">
        <f t="shared" ca="1" si="54"/>
        <v>#N/A</v>
      </c>
      <c r="BB77" s="74" t="e">
        <f t="shared" ca="1" si="55"/>
        <v>#N/A</v>
      </c>
      <c r="BC77" s="74" t="e">
        <f t="shared" ca="1" si="56"/>
        <v>#N/A</v>
      </c>
      <c r="BD77" s="74" t="e">
        <f t="shared" ca="1" si="57"/>
        <v>#N/A</v>
      </c>
      <c r="BE77" s="49" t="e">
        <f t="shared" ca="1" si="58"/>
        <v>#N/A</v>
      </c>
      <c r="BF77" s="49" t="e">
        <f t="shared" ca="1" si="10"/>
        <v>#N/A</v>
      </c>
      <c r="BG77" s="49" t="e">
        <f t="shared" ca="1" si="59"/>
        <v>#N/A</v>
      </c>
      <c r="BH77" s="49" t="e">
        <f t="shared" ca="1" si="11"/>
        <v>#N/A</v>
      </c>
      <c r="BI77" s="49">
        <f t="shared" si="8"/>
        <v>0</v>
      </c>
      <c r="BJ77" s="49" t="e">
        <f t="shared" ca="1" si="12"/>
        <v>#N/A</v>
      </c>
      <c r="BK77" s="71" t="e">
        <f t="shared" ca="1" si="13"/>
        <v>#N/A</v>
      </c>
      <c r="BL77" s="71" t="e">
        <f t="shared" ca="1" si="14"/>
        <v>#N/A</v>
      </c>
      <c r="BM77" s="71" t="e">
        <f t="shared" ca="1" si="15"/>
        <v>#N/A</v>
      </c>
      <c r="BN77" s="71" t="e">
        <f t="shared" ca="1" si="16"/>
        <v>#N/A</v>
      </c>
      <c r="BO77" s="75" t="e">
        <f t="shared" ca="1" si="60"/>
        <v>#N/A</v>
      </c>
      <c r="BP77" s="49" t="e">
        <f t="shared" ca="1" si="17"/>
        <v>#N/A</v>
      </c>
      <c r="BQ77" s="49" t="e">
        <f t="shared" ca="1" si="18"/>
        <v>#N/A</v>
      </c>
      <c r="BR77" s="49" t="e">
        <f t="shared" ca="1" si="19"/>
        <v>#N/A</v>
      </c>
      <c r="BS77" s="49" t="e">
        <f t="shared" ca="1" si="20"/>
        <v>#N/A</v>
      </c>
      <c r="BT77" s="49" t="e">
        <f t="shared" ca="1" si="21"/>
        <v>#N/A</v>
      </c>
      <c r="BU77" s="49" t="e">
        <f t="shared" ca="1" si="22"/>
        <v>#N/A</v>
      </c>
      <c r="BV77" s="49" t="e">
        <f t="shared" ca="1" si="23"/>
        <v>#N/A</v>
      </c>
    </row>
    <row r="78" spans="1:74" ht="17.25" thickBot="1" x14ac:dyDescent="0.35">
      <c r="A78" s="47"/>
      <c r="B78" s="48"/>
      <c r="E78" s="48"/>
      <c r="F78" s="48"/>
      <c r="G78" s="48"/>
      <c r="H78" s="48"/>
      <c r="I78" s="48"/>
      <c r="J78" s="48"/>
      <c r="K78" s="103"/>
      <c r="L78" s="48"/>
      <c r="M78" s="52">
        <f>스펙계산기!Q8</f>
        <v>0.35</v>
      </c>
      <c r="N78" s="48">
        <f t="shared" si="62"/>
        <v>35</v>
      </c>
      <c r="O78" s="52">
        <f>스펙계산기!S8</f>
        <v>0.35</v>
      </c>
      <c r="P78" s="58" t="str">
        <f>IF(O70&gt;=1,P70,ROUND((1-M70*(1-방무)*(1-O78))/(1-M70*(1-방무))*100-100,2))</f>
        <v xml:space="preserve">+∞% </v>
      </c>
      <c r="Q78" s="48" t="s">
        <v>238</v>
      </c>
      <c r="R78" s="51">
        <f>스펙계산기!Y22</f>
        <v>0</v>
      </c>
      <c r="S78" s="48">
        <f>R78+S77</f>
        <v>0</v>
      </c>
      <c r="T78" s="58">
        <f>MAX(0,IF(S78&gt;$R$74,$R$74-S77,R78))</f>
        <v>0</v>
      </c>
      <c r="U78" s="104" t="s">
        <v>228</v>
      </c>
      <c r="V78" s="105">
        <v>0</v>
      </c>
      <c r="W78" s="80">
        <v>191</v>
      </c>
      <c r="X78" s="73">
        <v>266</v>
      </c>
      <c r="Y78" s="48" t="e">
        <f t="shared" si="25"/>
        <v>#N/A</v>
      </c>
      <c r="Z78" s="61" t="e">
        <f t="shared" si="26"/>
        <v>#N/A</v>
      </c>
      <c r="AA78" s="61" t="e">
        <f t="shared" si="31"/>
        <v>#N/A</v>
      </c>
      <c r="AB78" s="61" t="e">
        <f t="shared" si="27"/>
        <v>#N/A</v>
      </c>
      <c r="AC78" s="61" t="e">
        <f t="shared" si="28"/>
        <v>#N/A</v>
      </c>
      <c r="AD78" s="61" t="e">
        <f t="shared" si="29"/>
        <v>#N/A</v>
      </c>
      <c r="AE78" s="61" t="e">
        <f t="shared" si="32"/>
        <v>#N/A</v>
      </c>
      <c r="AF78" s="61">
        <f t="shared" si="33"/>
        <v>0</v>
      </c>
      <c r="AG78" s="61" t="e">
        <f t="shared" si="34"/>
        <v>#N/A</v>
      </c>
      <c r="AH78" s="61" t="e">
        <f t="shared" si="35"/>
        <v>#N/A</v>
      </c>
      <c r="AI78" s="61" t="e">
        <f t="shared" si="36"/>
        <v>#N/A</v>
      </c>
      <c r="AJ78" s="61" t="e">
        <f t="shared" si="37"/>
        <v>#N/A</v>
      </c>
      <c r="AK78" s="61" t="e">
        <f t="shared" si="38"/>
        <v>#N/A</v>
      </c>
      <c r="AL78" s="61" t="e">
        <f t="shared" si="39"/>
        <v>#N/A</v>
      </c>
      <c r="AM78" s="61" t="e">
        <f t="shared" si="40"/>
        <v>#N/A</v>
      </c>
      <c r="AN78" s="61" t="e">
        <f t="shared" si="41"/>
        <v>#N/A</v>
      </c>
      <c r="AO78" s="61" t="e">
        <f t="shared" si="42"/>
        <v>#N/A</v>
      </c>
      <c r="AP78" s="61" t="e">
        <f t="shared" si="43"/>
        <v>#N/A</v>
      </c>
      <c r="AQ78" s="61" t="e">
        <f t="shared" si="44"/>
        <v>#N/A</v>
      </c>
      <c r="AR78" s="61" t="e">
        <f t="shared" si="45"/>
        <v>#N/A</v>
      </c>
      <c r="AS78" s="61" t="e">
        <f t="shared" ca="1" si="46"/>
        <v>#N/A</v>
      </c>
      <c r="AT78" s="61" t="e">
        <f t="shared" ca="1" si="47"/>
        <v>#N/A</v>
      </c>
      <c r="AU78" s="61" t="e">
        <f t="shared" si="30"/>
        <v>#N/A</v>
      </c>
      <c r="AV78" s="61" t="e">
        <f t="shared" si="48"/>
        <v>#N/A</v>
      </c>
      <c r="AW78" s="61" t="e">
        <f t="shared" si="49"/>
        <v>#N/A</v>
      </c>
      <c r="AX78" s="61" t="e">
        <f t="shared" si="50"/>
        <v>#N/A</v>
      </c>
      <c r="AY78" s="74" t="e">
        <f t="shared" ca="1" si="52"/>
        <v>#N/A</v>
      </c>
      <c r="AZ78" s="74" t="e">
        <f t="shared" ca="1" si="53"/>
        <v>#N/A</v>
      </c>
      <c r="BA78" s="74" t="e">
        <f t="shared" ca="1" si="54"/>
        <v>#N/A</v>
      </c>
      <c r="BB78" s="74" t="e">
        <f t="shared" ca="1" si="55"/>
        <v>#N/A</v>
      </c>
      <c r="BC78" s="74" t="e">
        <f t="shared" ca="1" si="56"/>
        <v>#N/A</v>
      </c>
      <c r="BD78" s="74" t="e">
        <f t="shared" ca="1" si="57"/>
        <v>#N/A</v>
      </c>
      <c r="BE78" s="49" t="e">
        <f t="shared" ca="1" si="58"/>
        <v>#N/A</v>
      </c>
      <c r="BF78" s="49" t="e">
        <f t="shared" ca="1" si="10"/>
        <v>#N/A</v>
      </c>
      <c r="BG78" s="49" t="e">
        <f t="shared" ca="1" si="59"/>
        <v>#N/A</v>
      </c>
      <c r="BH78" s="49" t="e">
        <f t="shared" ca="1" si="11"/>
        <v>#N/A</v>
      </c>
      <c r="BI78" s="49">
        <f t="shared" si="8"/>
        <v>0</v>
      </c>
      <c r="BJ78" s="49" t="e">
        <f t="shared" ca="1" si="12"/>
        <v>#N/A</v>
      </c>
      <c r="BK78" s="71" t="e">
        <f t="shared" ca="1" si="13"/>
        <v>#N/A</v>
      </c>
      <c r="BL78" s="71" t="e">
        <f t="shared" ca="1" si="14"/>
        <v>#N/A</v>
      </c>
      <c r="BM78" s="71" t="e">
        <f t="shared" ca="1" si="15"/>
        <v>#N/A</v>
      </c>
      <c r="BN78" s="71" t="e">
        <f t="shared" ca="1" si="16"/>
        <v>#N/A</v>
      </c>
      <c r="BO78" s="75" t="e">
        <f t="shared" ca="1" si="60"/>
        <v>#N/A</v>
      </c>
      <c r="BP78" s="49" t="e">
        <f t="shared" ca="1" si="17"/>
        <v>#N/A</v>
      </c>
      <c r="BQ78" s="49" t="e">
        <f t="shared" ca="1" si="18"/>
        <v>#N/A</v>
      </c>
      <c r="BR78" s="49" t="e">
        <f t="shared" ca="1" si="19"/>
        <v>#N/A</v>
      </c>
      <c r="BS78" s="49" t="e">
        <f t="shared" ca="1" si="20"/>
        <v>#N/A</v>
      </c>
      <c r="BT78" s="49" t="e">
        <f t="shared" ca="1" si="21"/>
        <v>#N/A</v>
      </c>
      <c r="BU78" s="49" t="e">
        <f t="shared" ca="1" si="22"/>
        <v>#N/A</v>
      </c>
      <c r="BV78" s="49" t="e">
        <f t="shared" ca="1" si="23"/>
        <v>#N/A</v>
      </c>
    </row>
    <row r="79" spans="1:74" ht="17.25" thickBot="1" x14ac:dyDescent="0.35">
      <c r="A79" s="47"/>
      <c r="B79" s="48"/>
      <c r="F79" s="48"/>
      <c r="G79" s="48"/>
      <c r="H79" s="48"/>
      <c r="I79" s="48"/>
      <c r="J79" s="48"/>
      <c r="K79" s="59"/>
      <c r="L79" s="78"/>
      <c r="M79" s="106">
        <f>스펙계산기!Q9</f>
        <v>0.4</v>
      </c>
      <c r="N79" s="78">
        <f t="shared" si="62"/>
        <v>40</v>
      </c>
      <c r="O79" s="106">
        <f>스펙계산기!S9</f>
        <v>0.4</v>
      </c>
      <c r="P79" s="60" t="str">
        <f>IF(O70&gt;=1,P70,ROUND((1-M70*(1-방무)*(1-O79))/(1-M70*(1-방무))*100-100,2))</f>
        <v xml:space="preserve">+∞% </v>
      </c>
      <c r="Q79" s="78" t="s">
        <v>227</v>
      </c>
      <c r="R79" s="107">
        <f>스펙계산기!W23</f>
        <v>0</v>
      </c>
      <c r="S79" s="78">
        <f>R79+S78</f>
        <v>0</v>
      </c>
      <c r="T79" s="60">
        <f>MAX(0,IF(S79&gt;$R$74,$R$74-S78,R79))</f>
        <v>0</v>
      </c>
      <c r="U79" s="48"/>
      <c r="V79" s="48"/>
      <c r="W79" s="80">
        <v>192</v>
      </c>
      <c r="X79" s="73">
        <v>274</v>
      </c>
      <c r="Y79" s="48" t="e">
        <f t="shared" si="25"/>
        <v>#N/A</v>
      </c>
      <c r="Z79" s="61" t="e">
        <f t="shared" si="26"/>
        <v>#N/A</v>
      </c>
      <c r="AA79" s="61" t="e">
        <f t="shared" si="31"/>
        <v>#N/A</v>
      </c>
      <c r="AB79" s="61" t="e">
        <f t="shared" si="27"/>
        <v>#N/A</v>
      </c>
      <c r="AC79" s="61" t="e">
        <f t="shared" si="28"/>
        <v>#N/A</v>
      </c>
      <c r="AD79" s="61" t="e">
        <f t="shared" si="29"/>
        <v>#N/A</v>
      </c>
      <c r="AE79" s="61" t="e">
        <f t="shared" si="32"/>
        <v>#N/A</v>
      </c>
      <c r="AF79" s="61">
        <f t="shared" si="33"/>
        <v>0</v>
      </c>
      <c r="AG79" s="61" t="e">
        <f t="shared" si="34"/>
        <v>#N/A</v>
      </c>
      <c r="AH79" s="61" t="e">
        <f t="shared" si="35"/>
        <v>#N/A</v>
      </c>
      <c r="AI79" s="61" t="e">
        <f t="shared" si="36"/>
        <v>#N/A</v>
      </c>
      <c r="AJ79" s="61" t="e">
        <f t="shared" si="37"/>
        <v>#N/A</v>
      </c>
      <c r="AK79" s="61" t="e">
        <f t="shared" si="38"/>
        <v>#N/A</v>
      </c>
      <c r="AL79" s="61" t="e">
        <f t="shared" si="39"/>
        <v>#N/A</v>
      </c>
      <c r="AM79" s="61" t="e">
        <f t="shared" si="40"/>
        <v>#N/A</v>
      </c>
      <c r="AN79" s="61" t="e">
        <f t="shared" si="41"/>
        <v>#N/A</v>
      </c>
      <c r="AO79" s="61" t="e">
        <f t="shared" si="42"/>
        <v>#N/A</v>
      </c>
      <c r="AP79" s="61" t="e">
        <f t="shared" si="43"/>
        <v>#N/A</v>
      </c>
      <c r="AQ79" s="61" t="e">
        <f t="shared" si="44"/>
        <v>#N/A</v>
      </c>
      <c r="AR79" s="61" t="e">
        <f t="shared" si="45"/>
        <v>#N/A</v>
      </c>
      <c r="AS79" s="61" t="e">
        <f t="shared" ca="1" si="46"/>
        <v>#N/A</v>
      </c>
      <c r="AT79" s="61" t="e">
        <f t="shared" ca="1" si="47"/>
        <v>#N/A</v>
      </c>
      <c r="AU79" s="61" t="e">
        <f t="shared" si="30"/>
        <v>#N/A</v>
      </c>
      <c r="AV79" s="61" t="e">
        <f t="shared" si="48"/>
        <v>#N/A</v>
      </c>
      <c r="AW79" s="61" t="e">
        <f t="shared" si="49"/>
        <v>#N/A</v>
      </c>
      <c r="AX79" s="61" t="e">
        <f t="shared" si="50"/>
        <v>#N/A</v>
      </c>
      <c r="AY79" s="74" t="e">
        <f t="shared" ca="1" si="52"/>
        <v>#N/A</v>
      </c>
      <c r="AZ79" s="74" t="e">
        <f t="shared" ca="1" si="53"/>
        <v>#N/A</v>
      </c>
      <c r="BA79" s="74" t="e">
        <f t="shared" ca="1" si="54"/>
        <v>#N/A</v>
      </c>
      <c r="BB79" s="74" t="e">
        <f t="shared" ca="1" si="55"/>
        <v>#N/A</v>
      </c>
      <c r="BC79" s="74" t="e">
        <f t="shared" ca="1" si="56"/>
        <v>#N/A</v>
      </c>
      <c r="BD79" s="74" t="e">
        <f t="shared" ca="1" si="57"/>
        <v>#N/A</v>
      </c>
      <c r="BE79" s="49" t="e">
        <f t="shared" ca="1" si="58"/>
        <v>#N/A</v>
      </c>
      <c r="BF79" s="49" t="e">
        <f t="shared" ca="1" si="10"/>
        <v>#N/A</v>
      </c>
      <c r="BG79" s="49" t="e">
        <f t="shared" ca="1" si="59"/>
        <v>#N/A</v>
      </c>
      <c r="BH79" s="49" t="e">
        <f t="shared" ca="1" si="11"/>
        <v>#N/A</v>
      </c>
      <c r="BI79" s="49">
        <f t="shared" si="8"/>
        <v>0</v>
      </c>
      <c r="BJ79" s="49" t="e">
        <f t="shared" ca="1" si="12"/>
        <v>#N/A</v>
      </c>
      <c r="BK79" s="71" t="e">
        <f t="shared" ca="1" si="13"/>
        <v>#N/A</v>
      </c>
      <c r="BL79" s="71" t="e">
        <f t="shared" ca="1" si="14"/>
        <v>#N/A</v>
      </c>
      <c r="BM79" s="71" t="e">
        <f t="shared" ca="1" si="15"/>
        <v>#N/A</v>
      </c>
      <c r="BN79" s="71" t="e">
        <f t="shared" ca="1" si="16"/>
        <v>#N/A</v>
      </c>
      <c r="BO79" s="75" t="e">
        <f t="shared" ca="1" si="60"/>
        <v>#N/A</v>
      </c>
      <c r="BP79" s="49" t="e">
        <f t="shared" ca="1" si="17"/>
        <v>#N/A</v>
      </c>
      <c r="BQ79" s="49" t="e">
        <f t="shared" ca="1" si="18"/>
        <v>#N/A</v>
      </c>
      <c r="BR79" s="49" t="e">
        <f t="shared" ca="1" si="19"/>
        <v>#N/A</v>
      </c>
      <c r="BS79" s="49" t="e">
        <f t="shared" ca="1" si="20"/>
        <v>#N/A</v>
      </c>
      <c r="BT79" s="49" t="e">
        <f t="shared" ca="1" si="21"/>
        <v>#N/A</v>
      </c>
      <c r="BU79" s="49" t="e">
        <f t="shared" ca="1" si="22"/>
        <v>#N/A</v>
      </c>
      <c r="BV79" s="49" t="e">
        <f t="shared" ca="1" si="23"/>
        <v>#N/A</v>
      </c>
    </row>
    <row r="80" spans="1:74" ht="17.25" thickBot="1" x14ac:dyDescent="0.35">
      <c r="A80" s="47"/>
      <c r="B80" s="48"/>
      <c r="C80" s="81" t="s">
        <v>358</v>
      </c>
      <c r="D80" s="90"/>
      <c r="E80" s="68"/>
      <c r="F80" s="68"/>
      <c r="G80" s="68"/>
      <c r="H80" s="68"/>
      <c r="I80" s="68"/>
      <c r="J80" s="68"/>
      <c r="K80" s="88"/>
      <c r="L80" s="88"/>
      <c r="M80" s="78"/>
      <c r="N80" s="60"/>
      <c r="O80" s="48"/>
      <c r="P80" s="48"/>
      <c r="S80" s="48"/>
      <c r="T80" s="48"/>
      <c r="U80" s="48"/>
      <c r="V80" s="48"/>
      <c r="W80" s="80">
        <v>193</v>
      </c>
      <c r="X80" s="73">
        <v>282</v>
      </c>
      <c r="Y80" s="48" t="e">
        <f t="shared" si="25"/>
        <v>#N/A</v>
      </c>
      <c r="Z80" s="61" t="e">
        <f t="shared" si="26"/>
        <v>#N/A</v>
      </c>
      <c r="AA80" s="61" t="e">
        <f t="shared" si="31"/>
        <v>#N/A</v>
      </c>
      <c r="AB80" s="61" t="e">
        <f t="shared" si="27"/>
        <v>#N/A</v>
      </c>
      <c r="AC80" s="61" t="e">
        <f t="shared" si="28"/>
        <v>#N/A</v>
      </c>
      <c r="AD80" s="61" t="e">
        <f t="shared" si="29"/>
        <v>#N/A</v>
      </c>
      <c r="AE80" s="61" t="e">
        <f t="shared" si="32"/>
        <v>#N/A</v>
      </c>
      <c r="AF80" s="61">
        <f t="shared" si="33"/>
        <v>0</v>
      </c>
      <c r="AG80" s="61" t="e">
        <f t="shared" si="34"/>
        <v>#N/A</v>
      </c>
      <c r="AH80" s="61" t="e">
        <f t="shared" si="35"/>
        <v>#N/A</v>
      </c>
      <c r="AI80" s="61" t="e">
        <f t="shared" si="36"/>
        <v>#N/A</v>
      </c>
      <c r="AJ80" s="61" t="e">
        <f t="shared" si="37"/>
        <v>#N/A</v>
      </c>
      <c r="AK80" s="61" t="e">
        <f t="shared" si="38"/>
        <v>#N/A</v>
      </c>
      <c r="AL80" s="61" t="e">
        <f t="shared" si="39"/>
        <v>#N/A</v>
      </c>
      <c r="AM80" s="61" t="e">
        <f t="shared" si="40"/>
        <v>#N/A</v>
      </c>
      <c r="AN80" s="61" t="e">
        <f t="shared" si="41"/>
        <v>#N/A</v>
      </c>
      <c r="AO80" s="61" t="e">
        <f t="shared" si="42"/>
        <v>#N/A</v>
      </c>
      <c r="AP80" s="61" t="e">
        <f t="shared" si="43"/>
        <v>#N/A</v>
      </c>
      <c r="AQ80" s="61" t="e">
        <f t="shared" si="44"/>
        <v>#N/A</v>
      </c>
      <c r="AR80" s="61" t="e">
        <f t="shared" si="45"/>
        <v>#N/A</v>
      </c>
      <c r="AS80" s="61" t="e">
        <f t="shared" ca="1" si="46"/>
        <v>#N/A</v>
      </c>
      <c r="AT80" s="61" t="e">
        <f t="shared" ca="1" si="47"/>
        <v>#N/A</v>
      </c>
      <c r="AU80" s="61" t="e">
        <f t="shared" si="30"/>
        <v>#N/A</v>
      </c>
      <c r="AV80" s="61" t="e">
        <f t="shared" si="48"/>
        <v>#N/A</v>
      </c>
      <c r="AW80" s="61" t="e">
        <f t="shared" si="49"/>
        <v>#N/A</v>
      </c>
      <c r="AX80" s="61" t="e">
        <f t="shared" si="50"/>
        <v>#N/A</v>
      </c>
      <c r="AY80" s="74" t="e">
        <f t="shared" ca="1" si="52"/>
        <v>#N/A</v>
      </c>
      <c r="AZ80" s="74" t="e">
        <f t="shared" ca="1" si="53"/>
        <v>#N/A</v>
      </c>
      <c r="BA80" s="74" t="e">
        <f t="shared" ca="1" si="54"/>
        <v>#N/A</v>
      </c>
      <c r="BB80" s="74" t="e">
        <f t="shared" ca="1" si="55"/>
        <v>#N/A</v>
      </c>
      <c r="BC80" s="74" t="e">
        <f t="shared" ca="1" si="56"/>
        <v>#N/A</v>
      </c>
      <c r="BD80" s="74" t="e">
        <f t="shared" ca="1" si="57"/>
        <v>#N/A</v>
      </c>
      <c r="BE80" s="49" t="e">
        <f t="shared" ca="1" si="58"/>
        <v>#N/A</v>
      </c>
      <c r="BF80" s="49" t="e">
        <f t="shared" ca="1" si="10"/>
        <v>#N/A</v>
      </c>
      <c r="BG80" s="49" t="e">
        <f t="shared" ca="1" si="59"/>
        <v>#N/A</v>
      </c>
      <c r="BH80" s="49" t="e">
        <f t="shared" ca="1" si="11"/>
        <v>#N/A</v>
      </c>
      <c r="BI80" s="49">
        <f t="shared" si="8"/>
        <v>0</v>
      </c>
      <c r="BJ80" s="49" t="e">
        <f t="shared" ca="1" si="12"/>
        <v>#N/A</v>
      </c>
      <c r="BK80" s="71" t="e">
        <f t="shared" ca="1" si="13"/>
        <v>#N/A</v>
      </c>
      <c r="BL80" s="71" t="e">
        <f t="shared" ca="1" si="14"/>
        <v>#N/A</v>
      </c>
      <c r="BM80" s="71" t="e">
        <f t="shared" ca="1" si="15"/>
        <v>#N/A</v>
      </c>
      <c r="BN80" s="71" t="e">
        <f t="shared" ca="1" si="16"/>
        <v>#N/A</v>
      </c>
      <c r="BO80" s="75" t="e">
        <f t="shared" ca="1" si="60"/>
        <v>#N/A</v>
      </c>
      <c r="BP80" s="49" t="e">
        <f t="shared" ca="1" si="17"/>
        <v>#N/A</v>
      </c>
      <c r="BQ80" s="49" t="e">
        <f t="shared" ca="1" si="18"/>
        <v>#N/A</v>
      </c>
      <c r="BR80" s="49" t="e">
        <f t="shared" ca="1" si="19"/>
        <v>#N/A</v>
      </c>
      <c r="BS80" s="49" t="e">
        <f t="shared" ca="1" si="20"/>
        <v>#N/A</v>
      </c>
      <c r="BT80" s="49" t="e">
        <f t="shared" ca="1" si="21"/>
        <v>#N/A</v>
      </c>
      <c r="BU80" s="49" t="e">
        <f t="shared" ca="1" si="22"/>
        <v>#N/A</v>
      </c>
      <c r="BV80" s="49" t="e">
        <f t="shared" ca="1" si="23"/>
        <v>#N/A</v>
      </c>
    </row>
    <row r="81" spans="1:74" ht="17.25" thickBot="1" x14ac:dyDescent="0.35">
      <c r="A81" s="47"/>
      <c r="B81" s="48"/>
      <c r="C81" s="43" t="s">
        <v>316</v>
      </c>
      <c r="D81" s="57">
        <f ca="1">메용스탯-포스스탯</f>
        <v>0</v>
      </c>
      <c r="E81" s="81" t="s">
        <v>338</v>
      </c>
      <c r="F81" s="90" t="e">
        <f ca="1">ROUND(D85/D86*100-100,)-1</f>
        <v>#DIV/0!</v>
      </c>
      <c r="G81" s="81" t="s">
        <v>339</v>
      </c>
      <c r="H81" s="82" t="e">
        <f ca="1">ROUND(D85/D86*100-100,)</f>
        <v>#DIV/0!</v>
      </c>
      <c r="I81" s="90" t="s">
        <v>340</v>
      </c>
      <c r="J81" s="82" t="e">
        <f ca="1">ROUND(D85/D86*100-100,)+1</f>
        <v>#DIV/0!</v>
      </c>
      <c r="K81" s="108"/>
      <c r="L81" s="109" t="s">
        <v>336</v>
      </c>
      <c r="M81" s="44" t="s">
        <v>337</v>
      </c>
      <c r="N81" s="57" t="s">
        <v>341</v>
      </c>
      <c r="Q81" s="48"/>
      <c r="R81" s="48"/>
      <c r="S81" s="48"/>
      <c r="T81" s="48"/>
      <c r="U81" s="48"/>
      <c r="V81" s="48"/>
      <c r="W81" s="80">
        <v>194</v>
      </c>
      <c r="X81" s="73">
        <v>290</v>
      </c>
      <c r="Y81" s="48" t="e">
        <f t="shared" si="25"/>
        <v>#N/A</v>
      </c>
      <c r="Z81" s="61" t="e">
        <f t="shared" si="26"/>
        <v>#N/A</v>
      </c>
      <c r="AA81" s="61" t="e">
        <f t="shared" si="31"/>
        <v>#N/A</v>
      </c>
      <c r="AB81" s="61" t="e">
        <f t="shared" si="27"/>
        <v>#N/A</v>
      </c>
      <c r="AC81" s="61" t="e">
        <f t="shared" si="28"/>
        <v>#N/A</v>
      </c>
      <c r="AD81" s="61" t="e">
        <f t="shared" si="29"/>
        <v>#N/A</v>
      </c>
      <c r="AE81" s="61" t="e">
        <f t="shared" si="32"/>
        <v>#N/A</v>
      </c>
      <c r="AF81" s="61">
        <f t="shared" si="33"/>
        <v>0</v>
      </c>
      <c r="AG81" s="61" t="e">
        <f t="shared" si="34"/>
        <v>#N/A</v>
      </c>
      <c r="AH81" s="61" t="e">
        <f t="shared" si="35"/>
        <v>#N/A</v>
      </c>
      <c r="AI81" s="61" t="e">
        <f t="shared" si="36"/>
        <v>#N/A</v>
      </c>
      <c r="AJ81" s="61" t="e">
        <f t="shared" si="37"/>
        <v>#N/A</v>
      </c>
      <c r="AK81" s="61" t="e">
        <f t="shared" si="38"/>
        <v>#N/A</v>
      </c>
      <c r="AL81" s="61" t="e">
        <f t="shared" si="39"/>
        <v>#N/A</v>
      </c>
      <c r="AM81" s="61" t="e">
        <f t="shared" si="40"/>
        <v>#N/A</v>
      </c>
      <c r="AN81" s="61" t="e">
        <f t="shared" si="41"/>
        <v>#N/A</v>
      </c>
      <c r="AO81" s="61" t="e">
        <f t="shared" si="42"/>
        <v>#N/A</v>
      </c>
      <c r="AP81" s="61" t="e">
        <f t="shared" si="43"/>
        <v>#N/A</v>
      </c>
      <c r="AQ81" s="61" t="e">
        <f t="shared" si="44"/>
        <v>#N/A</v>
      </c>
      <c r="AR81" s="61" t="e">
        <f t="shared" si="45"/>
        <v>#N/A</v>
      </c>
      <c r="AS81" s="61" t="e">
        <f t="shared" ca="1" si="46"/>
        <v>#N/A</v>
      </c>
      <c r="AT81" s="61" t="e">
        <f t="shared" ca="1" si="47"/>
        <v>#N/A</v>
      </c>
      <c r="AU81" s="61" t="e">
        <f t="shared" si="30"/>
        <v>#N/A</v>
      </c>
      <c r="AV81" s="61" t="e">
        <f t="shared" si="48"/>
        <v>#N/A</v>
      </c>
      <c r="AW81" s="61" t="e">
        <f t="shared" si="49"/>
        <v>#N/A</v>
      </c>
      <c r="AX81" s="61" t="e">
        <f t="shared" si="50"/>
        <v>#N/A</v>
      </c>
      <c r="AY81" s="74" t="e">
        <f t="shared" ca="1" si="52"/>
        <v>#N/A</v>
      </c>
      <c r="AZ81" s="74" t="e">
        <f t="shared" ca="1" si="53"/>
        <v>#N/A</v>
      </c>
      <c r="BA81" s="74" t="e">
        <f t="shared" ca="1" si="54"/>
        <v>#N/A</v>
      </c>
      <c r="BB81" s="74" t="e">
        <f t="shared" ca="1" si="55"/>
        <v>#N/A</v>
      </c>
      <c r="BC81" s="74" t="e">
        <f t="shared" ca="1" si="56"/>
        <v>#N/A</v>
      </c>
      <c r="BD81" s="74" t="e">
        <f t="shared" ca="1" si="57"/>
        <v>#N/A</v>
      </c>
      <c r="BE81" s="49" t="e">
        <f t="shared" ca="1" si="58"/>
        <v>#N/A</v>
      </c>
      <c r="BF81" s="49" t="e">
        <f t="shared" ca="1" si="10"/>
        <v>#N/A</v>
      </c>
      <c r="BG81" s="49" t="e">
        <f t="shared" ca="1" si="59"/>
        <v>#N/A</v>
      </c>
      <c r="BH81" s="49" t="e">
        <f t="shared" ca="1" si="11"/>
        <v>#N/A</v>
      </c>
      <c r="BI81" s="49">
        <f t="shared" si="8"/>
        <v>0</v>
      </c>
      <c r="BJ81" s="49" t="e">
        <f t="shared" ca="1" si="12"/>
        <v>#N/A</v>
      </c>
      <c r="BK81" s="71" t="e">
        <f t="shared" ca="1" si="13"/>
        <v>#N/A</v>
      </c>
      <c r="BL81" s="71" t="e">
        <f t="shared" ca="1" si="14"/>
        <v>#N/A</v>
      </c>
      <c r="BM81" s="71" t="e">
        <f t="shared" ca="1" si="15"/>
        <v>#N/A</v>
      </c>
      <c r="BN81" s="71" t="e">
        <f t="shared" ca="1" si="16"/>
        <v>#N/A</v>
      </c>
      <c r="BO81" s="75" t="e">
        <f t="shared" ca="1" si="60"/>
        <v>#N/A</v>
      </c>
      <c r="BP81" s="49" t="e">
        <f t="shared" ca="1" si="17"/>
        <v>#N/A</v>
      </c>
      <c r="BQ81" s="49" t="e">
        <f t="shared" ca="1" si="18"/>
        <v>#N/A</v>
      </c>
      <c r="BR81" s="49" t="e">
        <f t="shared" ca="1" si="19"/>
        <v>#N/A</v>
      </c>
      <c r="BS81" s="49" t="e">
        <f t="shared" ca="1" si="20"/>
        <v>#N/A</v>
      </c>
      <c r="BT81" s="49" t="e">
        <f t="shared" ca="1" si="21"/>
        <v>#N/A</v>
      </c>
      <c r="BU81" s="49" t="e">
        <f t="shared" ca="1" si="22"/>
        <v>#N/A</v>
      </c>
      <c r="BV81" s="49" t="e">
        <f t="shared" ca="1" si="23"/>
        <v>#N/A</v>
      </c>
    </row>
    <row r="82" spans="1:74" x14ac:dyDescent="0.3">
      <c r="A82" s="47"/>
      <c r="B82" s="48"/>
      <c r="C82" s="47" t="s">
        <v>315</v>
      </c>
      <c r="D82" s="58">
        <f ca="1">D32-포스스탯</f>
        <v>0</v>
      </c>
      <c r="E82" s="47" t="s">
        <v>323</v>
      </c>
      <c r="F82" s="48" t="e">
        <f ca="1">ROUND($D$82/(F81+100)*100,)-1</f>
        <v>#DIV/0!</v>
      </c>
      <c r="G82" s="47" t="s">
        <v>323</v>
      </c>
      <c r="H82" s="58" t="e">
        <f ca="1">ROUND($D$82/(H81+100)*100,)-1</f>
        <v>#DIV/0!</v>
      </c>
      <c r="I82" s="48" t="s">
        <v>323</v>
      </c>
      <c r="J82" s="58" t="e">
        <f ca="1">ROUND($D$82/(J81+100)*100,)-1</f>
        <v>#DIV/0!</v>
      </c>
      <c r="K82" s="110" t="s">
        <v>327</v>
      </c>
      <c r="L82" s="49" t="e">
        <f ca="1">F85</f>
        <v>#DIV/0!</v>
      </c>
      <c r="M82" s="48" t="e">
        <f ca="1">F81</f>
        <v>#DIV/0!</v>
      </c>
      <c r="N82" s="58" t="e">
        <f ca="1">F82</f>
        <v>#DIV/0!</v>
      </c>
      <c r="O82" s="48"/>
      <c r="P82" s="48"/>
      <c r="Q82" s="48"/>
      <c r="R82" s="48"/>
      <c r="S82" s="48"/>
      <c r="T82" s="48"/>
      <c r="U82" s="48"/>
      <c r="V82" s="48"/>
      <c r="W82" s="80">
        <v>195</v>
      </c>
      <c r="X82" s="73">
        <v>298</v>
      </c>
      <c r="Y82" s="48" t="e">
        <f t="shared" si="25"/>
        <v>#N/A</v>
      </c>
      <c r="Z82" s="61" t="e">
        <f t="shared" si="26"/>
        <v>#N/A</v>
      </c>
      <c r="AA82" s="61" t="e">
        <f t="shared" si="31"/>
        <v>#N/A</v>
      </c>
      <c r="AB82" s="61" t="e">
        <f t="shared" si="27"/>
        <v>#N/A</v>
      </c>
      <c r="AC82" s="61" t="e">
        <f t="shared" si="28"/>
        <v>#N/A</v>
      </c>
      <c r="AD82" s="61" t="e">
        <f t="shared" si="29"/>
        <v>#N/A</v>
      </c>
      <c r="AE82" s="61" t="e">
        <f t="shared" si="32"/>
        <v>#N/A</v>
      </c>
      <c r="AF82" s="61">
        <f t="shared" si="33"/>
        <v>0</v>
      </c>
      <c r="AG82" s="61" t="e">
        <f t="shared" si="34"/>
        <v>#N/A</v>
      </c>
      <c r="AH82" s="61" t="e">
        <f t="shared" si="35"/>
        <v>#N/A</v>
      </c>
      <c r="AI82" s="61" t="e">
        <f t="shared" si="36"/>
        <v>#N/A</v>
      </c>
      <c r="AJ82" s="61" t="e">
        <f t="shared" si="37"/>
        <v>#N/A</v>
      </c>
      <c r="AK82" s="61" t="e">
        <f t="shared" si="38"/>
        <v>#N/A</v>
      </c>
      <c r="AL82" s="61" t="e">
        <f t="shared" si="39"/>
        <v>#N/A</v>
      </c>
      <c r="AM82" s="61" t="e">
        <f t="shared" si="40"/>
        <v>#N/A</v>
      </c>
      <c r="AN82" s="61" t="e">
        <f t="shared" si="41"/>
        <v>#N/A</v>
      </c>
      <c r="AO82" s="61" t="e">
        <f t="shared" si="42"/>
        <v>#N/A</v>
      </c>
      <c r="AP82" s="61" t="e">
        <f t="shared" si="43"/>
        <v>#N/A</v>
      </c>
      <c r="AQ82" s="61" t="e">
        <f t="shared" si="44"/>
        <v>#N/A</v>
      </c>
      <c r="AR82" s="61" t="e">
        <f t="shared" si="45"/>
        <v>#N/A</v>
      </c>
      <c r="AS82" s="61" t="e">
        <f t="shared" ca="1" si="46"/>
        <v>#N/A</v>
      </c>
      <c r="AT82" s="61" t="e">
        <f t="shared" ca="1" si="47"/>
        <v>#N/A</v>
      </c>
      <c r="AU82" s="61" t="e">
        <f t="shared" si="30"/>
        <v>#N/A</v>
      </c>
      <c r="AV82" s="61" t="e">
        <f t="shared" si="48"/>
        <v>#N/A</v>
      </c>
      <c r="AW82" s="61" t="e">
        <f t="shared" si="49"/>
        <v>#N/A</v>
      </c>
      <c r="AX82" s="61" t="e">
        <f t="shared" si="50"/>
        <v>#N/A</v>
      </c>
      <c r="AY82" s="74" t="e">
        <f t="shared" ca="1" si="52"/>
        <v>#N/A</v>
      </c>
      <c r="AZ82" s="74" t="e">
        <f t="shared" ca="1" si="53"/>
        <v>#N/A</v>
      </c>
      <c r="BA82" s="74" t="e">
        <f t="shared" ca="1" si="54"/>
        <v>#N/A</v>
      </c>
      <c r="BB82" s="74" t="e">
        <f t="shared" ca="1" si="55"/>
        <v>#N/A</v>
      </c>
      <c r="BC82" s="74" t="e">
        <f t="shared" ca="1" si="56"/>
        <v>#N/A</v>
      </c>
      <c r="BD82" s="74" t="e">
        <f t="shared" ca="1" si="57"/>
        <v>#N/A</v>
      </c>
      <c r="BE82" s="49" t="e">
        <f t="shared" ca="1" si="58"/>
        <v>#N/A</v>
      </c>
      <c r="BF82" s="49" t="e">
        <f t="shared" ca="1" si="10"/>
        <v>#N/A</v>
      </c>
      <c r="BG82" s="49" t="e">
        <f t="shared" ca="1" si="59"/>
        <v>#N/A</v>
      </c>
      <c r="BH82" s="49" t="e">
        <f t="shared" ca="1" si="11"/>
        <v>#N/A</v>
      </c>
      <c r="BI82" s="49">
        <f t="shared" si="8"/>
        <v>0</v>
      </c>
      <c r="BJ82" s="49" t="e">
        <f t="shared" ca="1" si="12"/>
        <v>#N/A</v>
      </c>
      <c r="BK82" s="71" t="e">
        <f t="shared" ca="1" si="13"/>
        <v>#N/A</v>
      </c>
      <c r="BL82" s="71" t="e">
        <f t="shared" ca="1" si="14"/>
        <v>#N/A</v>
      </c>
      <c r="BM82" s="71" t="e">
        <f t="shared" ca="1" si="15"/>
        <v>#N/A</v>
      </c>
      <c r="BN82" s="71" t="e">
        <f t="shared" ca="1" si="16"/>
        <v>#N/A</v>
      </c>
      <c r="BO82" s="75" t="e">
        <f t="shared" ca="1" si="60"/>
        <v>#N/A</v>
      </c>
      <c r="BP82" s="49" t="e">
        <f t="shared" ca="1" si="17"/>
        <v>#N/A</v>
      </c>
      <c r="BQ82" s="49" t="e">
        <f t="shared" ca="1" si="18"/>
        <v>#N/A</v>
      </c>
      <c r="BR82" s="49" t="e">
        <f t="shared" ca="1" si="19"/>
        <v>#N/A</v>
      </c>
      <c r="BS82" s="49" t="e">
        <f t="shared" ca="1" si="20"/>
        <v>#N/A</v>
      </c>
      <c r="BT82" s="49" t="e">
        <f t="shared" ca="1" si="21"/>
        <v>#N/A</v>
      </c>
      <c r="BU82" s="49" t="e">
        <f t="shared" ca="1" si="22"/>
        <v>#N/A</v>
      </c>
      <c r="BV82" s="49" t="e">
        <f t="shared" ca="1" si="23"/>
        <v>#N/A</v>
      </c>
    </row>
    <row r="83" spans="1:74" x14ac:dyDescent="0.3">
      <c r="A83" s="47"/>
      <c r="B83" s="48"/>
      <c r="C83" s="93" t="s">
        <v>320</v>
      </c>
      <c r="D83" s="94">
        <f>ROUNDUP(스펙계산기!C12/2,)</f>
        <v>0</v>
      </c>
      <c r="E83" s="93" t="s">
        <v>324</v>
      </c>
      <c r="F83" s="49" t="e">
        <f ca="1">ROUNDDOWN((F82+$D$86)*(F$81+100)/100,)</f>
        <v>#DIV/0!</v>
      </c>
      <c r="G83" s="93" t="s">
        <v>324</v>
      </c>
      <c r="H83" s="94" t="e">
        <f ca="1">ROUNDDOWN((H82+$D$86)*(H$81+100)/100,)</f>
        <v>#DIV/0!</v>
      </c>
      <c r="I83" s="62" t="s">
        <v>324</v>
      </c>
      <c r="J83" s="94" t="e">
        <f ca="1">ROUNDDOWN((J82+$D$86)*(J$81+100)/100,)</f>
        <v>#DIV/0!</v>
      </c>
      <c r="K83" s="47" t="s">
        <v>328</v>
      </c>
      <c r="L83" s="48" t="e">
        <f ca="1">F89</f>
        <v>#DIV/0!</v>
      </c>
      <c r="M83" s="48" t="e">
        <f ca="1">F81</f>
        <v>#DIV/0!</v>
      </c>
      <c r="N83" s="58" t="e">
        <f ca="1">F86</f>
        <v>#DIV/0!</v>
      </c>
      <c r="O83" s="48"/>
      <c r="P83" s="48"/>
      <c r="Q83" s="48"/>
      <c r="R83" s="48"/>
      <c r="S83" s="48"/>
      <c r="T83" s="48"/>
      <c r="U83" s="48"/>
      <c r="V83" s="48"/>
      <c r="W83" s="80">
        <v>196</v>
      </c>
      <c r="X83" s="73">
        <v>306</v>
      </c>
      <c r="Y83" s="48" t="e">
        <f t="shared" si="25"/>
        <v>#N/A</v>
      </c>
      <c r="Z83" s="61" t="e">
        <f t="shared" si="26"/>
        <v>#N/A</v>
      </c>
      <c r="AA83" s="61" t="e">
        <f t="shared" si="31"/>
        <v>#N/A</v>
      </c>
      <c r="AB83" s="61" t="e">
        <f t="shared" si="27"/>
        <v>#N/A</v>
      </c>
      <c r="AC83" s="61" t="e">
        <f t="shared" si="28"/>
        <v>#N/A</v>
      </c>
      <c r="AD83" s="61" t="e">
        <f t="shared" si="29"/>
        <v>#N/A</v>
      </c>
      <c r="AE83" s="61" t="e">
        <f t="shared" si="32"/>
        <v>#N/A</v>
      </c>
      <c r="AF83" s="61">
        <f t="shared" si="33"/>
        <v>0</v>
      </c>
      <c r="AG83" s="61" t="e">
        <f t="shared" si="34"/>
        <v>#N/A</v>
      </c>
      <c r="AH83" s="61" t="e">
        <f t="shared" si="35"/>
        <v>#N/A</v>
      </c>
      <c r="AI83" s="61" t="e">
        <f t="shared" si="36"/>
        <v>#N/A</v>
      </c>
      <c r="AJ83" s="61" t="e">
        <f t="shared" si="37"/>
        <v>#N/A</v>
      </c>
      <c r="AK83" s="61" t="e">
        <f t="shared" si="38"/>
        <v>#N/A</v>
      </c>
      <c r="AL83" s="61" t="e">
        <f t="shared" si="39"/>
        <v>#N/A</v>
      </c>
      <c r="AM83" s="61" t="e">
        <f t="shared" si="40"/>
        <v>#N/A</v>
      </c>
      <c r="AN83" s="61" t="e">
        <f t="shared" si="41"/>
        <v>#N/A</v>
      </c>
      <c r="AO83" s="61" t="e">
        <f t="shared" si="42"/>
        <v>#N/A</v>
      </c>
      <c r="AP83" s="61" t="e">
        <f t="shared" si="43"/>
        <v>#N/A</v>
      </c>
      <c r="AQ83" s="61" t="e">
        <f t="shared" si="44"/>
        <v>#N/A</v>
      </c>
      <c r="AR83" s="61" t="e">
        <f t="shared" si="45"/>
        <v>#N/A</v>
      </c>
      <c r="AS83" s="61" t="e">
        <f t="shared" ca="1" si="46"/>
        <v>#N/A</v>
      </c>
      <c r="AT83" s="61" t="e">
        <f t="shared" ca="1" si="47"/>
        <v>#N/A</v>
      </c>
      <c r="AU83" s="61" t="e">
        <f t="shared" si="30"/>
        <v>#N/A</v>
      </c>
      <c r="AV83" s="61" t="e">
        <f t="shared" si="48"/>
        <v>#N/A</v>
      </c>
      <c r="AW83" s="61" t="e">
        <f t="shared" si="49"/>
        <v>#N/A</v>
      </c>
      <c r="AX83" s="61" t="e">
        <f t="shared" si="50"/>
        <v>#N/A</v>
      </c>
      <c r="AY83" s="74" t="e">
        <f t="shared" ca="1" si="52"/>
        <v>#N/A</v>
      </c>
      <c r="AZ83" s="74" t="e">
        <f t="shared" ca="1" si="53"/>
        <v>#N/A</v>
      </c>
      <c r="BA83" s="74" t="e">
        <f t="shared" ca="1" si="54"/>
        <v>#N/A</v>
      </c>
      <c r="BB83" s="74" t="e">
        <f t="shared" ca="1" si="55"/>
        <v>#N/A</v>
      </c>
      <c r="BC83" s="74" t="e">
        <f t="shared" ca="1" si="56"/>
        <v>#N/A</v>
      </c>
      <c r="BD83" s="74" t="e">
        <f t="shared" ca="1" si="57"/>
        <v>#N/A</v>
      </c>
      <c r="BE83" s="49" t="e">
        <f t="shared" ca="1" si="58"/>
        <v>#N/A</v>
      </c>
      <c r="BF83" s="49" t="e">
        <f t="shared" ca="1" si="10"/>
        <v>#N/A</v>
      </c>
      <c r="BG83" s="49" t="e">
        <f t="shared" ca="1" si="59"/>
        <v>#N/A</v>
      </c>
      <c r="BH83" s="49" t="e">
        <f t="shared" ca="1" si="11"/>
        <v>#N/A</v>
      </c>
      <c r="BI83" s="49">
        <f t="shared" si="8"/>
        <v>0</v>
      </c>
      <c r="BJ83" s="49" t="e">
        <f t="shared" ca="1" si="12"/>
        <v>#N/A</v>
      </c>
      <c r="BK83" s="71" t="e">
        <f t="shared" ca="1" si="13"/>
        <v>#N/A</v>
      </c>
      <c r="BL83" s="71" t="e">
        <f t="shared" ca="1" si="14"/>
        <v>#N/A</v>
      </c>
      <c r="BM83" s="71" t="e">
        <f t="shared" ca="1" si="15"/>
        <v>#N/A</v>
      </c>
      <c r="BN83" s="71" t="e">
        <f t="shared" ca="1" si="16"/>
        <v>#N/A</v>
      </c>
      <c r="BO83" s="75" t="e">
        <f t="shared" ca="1" si="60"/>
        <v>#N/A</v>
      </c>
      <c r="BP83" s="49" t="e">
        <f t="shared" ca="1" si="17"/>
        <v>#N/A</v>
      </c>
      <c r="BQ83" s="49" t="e">
        <f t="shared" ca="1" si="18"/>
        <v>#N/A</v>
      </c>
      <c r="BR83" s="49" t="e">
        <f t="shared" ca="1" si="19"/>
        <v>#N/A</v>
      </c>
      <c r="BS83" s="49" t="e">
        <f t="shared" ca="1" si="20"/>
        <v>#N/A</v>
      </c>
      <c r="BT83" s="49" t="e">
        <f t="shared" ca="1" si="21"/>
        <v>#N/A</v>
      </c>
      <c r="BU83" s="49" t="e">
        <f t="shared" ca="1" si="22"/>
        <v>#N/A</v>
      </c>
      <c r="BV83" s="49" t="e">
        <f t="shared" ca="1" si="23"/>
        <v>#N/A</v>
      </c>
    </row>
    <row r="84" spans="1:74" x14ac:dyDescent="0.3">
      <c r="A84" s="47"/>
      <c r="B84" s="48"/>
      <c r="C84" s="47" t="s">
        <v>319</v>
      </c>
      <c r="D84" s="58">
        <f>18+5*D27+IF(D27&lt;100,-5,0)+IF(D27&lt;60,-5,0)</f>
        <v>8</v>
      </c>
      <c r="E84" s="93" t="s">
        <v>325</v>
      </c>
      <c r="F84" s="49" t="e">
        <f ca="1">ROUNDDOWN(F82*(F$81+100)/100,)</f>
        <v>#DIV/0!</v>
      </c>
      <c r="G84" s="93" t="s">
        <v>325</v>
      </c>
      <c r="H84" s="94" t="e">
        <f ca="1">ROUNDDOWN(H82*(H$81+100)/100,)</f>
        <v>#DIV/0!</v>
      </c>
      <c r="I84" s="62" t="s">
        <v>325</v>
      </c>
      <c r="J84" s="94" t="e">
        <f ca="1">ROUNDDOWN(J82*(J$81+100)/100,)</f>
        <v>#DIV/0!</v>
      </c>
      <c r="K84" s="47" t="s">
        <v>329</v>
      </c>
      <c r="L84" s="48" t="e">
        <f ca="1">F93</f>
        <v>#DIV/0!</v>
      </c>
      <c r="M84" s="48" t="e">
        <f ca="1">F81</f>
        <v>#DIV/0!</v>
      </c>
      <c r="N84" s="58" t="e">
        <f ca="1">F90</f>
        <v>#DIV/0!</v>
      </c>
      <c r="O84" s="48"/>
      <c r="P84" s="48"/>
      <c r="Q84" s="48"/>
      <c r="R84" s="48"/>
      <c r="S84" s="48"/>
      <c r="T84" s="48"/>
      <c r="U84" s="48"/>
      <c r="V84" s="48"/>
      <c r="W84" s="80">
        <v>197</v>
      </c>
      <c r="X84" s="73">
        <v>314</v>
      </c>
      <c r="Y84" s="48" t="e">
        <f t="shared" si="25"/>
        <v>#N/A</v>
      </c>
      <c r="Z84" s="61" t="e">
        <f t="shared" si="26"/>
        <v>#N/A</v>
      </c>
      <c r="AA84" s="61" t="e">
        <f t="shared" si="31"/>
        <v>#N/A</v>
      </c>
      <c r="AB84" s="61" t="e">
        <f t="shared" si="27"/>
        <v>#N/A</v>
      </c>
      <c r="AC84" s="61" t="e">
        <f t="shared" si="28"/>
        <v>#N/A</v>
      </c>
      <c r="AD84" s="61" t="e">
        <f t="shared" si="29"/>
        <v>#N/A</v>
      </c>
      <c r="AE84" s="61" t="e">
        <f t="shared" si="32"/>
        <v>#N/A</v>
      </c>
      <c r="AF84" s="61">
        <f t="shared" si="33"/>
        <v>0</v>
      </c>
      <c r="AG84" s="61" t="e">
        <f t="shared" si="34"/>
        <v>#N/A</v>
      </c>
      <c r="AH84" s="61" t="e">
        <f t="shared" si="35"/>
        <v>#N/A</v>
      </c>
      <c r="AI84" s="61" t="e">
        <f t="shared" si="36"/>
        <v>#N/A</v>
      </c>
      <c r="AJ84" s="61" t="e">
        <f t="shared" si="37"/>
        <v>#N/A</v>
      </c>
      <c r="AK84" s="61" t="e">
        <f t="shared" si="38"/>
        <v>#N/A</v>
      </c>
      <c r="AL84" s="61" t="e">
        <f t="shared" si="39"/>
        <v>#N/A</v>
      </c>
      <c r="AM84" s="61" t="e">
        <f t="shared" si="40"/>
        <v>#N/A</v>
      </c>
      <c r="AN84" s="61" t="e">
        <f t="shared" si="41"/>
        <v>#N/A</v>
      </c>
      <c r="AO84" s="61" t="e">
        <f t="shared" si="42"/>
        <v>#N/A</v>
      </c>
      <c r="AP84" s="61" t="e">
        <f t="shared" si="43"/>
        <v>#N/A</v>
      </c>
      <c r="AQ84" s="61" t="e">
        <f t="shared" si="44"/>
        <v>#N/A</v>
      </c>
      <c r="AR84" s="61" t="e">
        <f t="shared" si="45"/>
        <v>#N/A</v>
      </c>
      <c r="AS84" s="61" t="e">
        <f t="shared" ca="1" si="46"/>
        <v>#N/A</v>
      </c>
      <c r="AT84" s="61" t="e">
        <f t="shared" ca="1" si="47"/>
        <v>#N/A</v>
      </c>
      <c r="AU84" s="61" t="e">
        <f t="shared" si="30"/>
        <v>#N/A</v>
      </c>
      <c r="AV84" s="61" t="e">
        <f t="shared" si="48"/>
        <v>#N/A</v>
      </c>
      <c r="AW84" s="61" t="e">
        <f t="shared" si="49"/>
        <v>#N/A</v>
      </c>
      <c r="AX84" s="61" t="e">
        <f t="shared" si="50"/>
        <v>#N/A</v>
      </c>
      <c r="AY84" s="74" t="e">
        <f t="shared" ca="1" si="52"/>
        <v>#N/A</v>
      </c>
      <c r="AZ84" s="74" t="e">
        <f t="shared" ca="1" si="53"/>
        <v>#N/A</v>
      </c>
      <c r="BA84" s="74" t="e">
        <f t="shared" ca="1" si="54"/>
        <v>#N/A</v>
      </c>
      <c r="BB84" s="74" t="e">
        <f t="shared" ca="1" si="55"/>
        <v>#N/A</v>
      </c>
      <c r="BC84" s="74" t="e">
        <f t="shared" ca="1" si="56"/>
        <v>#N/A</v>
      </c>
      <c r="BD84" s="74" t="e">
        <f t="shared" ca="1" si="57"/>
        <v>#N/A</v>
      </c>
      <c r="BE84" s="49" t="e">
        <f t="shared" ca="1" si="58"/>
        <v>#N/A</v>
      </c>
      <c r="BF84" s="49" t="e">
        <f t="shared" ca="1" si="10"/>
        <v>#N/A</v>
      </c>
      <c r="BG84" s="49" t="e">
        <f t="shared" ca="1" si="59"/>
        <v>#N/A</v>
      </c>
      <c r="BH84" s="49" t="e">
        <f t="shared" ca="1" si="11"/>
        <v>#N/A</v>
      </c>
      <c r="BI84" s="49">
        <f t="shared" si="8"/>
        <v>0</v>
      </c>
      <c r="BJ84" s="49" t="e">
        <f t="shared" ca="1" si="12"/>
        <v>#N/A</v>
      </c>
      <c r="BK84" s="71" t="e">
        <f t="shared" ca="1" si="13"/>
        <v>#N/A</v>
      </c>
      <c r="BL84" s="71" t="e">
        <f t="shared" ca="1" si="14"/>
        <v>#N/A</v>
      </c>
      <c r="BM84" s="71" t="e">
        <f t="shared" ca="1" si="15"/>
        <v>#N/A</v>
      </c>
      <c r="BN84" s="71" t="e">
        <f t="shared" ca="1" si="16"/>
        <v>#N/A</v>
      </c>
      <c r="BO84" s="75" t="e">
        <f t="shared" ca="1" si="60"/>
        <v>#N/A</v>
      </c>
      <c r="BP84" s="49" t="e">
        <f t="shared" ca="1" si="17"/>
        <v>#N/A</v>
      </c>
      <c r="BQ84" s="49" t="e">
        <f t="shared" ca="1" si="18"/>
        <v>#N/A</v>
      </c>
      <c r="BR84" s="49" t="e">
        <f t="shared" ca="1" si="19"/>
        <v>#N/A</v>
      </c>
      <c r="BS84" s="49" t="e">
        <f t="shared" ca="1" si="20"/>
        <v>#N/A</v>
      </c>
      <c r="BT84" s="49" t="e">
        <f t="shared" ca="1" si="21"/>
        <v>#N/A</v>
      </c>
      <c r="BU84" s="49" t="e">
        <f t="shared" ca="1" si="22"/>
        <v>#N/A</v>
      </c>
      <c r="BV84" s="49" t="e">
        <f t="shared" ca="1" si="23"/>
        <v>#N/A</v>
      </c>
    </row>
    <row r="85" spans="1:74" ht="17.25" thickBot="1" x14ac:dyDescent="0.35">
      <c r="A85" s="47"/>
      <c r="B85" s="48"/>
      <c r="C85" s="47" t="s">
        <v>318</v>
      </c>
      <c r="D85" s="58">
        <f ca="1">D81-D82</f>
        <v>0</v>
      </c>
      <c r="E85" s="93" t="s">
        <v>326</v>
      </c>
      <c r="F85" s="49" t="e">
        <f ca="1">IF(AND(F83=$D$81,F84=$D$82),1,0)</f>
        <v>#DIV/0!</v>
      </c>
      <c r="G85" s="93" t="s">
        <v>326</v>
      </c>
      <c r="H85" s="94" t="e">
        <f ca="1">IF(AND(H83=$D$81,H84=$D$82),1,0)</f>
        <v>#DIV/0!</v>
      </c>
      <c r="I85" s="62" t="s">
        <v>326</v>
      </c>
      <c r="J85" s="94" t="e">
        <f ca="1">IF(AND(J83=$D$81,J84=$D$82),1,0)</f>
        <v>#DIV/0!</v>
      </c>
      <c r="K85" s="47" t="s">
        <v>330</v>
      </c>
      <c r="L85" s="48" t="e">
        <f ca="1">H85</f>
        <v>#DIV/0!</v>
      </c>
      <c r="M85" s="48" t="e">
        <f ca="1">H81</f>
        <v>#DIV/0!</v>
      </c>
      <c r="N85" s="58" t="e">
        <f ca="1">H82</f>
        <v>#DIV/0!</v>
      </c>
      <c r="O85" s="48"/>
      <c r="P85" s="48"/>
      <c r="Q85" s="48"/>
      <c r="R85" s="48"/>
      <c r="S85" s="48"/>
      <c r="T85" s="48"/>
      <c r="U85" s="48"/>
      <c r="V85" s="48"/>
      <c r="W85" s="80">
        <v>198</v>
      </c>
      <c r="X85" s="73">
        <v>322</v>
      </c>
      <c r="Y85" s="48" t="e">
        <f t="shared" si="25"/>
        <v>#N/A</v>
      </c>
      <c r="Z85" s="61" t="e">
        <f t="shared" si="26"/>
        <v>#N/A</v>
      </c>
      <c r="AA85" s="61" t="e">
        <f t="shared" si="31"/>
        <v>#N/A</v>
      </c>
      <c r="AB85" s="61" t="e">
        <f t="shared" si="27"/>
        <v>#N/A</v>
      </c>
      <c r="AC85" s="61" t="e">
        <f t="shared" si="28"/>
        <v>#N/A</v>
      </c>
      <c r="AD85" s="61" t="e">
        <f t="shared" si="29"/>
        <v>#N/A</v>
      </c>
      <c r="AE85" s="61" t="e">
        <f t="shared" si="32"/>
        <v>#N/A</v>
      </c>
      <c r="AF85" s="61">
        <f t="shared" si="33"/>
        <v>0</v>
      </c>
      <c r="AG85" s="61" t="e">
        <f t="shared" si="34"/>
        <v>#N/A</v>
      </c>
      <c r="AH85" s="61" t="e">
        <f t="shared" si="35"/>
        <v>#N/A</v>
      </c>
      <c r="AI85" s="61" t="e">
        <f t="shared" si="36"/>
        <v>#N/A</v>
      </c>
      <c r="AJ85" s="61" t="e">
        <f t="shared" si="37"/>
        <v>#N/A</v>
      </c>
      <c r="AK85" s="61" t="e">
        <f t="shared" si="38"/>
        <v>#N/A</v>
      </c>
      <c r="AL85" s="61" t="e">
        <f t="shared" si="39"/>
        <v>#N/A</v>
      </c>
      <c r="AM85" s="61" t="e">
        <f t="shared" si="40"/>
        <v>#N/A</v>
      </c>
      <c r="AN85" s="61" t="e">
        <f t="shared" si="41"/>
        <v>#N/A</v>
      </c>
      <c r="AO85" s="61" t="e">
        <f t="shared" si="42"/>
        <v>#N/A</v>
      </c>
      <c r="AP85" s="61" t="e">
        <f t="shared" si="43"/>
        <v>#N/A</v>
      </c>
      <c r="AQ85" s="61" t="e">
        <f t="shared" si="44"/>
        <v>#N/A</v>
      </c>
      <c r="AR85" s="61" t="e">
        <f t="shared" si="45"/>
        <v>#N/A</v>
      </c>
      <c r="AS85" s="61" t="e">
        <f t="shared" ca="1" si="46"/>
        <v>#N/A</v>
      </c>
      <c r="AT85" s="61" t="e">
        <f t="shared" ca="1" si="47"/>
        <v>#N/A</v>
      </c>
      <c r="AU85" s="61" t="e">
        <f t="shared" si="30"/>
        <v>#N/A</v>
      </c>
      <c r="AV85" s="61" t="e">
        <f t="shared" si="48"/>
        <v>#N/A</v>
      </c>
      <c r="AW85" s="61" t="e">
        <f t="shared" si="49"/>
        <v>#N/A</v>
      </c>
      <c r="AX85" s="61" t="e">
        <f t="shared" si="50"/>
        <v>#N/A</v>
      </c>
      <c r="AY85" s="74" t="e">
        <f t="shared" ca="1" si="52"/>
        <v>#N/A</v>
      </c>
      <c r="AZ85" s="74" t="e">
        <f t="shared" ca="1" si="53"/>
        <v>#N/A</v>
      </c>
      <c r="BA85" s="74" t="e">
        <f t="shared" ca="1" si="54"/>
        <v>#N/A</v>
      </c>
      <c r="BB85" s="74" t="e">
        <f t="shared" ca="1" si="55"/>
        <v>#N/A</v>
      </c>
      <c r="BC85" s="74" t="e">
        <f t="shared" ca="1" si="56"/>
        <v>#N/A</v>
      </c>
      <c r="BD85" s="74" t="e">
        <f t="shared" ca="1" si="57"/>
        <v>#N/A</v>
      </c>
      <c r="BE85" s="49" t="e">
        <f t="shared" ca="1" si="58"/>
        <v>#N/A</v>
      </c>
      <c r="BF85" s="49" t="e">
        <f t="shared" ca="1" si="10"/>
        <v>#N/A</v>
      </c>
      <c r="BG85" s="49" t="e">
        <f t="shared" ca="1" si="59"/>
        <v>#N/A</v>
      </c>
      <c r="BH85" s="49" t="e">
        <f t="shared" ca="1" si="11"/>
        <v>#N/A</v>
      </c>
      <c r="BI85" s="49">
        <f t="shared" si="8"/>
        <v>0</v>
      </c>
      <c r="BJ85" s="49" t="e">
        <f t="shared" ca="1" si="12"/>
        <v>#N/A</v>
      </c>
      <c r="BK85" s="71" t="e">
        <f t="shared" ca="1" si="13"/>
        <v>#N/A</v>
      </c>
      <c r="BL85" s="71" t="e">
        <f t="shared" ca="1" si="14"/>
        <v>#N/A</v>
      </c>
      <c r="BM85" s="71" t="e">
        <f t="shared" ca="1" si="15"/>
        <v>#N/A</v>
      </c>
      <c r="BN85" s="71" t="e">
        <f t="shared" ca="1" si="16"/>
        <v>#N/A</v>
      </c>
      <c r="BO85" s="75" t="e">
        <f t="shared" ca="1" si="60"/>
        <v>#N/A</v>
      </c>
      <c r="BP85" s="49" t="e">
        <f t="shared" ca="1" si="17"/>
        <v>#N/A</v>
      </c>
      <c r="BQ85" s="49" t="e">
        <f t="shared" ca="1" si="18"/>
        <v>#N/A</v>
      </c>
      <c r="BR85" s="49" t="e">
        <f t="shared" ca="1" si="19"/>
        <v>#N/A</v>
      </c>
      <c r="BS85" s="49" t="e">
        <f t="shared" ca="1" si="20"/>
        <v>#N/A</v>
      </c>
      <c r="BT85" s="49" t="e">
        <f t="shared" ca="1" si="21"/>
        <v>#N/A</v>
      </c>
      <c r="BU85" s="49" t="e">
        <f t="shared" ca="1" si="22"/>
        <v>#N/A</v>
      </c>
      <c r="BV85" s="49" t="e">
        <f t="shared" ca="1" si="23"/>
        <v>#N/A</v>
      </c>
    </row>
    <row r="86" spans="1:74" x14ac:dyDescent="0.3">
      <c r="A86" s="47"/>
      <c r="B86" s="48"/>
      <c r="C86" s="47" t="s">
        <v>317</v>
      </c>
      <c r="D86" s="58">
        <f>ROUNDDOWN(D83*D84/100,)</f>
        <v>0</v>
      </c>
      <c r="E86" s="43" t="s">
        <v>321</v>
      </c>
      <c r="F86" s="44" t="e">
        <f ca="1">ROUND($D$82/(F81+100)*100,)</f>
        <v>#DIV/0!</v>
      </c>
      <c r="G86" s="43" t="s">
        <v>321</v>
      </c>
      <c r="H86" s="57" t="e">
        <f ca="1">ROUND($D$82/(H81+100)*100,)</f>
        <v>#DIV/0!</v>
      </c>
      <c r="I86" s="44" t="s">
        <v>321</v>
      </c>
      <c r="J86" s="57" t="e">
        <f ca="1">ROUND($D$82/(J81+100)*100,)</f>
        <v>#DIV/0!</v>
      </c>
      <c r="K86" s="47" t="s">
        <v>331</v>
      </c>
      <c r="L86" s="48" t="e">
        <f ca="1">H89</f>
        <v>#DIV/0!</v>
      </c>
      <c r="M86" s="48" t="e">
        <f ca="1">H81</f>
        <v>#DIV/0!</v>
      </c>
      <c r="N86" s="58" t="e">
        <f ca="1">H86</f>
        <v>#DIV/0!</v>
      </c>
      <c r="O86" s="48"/>
      <c r="P86" s="48"/>
      <c r="Q86" s="48"/>
      <c r="R86" s="48"/>
      <c r="S86" s="48"/>
      <c r="T86" s="48"/>
      <c r="U86" s="48"/>
      <c r="V86" s="48"/>
      <c r="W86" s="80">
        <v>199</v>
      </c>
      <c r="X86" s="73">
        <v>330</v>
      </c>
      <c r="Y86" s="48" t="e">
        <f t="shared" si="25"/>
        <v>#N/A</v>
      </c>
      <c r="Z86" s="61" t="e">
        <f t="shared" si="26"/>
        <v>#N/A</v>
      </c>
      <c r="AA86" s="61" t="e">
        <f t="shared" si="31"/>
        <v>#N/A</v>
      </c>
      <c r="AB86" s="61" t="e">
        <f t="shared" si="27"/>
        <v>#N/A</v>
      </c>
      <c r="AC86" s="61" t="e">
        <f t="shared" si="28"/>
        <v>#N/A</v>
      </c>
      <c r="AD86" s="61" t="e">
        <f t="shared" si="29"/>
        <v>#N/A</v>
      </c>
      <c r="AE86" s="61" t="e">
        <f t="shared" si="32"/>
        <v>#N/A</v>
      </c>
      <c r="AF86" s="61">
        <f t="shared" si="33"/>
        <v>0</v>
      </c>
      <c r="AG86" s="61" t="e">
        <f t="shared" si="34"/>
        <v>#N/A</v>
      </c>
      <c r="AH86" s="61" t="e">
        <f t="shared" si="35"/>
        <v>#N/A</v>
      </c>
      <c r="AI86" s="61" t="e">
        <f t="shared" si="36"/>
        <v>#N/A</v>
      </c>
      <c r="AJ86" s="61" t="e">
        <f t="shared" si="37"/>
        <v>#N/A</v>
      </c>
      <c r="AK86" s="61" t="e">
        <f t="shared" si="38"/>
        <v>#N/A</v>
      </c>
      <c r="AL86" s="61" t="e">
        <f t="shared" si="39"/>
        <v>#N/A</v>
      </c>
      <c r="AM86" s="61" t="e">
        <f t="shared" si="40"/>
        <v>#N/A</v>
      </c>
      <c r="AN86" s="61" t="e">
        <f t="shared" si="41"/>
        <v>#N/A</v>
      </c>
      <c r="AO86" s="61" t="e">
        <f t="shared" si="42"/>
        <v>#N/A</v>
      </c>
      <c r="AP86" s="61" t="e">
        <f t="shared" si="43"/>
        <v>#N/A</v>
      </c>
      <c r="AQ86" s="61" t="e">
        <f t="shared" si="44"/>
        <v>#N/A</v>
      </c>
      <c r="AR86" s="61" t="e">
        <f t="shared" si="45"/>
        <v>#N/A</v>
      </c>
      <c r="AS86" s="61" t="e">
        <f t="shared" ca="1" si="46"/>
        <v>#N/A</v>
      </c>
      <c r="AT86" s="61" t="e">
        <f t="shared" ca="1" si="47"/>
        <v>#N/A</v>
      </c>
      <c r="AU86" s="61" t="e">
        <f t="shared" si="30"/>
        <v>#N/A</v>
      </c>
      <c r="AV86" s="61" t="e">
        <f t="shared" si="48"/>
        <v>#N/A</v>
      </c>
      <c r="AW86" s="61" t="e">
        <f t="shared" si="49"/>
        <v>#N/A</v>
      </c>
      <c r="AX86" s="61" t="e">
        <f t="shared" si="50"/>
        <v>#N/A</v>
      </c>
      <c r="AY86" s="74" t="e">
        <f t="shared" ca="1" si="52"/>
        <v>#N/A</v>
      </c>
      <c r="AZ86" s="74" t="e">
        <f t="shared" ca="1" si="53"/>
        <v>#N/A</v>
      </c>
      <c r="BA86" s="74" t="e">
        <f t="shared" ca="1" si="54"/>
        <v>#N/A</v>
      </c>
      <c r="BB86" s="74" t="e">
        <f t="shared" ca="1" si="55"/>
        <v>#N/A</v>
      </c>
      <c r="BC86" s="74" t="e">
        <f t="shared" ca="1" si="56"/>
        <v>#N/A</v>
      </c>
      <c r="BD86" s="74" t="e">
        <f t="shared" ca="1" si="57"/>
        <v>#N/A</v>
      </c>
      <c r="BE86" s="49" t="e">
        <f t="shared" ca="1" si="58"/>
        <v>#N/A</v>
      </c>
      <c r="BF86" s="49" t="e">
        <f t="shared" ca="1" si="10"/>
        <v>#N/A</v>
      </c>
      <c r="BG86" s="49" t="e">
        <f t="shared" ca="1" si="59"/>
        <v>#N/A</v>
      </c>
      <c r="BH86" s="49" t="e">
        <f t="shared" ca="1" si="11"/>
        <v>#N/A</v>
      </c>
      <c r="BI86" s="49">
        <f t="shared" si="8"/>
        <v>0</v>
      </c>
      <c r="BJ86" s="49" t="e">
        <f t="shared" ca="1" si="12"/>
        <v>#N/A</v>
      </c>
      <c r="BK86" s="71" t="e">
        <f t="shared" ca="1" si="13"/>
        <v>#N/A</v>
      </c>
      <c r="BL86" s="71" t="e">
        <f t="shared" ca="1" si="14"/>
        <v>#N/A</v>
      </c>
      <c r="BM86" s="71" t="e">
        <f t="shared" ca="1" si="15"/>
        <v>#N/A</v>
      </c>
      <c r="BN86" s="71" t="e">
        <f t="shared" ca="1" si="16"/>
        <v>#N/A</v>
      </c>
      <c r="BO86" s="75" t="e">
        <f t="shared" ca="1" si="60"/>
        <v>#N/A</v>
      </c>
      <c r="BP86" s="49" t="e">
        <f t="shared" ca="1" si="17"/>
        <v>#N/A</v>
      </c>
      <c r="BQ86" s="49" t="e">
        <f t="shared" ca="1" si="18"/>
        <v>#N/A</v>
      </c>
      <c r="BR86" s="49" t="e">
        <f t="shared" ca="1" si="19"/>
        <v>#N/A</v>
      </c>
      <c r="BS86" s="49" t="e">
        <f t="shared" ca="1" si="20"/>
        <v>#N/A</v>
      </c>
      <c r="BT86" s="49" t="e">
        <f t="shared" ca="1" si="21"/>
        <v>#N/A</v>
      </c>
      <c r="BU86" s="49" t="e">
        <f t="shared" ca="1" si="22"/>
        <v>#N/A</v>
      </c>
      <c r="BV86" s="49" t="e">
        <f t="shared" ca="1" si="23"/>
        <v>#N/A</v>
      </c>
    </row>
    <row r="87" spans="1:74" x14ac:dyDescent="0.3">
      <c r="A87" s="47"/>
      <c r="B87" s="48"/>
      <c r="C87" s="83"/>
      <c r="D87" s="94"/>
      <c r="E87" s="93" t="s">
        <v>324</v>
      </c>
      <c r="F87" s="49" t="e">
        <f ca="1">ROUNDDOWN((F86+$D$86)*(F$81+100)/100,)</f>
        <v>#DIV/0!</v>
      </c>
      <c r="G87" s="93" t="s">
        <v>324</v>
      </c>
      <c r="H87" s="94" t="e">
        <f ca="1">ROUNDDOWN((H86+$D$86)*(H$81+100)/100,)</f>
        <v>#DIV/0!</v>
      </c>
      <c r="I87" s="62" t="s">
        <v>324</v>
      </c>
      <c r="J87" s="94" t="e">
        <f ca="1">ROUNDDOWN((J86+$D$86)*(J$81+100)/100,)</f>
        <v>#DIV/0!</v>
      </c>
      <c r="K87" s="47" t="s">
        <v>332</v>
      </c>
      <c r="L87" s="48" t="e">
        <f ca="1">H93</f>
        <v>#DIV/0!</v>
      </c>
      <c r="M87" s="48" t="e">
        <f ca="1">H81</f>
        <v>#DIV/0!</v>
      </c>
      <c r="N87" s="58" t="e">
        <f ca="1">H90</f>
        <v>#DIV/0!</v>
      </c>
      <c r="O87" s="48"/>
      <c r="P87" s="48"/>
      <c r="Q87" s="48"/>
      <c r="R87" s="48"/>
      <c r="S87" s="48"/>
      <c r="T87" s="48"/>
      <c r="U87" s="48"/>
      <c r="V87" s="48"/>
      <c r="W87" s="80">
        <v>200</v>
      </c>
      <c r="X87" s="73">
        <v>339</v>
      </c>
      <c r="Y87" s="48" t="e">
        <f t="shared" si="25"/>
        <v>#N/A</v>
      </c>
      <c r="Z87" s="61" t="e">
        <f t="shared" si="26"/>
        <v>#N/A</v>
      </c>
      <c r="AA87" s="61" t="e">
        <f t="shared" si="31"/>
        <v>#N/A</v>
      </c>
      <c r="AB87" s="61" t="e">
        <f t="shared" si="27"/>
        <v>#N/A</v>
      </c>
      <c r="AC87" s="61" t="e">
        <f t="shared" si="28"/>
        <v>#N/A</v>
      </c>
      <c r="AD87" s="61" t="e">
        <f t="shared" si="29"/>
        <v>#N/A</v>
      </c>
      <c r="AE87" s="61" t="e">
        <f t="shared" si="32"/>
        <v>#N/A</v>
      </c>
      <c r="AF87" s="61">
        <f t="shared" si="33"/>
        <v>0</v>
      </c>
      <c r="AG87" s="61" t="e">
        <f t="shared" si="34"/>
        <v>#N/A</v>
      </c>
      <c r="AH87" s="61" t="e">
        <f t="shared" si="35"/>
        <v>#N/A</v>
      </c>
      <c r="AI87" s="61" t="e">
        <f t="shared" si="36"/>
        <v>#N/A</v>
      </c>
      <c r="AJ87" s="61" t="e">
        <f t="shared" si="37"/>
        <v>#N/A</v>
      </c>
      <c r="AK87" s="61" t="e">
        <f t="shared" si="38"/>
        <v>#N/A</v>
      </c>
      <c r="AL87" s="61" t="e">
        <f t="shared" si="39"/>
        <v>#N/A</v>
      </c>
      <c r="AM87" s="61" t="e">
        <f t="shared" si="40"/>
        <v>#N/A</v>
      </c>
      <c r="AN87" s="61" t="e">
        <f t="shared" si="41"/>
        <v>#N/A</v>
      </c>
      <c r="AO87" s="61" t="e">
        <f t="shared" si="42"/>
        <v>#N/A</v>
      </c>
      <c r="AP87" s="61" t="e">
        <f t="shared" si="43"/>
        <v>#N/A</v>
      </c>
      <c r="AQ87" s="61" t="e">
        <f t="shared" si="44"/>
        <v>#N/A</v>
      </c>
      <c r="AR87" s="61" t="e">
        <f t="shared" si="45"/>
        <v>#N/A</v>
      </c>
      <c r="AS87" s="61" t="e">
        <f t="shared" ca="1" si="46"/>
        <v>#N/A</v>
      </c>
      <c r="AT87" s="61" t="e">
        <f t="shared" ca="1" si="47"/>
        <v>#N/A</v>
      </c>
      <c r="AU87" s="61" t="e">
        <f t="shared" si="30"/>
        <v>#N/A</v>
      </c>
      <c r="AV87" s="61" t="e">
        <f t="shared" si="48"/>
        <v>#N/A</v>
      </c>
      <c r="AW87" s="61" t="e">
        <f t="shared" si="49"/>
        <v>#N/A</v>
      </c>
      <c r="AX87" s="61" t="e">
        <f t="shared" si="50"/>
        <v>#N/A</v>
      </c>
      <c r="AY87" s="74" t="e">
        <f t="shared" ca="1" si="52"/>
        <v>#N/A</v>
      </c>
      <c r="AZ87" s="74" t="e">
        <f t="shared" ca="1" si="53"/>
        <v>#N/A</v>
      </c>
      <c r="BA87" s="74" t="e">
        <f t="shared" ca="1" si="54"/>
        <v>#N/A</v>
      </c>
      <c r="BB87" s="74" t="e">
        <f t="shared" ca="1" si="55"/>
        <v>#N/A</v>
      </c>
      <c r="BC87" s="74" t="e">
        <f t="shared" ca="1" si="56"/>
        <v>#N/A</v>
      </c>
      <c r="BD87" s="74" t="e">
        <f t="shared" ca="1" si="57"/>
        <v>#N/A</v>
      </c>
      <c r="BE87" s="49" t="e">
        <f t="shared" ca="1" si="58"/>
        <v>#N/A</v>
      </c>
      <c r="BF87" s="49" t="e">
        <f t="shared" ca="1" si="10"/>
        <v>#N/A</v>
      </c>
      <c r="BG87" s="49" t="e">
        <f t="shared" ca="1" si="59"/>
        <v>#N/A</v>
      </c>
      <c r="BH87" s="49" t="e">
        <f t="shared" ca="1" si="11"/>
        <v>#N/A</v>
      </c>
      <c r="BI87" s="49">
        <f t="shared" si="8"/>
        <v>0</v>
      </c>
      <c r="BJ87" s="49" t="e">
        <f t="shared" ca="1" si="12"/>
        <v>#N/A</v>
      </c>
      <c r="BK87" s="71" t="e">
        <f t="shared" ca="1" si="13"/>
        <v>#N/A</v>
      </c>
      <c r="BL87" s="71" t="e">
        <f t="shared" ca="1" si="14"/>
        <v>#N/A</v>
      </c>
      <c r="BM87" s="71" t="e">
        <f t="shared" ca="1" si="15"/>
        <v>#N/A</v>
      </c>
      <c r="BN87" s="71" t="e">
        <f t="shared" ca="1" si="16"/>
        <v>#N/A</v>
      </c>
      <c r="BO87" s="75" t="e">
        <f t="shared" ca="1" si="60"/>
        <v>#N/A</v>
      </c>
      <c r="BP87" s="49" t="e">
        <f t="shared" ca="1" si="17"/>
        <v>#N/A</v>
      </c>
      <c r="BQ87" s="49" t="e">
        <f t="shared" ca="1" si="18"/>
        <v>#N/A</v>
      </c>
      <c r="BR87" s="49" t="e">
        <f t="shared" ca="1" si="19"/>
        <v>#N/A</v>
      </c>
      <c r="BS87" s="49" t="e">
        <f t="shared" ca="1" si="20"/>
        <v>#N/A</v>
      </c>
      <c r="BT87" s="49" t="e">
        <f t="shared" ca="1" si="21"/>
        <v>#N/A</v>
      </c>
      <c r="BU87" s="49" t="e">
        <f t="shared" ca="1" si="22"/>
        <v>#N/A</v>
      </c>
      <c r="BV87" s="49" t="e">
        <f t="shared" ca="1" si="23"/>
        <v>#N/A</v>
      </c>
    </row>
    <row r="88" spans="1:74" x14ac:dyDescent="0.3">
      <c r="A88" s="47"/>
      <c r="B88" s="48"/>
      <c r="C88" s="93" t="s">
        <v>344</v>
      </c>
      <c r="D88" s="94">
        <f ca="1">N92+N93+D86</f>
        <v>0</v>
      </c>
      <c r="E88" s="93" t="s">
        <v>325</v>
      </c>
      <c r="F88" s="49" t="e">
        <f ca="1">ROUNDDOWN(F86*(F$81+100)/100,)</f>
        <v>#DIV/0!</v>
      </c>
      <c r="G88" s="93" t="s">
        <v>325</v>
      </c>
      <c r="H88" s="94" t="e">
        <f ca="1">ROUNDDOWN(H86*(H$81+100)/100,)</f>
        <v>#DIV/0!</v>
      </c>
      <c r="I88" s="62" t="s">
        <v>325</v>
      </c>
      <c r="J88" s="94" t="e">
        <f ca="1">ROUNDDOWN(J86*(J$81+100)/100,)</f>
        <v>#DIV/0!</v>
      </c>
      <c r="K88" s="47" t="s">
        <v>333</v>
      </c>
      <c r="L88" s="48" t="e">
        <f ca="1">J85</f>
        <v>#DIV/0!</v>
      </c>
      <c r="M88" s="48" t="e">
        <f ca="1">J81</f>
        <v>#DIV/0!</v>
      </c>
      <c r="N88" s="58" t="e">
        <f ca="1">J82</f>
        <v>#DIV/0!</v>
      </c>
      <c r="O88" s="48"/>
      <c r="P88" s="48"/>
      <c r="Q88" s="48"/>
      <c r="R88" s="48"/>
      <c r="S88" s="48"/>
      <c r="T88" s="48"/>
      <c r="U88" s="48"/>
      <c r="V88" s="48"/>
      <c r="W88" s="80">
        <v>201</v>
      </c>
      <c r="X88" s="73">
        <v>348</v>
      </c>
      <c r="Y88" s="48" t="e">
        <f t="shared" si="25"/>
        <v>#N/A</v>
      </c>
      <c r="Z88" s="61" t="e">
        <f t="shared" si="26"/>
        <v>#N/A</v>
      </c>
      <c r="AA88" s="61" t="e">
        <f t="shared" si="31"/>
        <v>#N/A</v>
      </c>
      <c r="AB88" s="61" t="e">
        <f t="shared" si="27"/>
        <v>#N/A</v>
      </c>
      <c r="AC88" s="61" t="e">
        <f t="shared" si="28"/>
        <v>#N/A</v>
      </c>
      <c r="AD88" s="61" t="e">
        <f t="shared" si="29"/>
        <v>#N/A</v>
      </c>
      <c r="AE88" s="61" t="e">
        <f t="shared" si="32"/>
        <v>#N/A</v>
      </c>
      <c r="AF88" s="61">
        <f t="shared" si="33"/>
        <v>0</v>
      </c>
      <c r="AG88" s="61" t="e">
        <f t="shared" si="34"/>
        <v>#N/A</v>
      </c>
      <c r="AH88" s="61" t="e">
        <f t="shared" si="35"/>
        <v>#N/A</v>
      </c>
      <c r="AI88" s="61" t="e">
        <f t="shared" si="36"/>
        <v>#N/A</v>
      </c>
      <c r="AJ88" s="61" t="e">
        <f t="shared" si="37"/>
        <v>#N/A</v>
      </c>
      <c r="AK88" s="61" t="e">
        <f t="shared" si="38"/>
        <v>#N/A</v>
      </c>
      <c r="AL88" s="61" t="e">
        <f t="shared" si="39"/>
        <v>#N/A</v>
      </c>
      <c r="AM88" s="61" t="e">
        <f t="shared" si="40"/>
        <v>#N/A</v>
      </c>
      <c r="AN88" s="61" t="e">
        <f t="shared" si="41"/>
        <v>#N/A</v>
      </c>
      <c r="AO88" s="61" t="e">
        <f t="shared" si="42"/>
        <v>#N/A</v>
      </c>
      <c r="AP88" s="61" t="e">
        <f t="shared" si="43"/>
        <v>#N/A</v>
      </c>
      <c r="AQ88" s="61" t="e">
        <f t="shared" si="44"/>
        <v>#N/A</v>
      </c>
      <c r="AR88" s="61" t="e">
        <f t="shared" si="45"/>
        <v>#N/A</v>
      </c>
      <c r="AS88" s="61" t="e">
        <f t="shared" ca="1" si="46"/>
        <v>#N/A</v>
      </c>
      <c r="AT88" s="61" t="e">
        <f t="shared" ca="1" si="47"/>
        <v>#N/A</v>
      </c>
      <c r="AU88" s="61" t="e">
        <f t="shared" si="30"/>
        <v>#N/A</v>
      </c>
      <c r="AV88" s="61" t="e">
        <f t="shared" si="48"/>
        <v>#N/A</v>
      </c>
      <c r="AW88" s="61" t="e">
        <f t="shared" si="49"/>
        <v>#N/A</v>
      </c>
      <c r="AX88" s="61" t="e">
        <f t="shared" si="50"/>
        <v>#N/A</v>
      </c>
      <c r="AY88" s="74" t="e">
        <f t="shared" ca="1" si="52"/>
        <v>#N/A</v>
      </c>
      <c r="AZ88" s="74" t="e">
        <f t="shared" ca="1" si="53"/>
        <v>#N/A</v>
      </c>
      <c r="BA88" s="74" t="e">
        <f t="shared" ca="1" si="54"/>
        <v>#N/A</v>
      </c>
      <c r="BB88" s="74" t="e">
        <f t="shared" ca="1" si="55"/>
        <v>#N/A</v>
      </c>
      <c r="BC88" s="74" t="e">
        <f t="shared" ca="1" si="56"/>
        <v>#N/A</v>
      </c>
      <c r="BD88" s="74" t="e">
        <f t="shared" ca="1" si="57"/>
        <v>#N/A</v>
      </c>
      <c r="BE88" s="49" t="e">
        <f t="shared" ca="1" si="58"/>
        <v>#N/A</v>
      </c>
      <c r="BF88" s="49" t="e">
        <f t="shared" ref="BF88:BF128" ca="1" si="63">IF(SUM(AY88:BE88)=0,0,MATCH(MAX(AY88:BE88),AY88:BE88,))</f>
        <v>#N/A</v>
      </c>
      <c r="BG88" s="49" t="e">
        <f t="shared" ca="1" si="59"/>
        <v>#N/A</v>
      </c>
      <c r="BH88" s="49" t="e">
        <f t="shared" ref="BH88:BH128" ca="1" si="64">BH87+IF(BF88=6,30,)</f>
        <v>#N/A</v>
      </c>
      <c r="BI88" s="49">
        <f t="shared" si="8"/>
        <v>0</v>
      </c>
      <c r="BJ88" s="49" t="e">
        <f t="shared" ref="BJ88:BJ128" ca="1" si="65">BJ87+IF(BF88=7,3,)</f>
        <v>#N/A</v>
      </c>
      <c r="BK88" s="71" t="e">
        <f t="shared" ref="BK88:BK128" ca="1" si="66">BK87+IF(BF88=5,0.03,)</f>
        <v>#N/A</v>
      </c>
      <c r="BL88" s="71" t="e">
        <f t="shared" ref="BL88:BL128" ca="1" si="67">BL87+IF(BF88=4,IF(BS87&lt;5,0.03,0.04),)</f>
        <v>#N/A</v>
      </c>
      <c r="BM88" s="71" t="e">
        <f t="shared" ref="BM88:BM128" ca="1" si="68">IF(BF88=3,1-(1-BM87)/(1-BR87*0.03)*(0.97-BR87*0.03),BM87)</f>
        <v>#N/A</v>
      </c>
      <c r="BN88" s="71" t="e">
        <f t="shared" ref="BN88:BN128" ca="1" si="69">MIN(1,BN87+IF(BF88=1,IF(BP87&lt;5,0.01,0.02),))</f>
        <v>#N/A</v>
      </c>
      <c r="BO88" s="75" t="e">
        <f t="shared" ca="1" si="60"/>
        <v>#N/A</v>
      </c>
      <c r="BP88" s="49" t="e">
        <f t="shared" ref="BP88:BP128" ca="1" si="70">BP87+IF(BF88=1,1,)</f>
        <v>#N/A</v>
      </c>
      <c r="BQ88" s="49" t="e">
        <f t="shared" ref="BQ88:BQ128" ca="1" si="71">BQ87+IF(BF88=2,1,)</f>
        <v>#N/A</v>
      </c>
      <c r="BR88" s="49" t="e">
        <f t="shared" ref="BR88:BR128" ca="1" si="72">BR87+IF(BF88=3,1,)</f>
        <v>#N/A</v>
      </c>
      <c r="BS88" s="49" t="e">
        <f t="shared" ref="BS88:BS128" ca="1" si="73">BS87+IF(BF88=4,1,)</f>
        <v>#N/A</v>
      </c>
      <c r="BT88" s="49" t="e">
        <f t="shared" ref="BT88:BT128" ca="1" si="74">BT87+IF(BF88=5,1,)</f>
        <v>#N/A</v>
      </c>
      <c r="BU88" s="49" t="e">
        <f t="shared" ref="BU88:BU128" ca="1" si="75">BU87+IF(BF88=6,1,)</f>
        <v>#N/A</v>
      </c>
      <c r="BV88" s="49" t="e">
        <f t="shared" ref="BV88:BV128" ca="1" si="76">BV87+IF(BF88=7,1,)</f>
        <v>#N/A</v>
      </c>
    </row>
    <row r="89" spans="1:74" ht="17.25" thickBot="1" x14ac:dyDescent="0.35">
      <c r="A89" s="47"/>
      <c r="B89" s="48"/>
      <c r="C89" s="93" t="s">
        <v>345</v>
      </c>
      <c r="D89" s="94">
        <f ca="1">M92+M93</f>
        <v>0</v>
      </c>
      <c r="E89" s="111" t="s">
        <v>326</v>
      </c>
      <c r="F89" s="88" t="e">
        <f ca="1">IF(AND(F87=$D$81,F88=$D$82),1,0)</f>
        <v>#DIV/0!</v>
      </c>
      <c r="G89" s="111" t="s">
        <v>326</v>
      </c>
      <c r="H89" s="112" t="e">
        <f ca="1">IF(AND(H87=$D$81,H88=$D$82),1,0)</f>
        <v>#DIV/0!</v>
      </c>
      <c r="I89" s="113" t="s">
        <v>326</v>
      </c>
      <c r="J89" s="112" t="e">
        <f ca="1">IF(AND(J87=$D$81,J88=$D$82),1,0)</f>
        <v>#DIV/0!</v>
      </c>
      <c r="K89" s="47" t="s">
        <v>334</v>
      </c>
      <c r="L89" s="48" t="e">
        <f ca="1">J89</f>
        <v>#DIV/0!</v>
      </c>
      <c r="M89" s="48" t="e">
        <f ca="1">J81</f>
        <v>#DIV/0!</v>
      </c>
      <c r="N89" s="58" t="e">
        <f ca="1">J86</f>
        <v>#DIV/0!</v>
      </c>
      <c r="O89" s="48"/>
      <c r="P89" s="48"/>
      <c r="Q89" s="48"/>
      <c r="R89" s="48"/>
      <c r="S89" s="48"/>
      <c r="T89" s="48"/>
      <c r="U89" s="48"/>
      <c r="V89" s="48"/>
      <c r="W89" s="80">
        <v>202</v>
      </c>
      <c r="X89" s="73">
        <v>357</v>
      </c>
      <c r="Y89" s="48" t="e">
        <f t="shared" si="25"/>
        <v>#N/A</v>
      </c>
      <c r="Z89" s="61" t="e">
        <f t="shared" si="26"/>
        <v>#N/A</v>
      </c>
      <c r="AA89" s="61" t="e">
        <f t="shared" si="31"/>
        <v>#N/A</v>
      </c>
      <c r="AB89" s="61" t="e">
        <f t="shared" si="27"/>
        <v>#N/A</v>
      </c>
      <c r="AC89" s="61" t="e">
        <f t="shared" si="28"/>
        <v>#N/A</v>
      </c>
      <c r="AD89" s="61" t="e">
        <f t="shared" si="29"/>
        <v>#N/A</v>
      </c>
      <c r="AE89" s="61" t="e">
        <f t="shared" si="32"/>
        <v>#N/A</v>
      </c>
      <c r="AF89" s="61">
        <f t="shared" si="33"/>
        <v>0</v>
      </c>
      <c r="AG89" s="61" t="e">
        <f t="shared" si="34"/>
        <v>#N/A</v>
      </c>
      <c r="AH89" s="61" t="e">
        <f t="shared" si="35"/>
        <v>#N/A</v>
      </c>
      <c r="AI89" s="61" t="e">
        <f t="shared" si="36"/>
        <v>#N/A</v>
      </c>
      <c r="AJ89" s="61" t="e">
        <f t="shared" si="37"/>
        <v>#N/A</v>
      </c>
      <c r="AK89" s="61" t="e">
        <f t="shared" si="38"/>
        <v>#N/A</v>
      </c>
      <c r="AL89" s="61" t="e">
        <f t="shared" si="39"/>
        <v>#N/A</v>
      </c>
      <c r="AM89" s="61" t="e">
        <f t="shared" si="40"/>
        <v>#N/A</v>
      </c>
      <c r="AN89" s="61" t="e">
        <f t="shared" si="41"/>
        <v>#N/A</v>
      </c>
      <c r="AO89" s="61" t="e">
        <f t="shared" si="42"/>
        <v>#N/A</v>
      </c>
      <c r="AP89" s="61" t="e">
        <f t="shared" si="43"/>
        <v>#N/A</v>
      </c>
      <c r="AQ89" s="61" t="e">
        <f t="shared" si="44"/>
        <v>#N/A</v>
      </c>
      <c r="AR89" s="61" t="e">
        <f t="shared" si="45"/>
        <v>#N/A</v>
      </c>
      <c r="AS89" s="61" t="e">
        <f t="shared" ca="1" si="46"/>
        <v>#N/A</v>
      </c>
      <c r="AT89" s="61" t="e">
        <f t="shared" ca="1" si="47"/>
        <v>#N/A</v>
      </c>
      <c r="AU89" s="61" t="e">
        <f t="shared" si="30"/>
        <v>#N/A</v>
      </c>
      <c r="AV89" s="61" t="e">
        <f t="shared" si="48"/>
        <v>#N/A</v>
      </c>
      <c r="AW89" s="61" t="e">
        <f t="shared" si="49"/>
        <v>#N/A</v>
      </c>
      <c r="AX89" s="61" t="e">
        <f t="shared" si="50"/>
        <v>#N/A</v>
      </c>
      <c r="AY89" s="74" t="e">
        <f t="shared" ca="1" si="52"/>
        <v>#N/A</v>
      </c>
      <c r="AZ89" s="74" t="e">
        <f t="shared" ca="1" si="53"/>
        <v>#N/A</v>
      </c>
      <c r="BA89" s="74" t="e">
        <f t="shared" ca="1" si="54"/>
        <v>#N/A</v>
      </c>
      <c r="BB89" s="74" t="e">
        <f t="shared" ca="1" si="55"/>
        <v>#N/A</v>
      </c>
      <c r="BC89" s="74" t="e">
        <f t="shared" ca="1" si="56"/>
        <v>#N/A</v>
      </c>
      <c r="BD89" s="74" t="e">
        <f t="shared" ca="1" si="57"/>
        <v>#N/A</v>
      </c>
      <c r="BE89" s="49" t="e">
        <f t="shared" ca="1" si="58"/>
        <v>#N/A</v>
      </c>
      <c r="BF89" s="49" t="e">
        <f t="shared" ca="1" si="63"/>
        <v>#N/A</v>
      </c>
      <c r="BG89" s="49" t="e">
        <f t="shared" ca="1" si="59"/>
        <v>#N/A</v>
      </c>
      <c r="BH89" s="49" t="e">
        <f t="shared" ca="1" si="64"/>
        <v>#N/A</v>
      </c>
      <c r="BI89" s="49">
        <f t="shared" si="8"/>
        <v>0</v>
      </c>
      <c r="BJ89" s="49" t="e">
        <f t="shared" ca="1" si="65"/>
        <v>#N/A</v>
      </c>
      <c r="BK89" s="71" t="e">
        <f t="shared" ca="1" si="66"/>
        <v>#N/A</v>
      </c>
      <c r="BL89" s="71" t="e">
        <f t="shared" ca="1" si="67"/>
        <v>#N/A</v>
      </c>
      <c r="BM89" s="71" t="e">
        <f t="shared" ca="1" si="68"/>
        <v>#N/A</v>
      </c>
      <c r="BN89" s="71" t="e">
        <f t="shared" ca="1" si="69"/>
        <v>#N/A</v>
      </c>
      <c r="BO89" s="75" t="e">
        <f t="shared" ca="1" si="60"/>
        <v>#N/A</v>
      </c>
      <c r="BP89" s="49" t="e">
        <f t="shared" ca="1" si="70"/>
        <v>#N/A</v>
      </c>
      <c r="BQ89" s="49" t="e">
        <f t="shared" ca="1" si="71"/>
        <v>#N/A</v>
      </c>
      <c r="BR89" s="49" t="e">
        <f t="shared" ca="1" si="72"/>
        <v>#N/A</v>
      </c>
      <c r="BS89" s="49" t="e">
        <f t="shared" ca="1" si="73"/>
        <v>#N/A</v>
      </c>
      <c r="BT89" s="49" t="e">
        <f t="shared" ca="1" si="74"/>
        <v>#N/A</v>
      </c>
      <c r="BU89" s="49" t="e">
        <f t="shared" ca="1" si="75"/>
        <v>#N/A</v>
      </c>
      <c r="BV89" s="49" t="e">
        <f t="shared" ca="1" si="76"/>
        <v>#N/A</v>
      </c>
    </row>
    <row r="90" spans="1:74" x14ac:dyDescent="0.3">
      <c r="A90" s="47"/>
      <c r="B90" s="48"/>
      <c r="C90" s="116" t="s">
        <v>364</v>
      </c>
      <c r="D90" s="117"/>
      <c r="E90" s="47" t="s">
        <v>322</v>
      </c>
      <c r="F90" s="48" t="e">
        <f ca="1">ROUND($D$82/(F81+100)*100,)+1</f>
        <v>#DIV/0!</v>
      </c>
      <c r="G90" s="47" t="s">
        <v>322</v>
      </c>
      <c r="H90" s="58" t="e">
        <f ca="1">ROUND($D$82/(H81+100)*100,)+1</f>
        <v>#DIV/0!</v>
      </c>
      <c r="I90" s="48" t="s">
        <v>322</v>
      </c>
      <c r="J90" s="58" t="e">
        <f ca="1">ROUND($D$82/(J81+100)*100,)+1</f>
        <v>#DIV/0!</v>
      </c>
      <c r="K90" s="47" t="s">
        <v>335</v>
      </c>
      <c r="L90" s="48" t="e">
        <f ca="1">J93</f>
        <v>#DIV/0!</v>
      </c>
      <c r="M90" s="48" t="e">
        <f ca="1">J81</f>
        <v>#DIV/0!</v>
      </c>
      <c r="N90" s="58" t="e">
        <f ca="1">J90</f>
        <v>#DIV/0!</v>
      </c>
      <c r="O90" s="48"/>
      <c r="P90" s="48"/>
      <c r="Q90" s="48"/>
      <c r="R90" s="48"/>
      <c r="S90" s="48"/>
      <c r="T90" s="48"/>
      <c r="U90" s="48"/>
      <c r="V90" s="48"/>
      <c r="W90" s="80">
        <v>203</v>
      </c>
      <c r="X90" s="73">
        <v>366</v>
      </c>
      <c r="Y90" s="48" t="e">
        <f t="shared" si="25"/>
        <v>#N/A</v>
      </c>
      <c r="Z90" s="61" t="e">
        <f t="shared" si="26"/>
        <v>#N/A</v>
      </c>
      <c r="AA90" s="61" t="e">
        <f t="shared" si="31"/>
        <v>#N/A</v>
      </c>
      <c r="AB90" s="61" t="e">
        <f t="shared" si="27"/>
        <v>#N/A</v>
      </c>
      <c r="AC90" s="61" t="e">
        <f t="shared" si="28"/>
        <v>#N/A</v>
      </c>
      <c r="AD90" s="61" t="e">
        <f t="shared" si="29"/>
        <v>#N/A</v>
      </c>
      <c r="AE90" s="61" t="e">
        <f t="shared" si="32"/>
        <v>#N/A</v>
      </c>
      <c r="AF90" s="61">
        <f t="shared" si="33"/>
        <v>0</v>
      </c>
      <c r="AG90" s="61" t="e">
        <f t="shared" si="34"/>
        <v>#N/A</v>
      </c>
      <c r="AH90" s="61" t="e">
        <f t="shared" si="35"/>
        <v>#N/A</v>
      </c>
      <c r="AI90" s="61" t="e">
        <f t="shared" si="36"/>
        <v>#N/A</v>
      </c>
      <c r="AJ90" s="61" t="e">
        <f t="shared" si="37"/>
        <v>#N/A</v>
      </c>
      <c r="AK90" s="61" t="e">
        <f t="shared" si="38"/>
        <v>#N/A</v>
      </c>
      <c r="AL90" s="61" t="e">
        <f t="shared" si="39"/>
        <v>#N/A</v>
      </c>
      <c r="AM90" s="61" t="e">
        <f t="shared" si="40"/>
        <v>#N/A</v>
      </c>
      <c r="AN90" s="61" t="e">
        <f t="shared" si="41"/>
        <v>#N/A</v>
      </c>
      <c r="AO90" s="61" t="e">
        <f t="shared" si="42"/>
        <v>#N/A</v>
      </c>
      <c r="AP90" s="61" t="e">
        <f t="shared" si="43"/>
        <v>#N/A</v>
      </c>
      <c r="AQ90" s="61" t="e">
        <f t="shared" si="44"/>
        <v>#N/A</v>
      </c>
      <c r="AR90" s="61" t="e">
        <f t="shared" si="45"/>
        <v>#N/A</v>
      </c>
      <c r="AS90" s="61" t="e">
        <f t="shared" ca="1" si="46"/>
        <v>#N/A</v>
      </c>
      <c r="AT90" s="61" t="e">
        <f t="shared" ca="1" si="47"/>
        <v>#N/A</v>
      </c>
      <c r="AU90" s="61" t="e">
        <f t="shared" si="30"/>
        <v>#N/A</v>
      </c>
      <c r="AV90" s="61" t="e">
        <f t="shared" si="48"/>
        <v>#N/A</v>
      </c>
      <c r="AW90" s="61" t="e">
        <f t="shared" si="49"/>
        <v>#N/A</v>
      </c>
      <c r="AX90" s="61" t="e">
        <f t="shared" si="50"/>
        <v>#N/A</v>
      </c>
      <c r="AY90" s="74" t="e">
        <f t="shared" ca="1" si="52"/>
        <v>#N/A</v>
      </c>
      <c r="AZ90" s="74" t="e">
        <f t="shared" ca="1" si="53"/>
        <v>#N/A</v>
      </c>
      <c r="BA90" s="74" t="e">
        <f t="shared" ca="1" si="54"/>
        <v>#N/A</v>
      </c>
      <c r="BB90" s="74" t="e">
        <f t="shared" ca="1" si="55"/>
        <v>#N/A</v>
      </c>
      <c r="BC90" s="74" t="e">
        <f t="shared" ca="1" si="56"/>
        <v>#N/A</v>
      </c>
      <c r="BD90" s="74" t="e">
        <f t="shared" ca="1" si="57"/>
        <v>#N/A</v>
      </c>
      <c r="BE90" s="49" t="e">
        <f t="shared" ca="1" si="58"/>
        <v>#N/A</v>
      </c>
      <c r="BF90" s="49" t="e">
        <f t="shared" ca="1" si="63"/>
        <v>#N/A</v>
      </c>
      <c r="BG90" s="49" t="e">
        <f t="shared" ca="1" si="59"/>
        <v>#N/A</v>
      </c>
      <c r="BH90" s="49" t="e">
        <f t="shared" ca="1" si="64"/>
        <v>#N/A</v>
      </c>
      <c r="BI90" s="49">
        <f t="shared" si="8"/>
        <v>0</v>
      </c>
      <c r="BJ90" s="49" t="e">
        <f t="shared" ca="1" si="65"/>
        <v>#N/A</v>
      </c>
      <c r="BK90" s="71" t="e">
        <f t="shared" ca="1" si="66"/>
        <v>#N/A</v>
      </c>
      <c r="BL90" s="71" t="e">
        <f t="shared" ca="1" si="67"/>
        <v>#N/A</v>
      </c>
      <c r="BM90" s="71" t="e">
        <f t="shared" ca="1" si="68"/>
        <v>#N/A</v>
      </c>
      <c r="BN90" s="71" t="e">
        <f t="shared" ca="1" si="69"/>
        <v>#N/A</v>
      </c>
      <c r="BO90" s="75" t="e">
        <f t="shared" ca="1" si="60"/>
        <v>#N/A</v>
      </c>
      <c r="BP90" s="49" t="e">
        <f t="shared" ca="1" si="70"/>
        <v>#N/A</v>
      </c>
      <c r="BQ90" s="49" t="e">
        <f t="shared" ca="1" si="71"/>
        <v>#N/A</v>
      </c>
      <c r="BR90" s="49" t="e">
        <f t="shared" ca="1" si="72"/>
        <v>#N/A</v>
      </c>
      <c r="BS90" s="49" t="e">
        <f t="shared" ca="1" si="73"/>
        <v>#N/A</v>
      </c>
      <c r="BT90" s="49" t="e">
        <f t="shared" ca="1" si="74"/>
        <v>#N/A</v>
      </c>
      <c r="BU90" s="49" t="e">
        <f t="shared" ca="1" si="75"/>
        <v>#N/A</v>
      </c>
      <c r="BV90" s="49" t="e">
        <f t="shared" ca="1" si="76"/>
        <v>#N/A</v>
      </c>
    </row>
    <row r="91" spans="1:74" x14ac:dyDescent="0.3">
      <c r="A91" s="47"/>
      <c r="B91" s="48"/>
      <c r="C91" s="83" t="b">
        <f>IF(OR(ISBLANK(스펙계산기!C8),ISBLANK(스펙계산기!C9),ISBLANK(스펙계산기!C12),ISBLANK(스펙계산기!H8)),FALSE,IF(N92&lt;4,TRUE,FALSE))</f>
        <v>0</v>
      </c>
      <c r="D91" s="94"/>
      <c r="E91" s="93" t="s">
        <v>324</v>
      </c>
      <c r="F91" s="49" t="e">
        <f ca="1">ROUNDDOWN((F90+$D$86)*(F$81+100)/100,)</f>
        <v>#DIV/0!</v>
      </c>
      <c r="G91" s="93" t="s">
        <v>324</v>
      </c>
      <c r="H91" s="94" t="e">
        <f ca="1">ROUNDDOWN((H90+$D$86)*(H$81+100)/100,)</f>
        <v>#DIV/0!</v>
      </c>
      <c r="I91" s="62" t="s">
        <v>324</v>
      </c>
      <c r="J91" s="94" t="e">
        <f ca="1">ROUNDDOWN((J90+$D$86)*(J$81+100)/100,)</f>
        <v>#DIV/0!</v>
      </c>
      <c r="K91" s="83"/>
      <c r="L91" s="49">
        <v>1</v>
      </c>
      <c r="M91" s="49">
        <v>0</v>
      </c>
      <c r="N91" s="94">
        <f>-D86</f>
        <v>0</v>
      </c>
      <c r="O91" s="48"/>
      <c r="P91" s="48"/>
      <c r="Q91" s="48"/>
      <c r="R91" s="48"/>
      <c r="S91" s="48"/>
      <c r="T91" s="48"/>
      <c r="U91" s="48"/>
      <c r="V91" s="48"/>
      <c r="W91" s="80">
        <v>204</v>
      </c>
      <c r="X91" s="73">
        <v>375</v>
      </c>
      <c r="Y91" s="48" t="e">
        <f t="shared" si="25"/>
        <v>#N/A</v>
      </c>
      <c r="Z91" s="61" t="e">
        <f t="shared" si="26"/>
        <v>#N/A</v>
      </c>
      <c r="AA91" s="61" t="e">
        <f t="shared" si="31"/>
        <v>#N/A</v>
      </c>
      <c r="AB91" s="61" t="e">
        <f t="shared" si="27"/>
        <v>#N/A</v>
      </c>
      <c r="AC91" s="61" t="e">
        <f t="shared" si="28"/>
        <v>#N/A</v>
      </c>
      <c r="AD91" s="61" t="e">
        <f t="shared" si="29"/>
        <v>#N/A</v>
      </c>
      <c r="AE91" s="61" t="e">
        <f t="shared" si="32"/>
        <v>#N/A</v>
      </c>
      <c r="AF91" s="61">
        <f t="shared" si="33"/>
        <v>0</v>
      </c>
      <c r="AG91" s="61" t="e">
        <f t="shared" si="34"/>
        <v>#N/A</v>
      </c>
      <c r="AH91" s="61" t="e">
        <f t="shared" si="35"/>
        <v>#N/A</v>
      </c>
      <c r="AI91" s="61" t="e">
        <f t="shared" si="36"/>
        <v>#N/A</v>
      </c>
      <c r="AJ91" s="61" t="e">
        <f t="shared" si="37"/>
        <v>#N/A</v>
      </c>
      <c r="AK91" s="61" t="e">
        <f t="shared" si="38"/>
        <v>#N/A</v>
      </c>
      <c r="AL91" s="61" t="e">
        <f t="shared" si="39"/>
        <v>#N/A</v>
      </c>
      <c r="AM91" s="61" t="e">
        <f t="shared" si="40"/>
        <v>#N/A</v>
      </c>
      <c r="AN91" s="61" t="e">
        <f t="shared" si="41"/>
        <v>#N/A</v>
      </c>
      <c r="AO91" s="61" t="e">
        <f t="shared" si="42"/>
        <v>#N/A</v>
      </c>
      <c r="AP91" s="61" t="e">
        <f t="shared" si="43"/>
        <v>#N/A</v>
      </c>
      <c r="AQ91" s="61" t="e">
        <f t="shared" si="44"/>
        <v>#N/A</v>
      </c>
      <c r="AR91" s="61" t="e">
        <f t="shared" si="45"/>
        <v>#N/A</v>
      </c>
      <c r="AS91" s="61" t="e">
        <f t="shared" ca="1" si="46"/>
        <v>#N/A</v>
      </c>
      <c r="AT91" s="61" t="e">
        <f t="shared" ca="1" si="47"/>
        <v>#N/A</v>
      </c>
      <c r="AU91" s="61" t="e">
        <f t="shared" si="30"/>
        <v>#N/A</v>
      </c>
      <c r="AV91" s="61" t="e">
        <f t="shared" si="48"/>
        <v>#N/A</v>
      </c>
      <c r="AW91" s="61" t="e">
        <f t="shared" si="49"/>
        <v>#N/A</v>
      </c>
      <c r="AX91" s="61" t="e">
        <f t="shared" si="50"/>
        <v>#N/A</v>
      </c>
      <c r="AY91" s="74" t="e">
        <f t="shared" ca="1" si="52"/>
        <v>#N/A</v>
      </c>
      <c r="AZ91" s="74" t="e">
        <f t="shared" ca="1" si="53"/>
        <v>#N/A</v>
      </c>
      <c r="BA91" s="74" t="e">
        <f t="shared" ca="1" si="54"/>
        <v>#N/A</v>
      </c>
      <c r="BB91" s="74" t="e">
        <f t="shared" ca="1" si="55"/>
        <v>#N/A</v>
      </c>
      <c r="BC91" s="74" t="e">
        <f t="shared" ca="1" si="56"/>
        <v>#N/A</v>
      </c>
      <c r="BD91" s="74" t="e">
        <f t="shared" ca="1" si="57"/>
        <v>#N/A</v>
      </c>
      <c r="BE91" s="49" t="e">
        <f t="shared" ca="1" si="58"/>
        <v>#N/A</v>
      </c>
      <c r="BF91" s="49" t="e">
        <f t="shared" ca="1" si="63"/>
        <v>#N/A</v>
      </c>
      <c r="BG91" s="49" t="e">
        <f t="shared" ca="1" si="59"/>
        <v>#N/A</v>
      </c>
      <c r="BH91" s="49" t="e">
        <f t="shared" ca="1" si="64"/>
        <v>#N/A</v>
      </c>
      <c r="BI91" s="49">
        <f t="shared" si="8"/>
        <v>0</v>
      </c>
      <c r="BJ91" s="49" t="e">
        <f t="shared" ca="1" si="65"/>
        <v>#N/A</v>
      </c>
      <c r="BK91" s="71" t="e">
        <f t="shared" ca="1" si="66"/>
        <v>#N/A</v>
      </c>
      <c r="BL91" s="71" t="e">
        <f t="shared" ca="1" si="67"/>
        <v>#N/A</v>
      </c>
      <c r="BM91" s="71" t="e">
        <f t="shared" ca="1" si="68"/>
        <v>#N/A</v>
      </c>
      <c r="BN91" s="71" t="e">
        <f t="shared" ca="1" si="69"/>
        <v>#N/A</v>
      </c>
      <c r="BO91" s="75" t="e">
        <f t="shared" ca="1" si="60"/>
        <v>#N/A</v>
      </c>
      <c r="BP91" s="49" t="e">
        <f t="shared" ca="1" si="70"/>
        <v>#N/A</v>
      </c>
      <c r="BQ91" s="49" t="e">
        <f t="shared" ca="1" si="71"/>
        <v>#N/A</v>
      </c>
      <c r="BR91" s="49" t="e">
        <f t="shared" ca="1" si="72"/>
        <v>#N/A</v>
      </c>
      <c r="BS91" s="49" t="e">
        <f t="shared" ca="1" si="73"/>
        <v>#N/A</v>
      </c>
      <c r="BT91" s="49" t="e">
        <f t="shared" ca="1" si="74"/>
        <v>#N/A</v>
      </c>
      <c r="BU91" s="49" t="e">
        <f t="shared" ca="1" si="75"/>
        <v>#N/A</v>
      </c>
      <c r="BV91" s="49" t="e">
        <f t="shared" ca="1" si="76"/>
        <v>#N/A</v>
      </c>
    </row>
    <row r="92" spans="1:74" x14ac:dyDescent="0.3">
      <c r="A92" s="47"/>
      <c r="B92" s="48"/>
      <c r="C92" s="83">
        <f ca="1">IF(AND(주스탯종류="STR",C91=TRUE),TRUE,0)</f>
        <v>0</v>
      </c>
      <c r="D92" s="94">
        <f ca="1">IF(AND(주스탯종류="DEX",C91=TRUE),TRUE,0)</f>
        <v>0</v>
      </c>
      <c r="E92" s="93" t="s">
        <v>325</v>
      </c>
      <c r="F92" s="49" t="e">
        <f ca="1">ROUNDDOWN(F90*(F$81+100)/100,)</f>
        <v>#DIV/0!</v>
      </c>
      <c r="G92" s="93" t="s">
        <v>325</v>
      </c>
      <c r="H92" s="94" t="e">
        <f ca="1">ROUNDDOWN(H90*(H$81+100)/100,)</f>
        <v>#DIV/0!</v>
      </c>
      <c r="I92" s="62" t="s">
        <v>325</v>
      </c>
      <c r="J92" s="94" t="e">
        <f ca="1">ROUNDDOWN(J90*(J$81+100)/100,)</f>
        <v>#DIV/0!</v>
      </c>
      <c r="K92" s="47" t="s">
        <v>342</v>
      </c>
      <c r="L92" s="48" t="s">
        <v>343</v>
      </c>
      <c r="M92" s="48">
        <f ca="1">VLOOKUP(1,L82:N91,2,0)</f>
        <v>0</v>
      </c>
      <c r="N92" s="58">
        <f ca="1">VLOOKUP(1,L82:N91,3,0)</f>
        <v>0</v>
      </c>
      <c r="O92" s="48"/>
      <c r="P92" s="48"/>
      <c r="Q92" s="48"/>
      <c r="R92" s="48"/>
      <c r="S92" s="48"/>
      <c r="T92" s="48"/>
      <c r="U92" s="48"/>
      <c r="V92" s="48"/>
      <c r="W92" s="80">
        <v>205</v>
      </c>
      <c r="X92" s="73">
        <v>384</v>
      </c>
      <c r="Y92" s="48" t="e">
        <f t="shared" si="25"/>
        <v>#N/A</v>
      </c>
      <c r="Z92" s="61" t="e">
        <f t="shared" si="26"/>
        <v>#N/A</v>
      </c>
      <c r="AA92" s="61" t="e">
        <f t="shared" si="31"/>
        <v>#N/A</v>
      </c>
      <c r="AB92" s="61" t="e">
        <f t="shared" si="27"/>
        <v>#N/A</v>
      </c>
      <c r="AC92" s="61" t="e">
        <f t="shared" si="28"/>
        <v>#N/A</v>
      </c>
      <c r="AD92" s="61" t="e">
        <f t="shared" si="29"/>
        <v>#N/A</v>
      </c>
      <c r="AE92" s="61" t="e">
        <f t="shared" si="32"/>
        <v>#N/A</v>
      </c>
      <c r="AF92" s="61">
        <f t="shared" si="33"/>
        <v>0</v>
      </c>
      <c r="AG92" s="61" t="e">
        <f t="shared" si="34"/>
        <v>#N/A</v>
      </c>
      <c r="AH92" s="61" t="e">
        <f t="shared" si="35"/>
        <v>#N/A</v>
      </c>
      <c r="AI92" s="61" t="e">
        <f t="shared" si="36"/>
        <v>#N/A</v>
      </c>
      <c r="AJ92" s="61" t="e">
        <f t="shared" si="37"/>
        <v>#N/A</v>
      </c>
      <c r="AK92" s="61" t="e">
        <f t="shared" si="38"/>
        <v>#N/A</v>
      </c>
      <c r="AL92" s="61" t="e">
        <f t="shared" si="39"/>
        <v>#N/A</v>
      </c>
      <c r="AM92" s="61" t="e">
        <f t="shared" si="40"/>
        <v>#N/A</v>
      </c>
      <c r="AN92" s="61" t="e">
        <f t="shared" si="41"/>
        <v>#N/A</v>
      </c>
      <c r="AO92" s="61" t="e">
        <f t="shared" si="42"/>
        <v>#N/A</v>
      </c>
      <c r="AP92" s="61" t="e">
        <f t="shared" si="43"/>
        <v>#N/A</v>
      </c>
      <c r="AQ92" s="61" t="e">
        <f t="shared" si="44"/>
        <v>#N/A</v>
      </c>
      <c r="AR92" s="61" t="e">
        <f t="shared" si="45"/>
        <v>#N/A</v>
      </c>
      <c r="AS92" s="61" t="e">
        <f t="shared" ca="1" si="46"/>
        <v>#N/A</v>
      </c>
      <c r="AT92" s="61" t="e">
        <f t="shared" ca="1" si="47"/>
        <v>#N/A</v>
      </c>
      <c r="AU92" s="61" t="e">
        <f t="shared" si="30"/>
        <v>#N/A</v>
      </c>
      <c r="AV92" s="61" t="e">
        <f t="shared" si="48"/>
        <v>#N/A</v>
      </c>
      <c r="AW92" s="61" t="e">
        <f t="shared" si="49"/>
        <v>#N/A</v>
      </c>
      <c r="AX92" s="61" t="e">
        <f t="shared" si="50"/>
        <v>#N/A</v>
      </c>
      <c r="AY92" s="74" t="e">
        <f t="shared" ref="AY92:AY128" ca="1" si="77">IF(OR(VLOOKUP(MIN($AZ$26,BP91+1),$P$28:$R$43,2,FALSE)&gt;BG91,BP91=$AZ$26),0,((MIN(1,BN91+IF(BP91&gt;5,0.02,0.01))*(1.35+BO91+IF(크리인=1,IF(BP91&gt;5,0.02,0.01)*크리인뎀,))+(1-MIN(1,BN91+IF(BP91&gt;5,0.02,0.01))))/(BN91*(1.35+BO91)+(1-BN91))-1)/VLOOKUP(MIN($AZ$26,BP91+1),$P$28:$R$43,2,FALSE))</f>
        <v>#N/A</v>
      </c>
      <c r="AZ92" s="74" t="e">
        <f t="shared" ref="AZ92:AZ128" ca="1" si="78">IF(OR(VLOOKUP(MIN($AZ$26,BQ91+1),$P$28:$R$43,2,FALSE)&gt;BG91,BQ91=$AZ$26),0,((BN91*(1.36+BO91)+(1-BN91))/(BN91*(1.35+BO91)+(1-BN91))-1)/VLOOKUP(MIN($AZ$26,BQ91+1),$P$28:$R$43,2,FALSE))</f>
        <v>#N/A</v>
      </c>
      <c r="BA92" s="74" t="e">
        <f t="shared" ref="BA92:BA128" ca="1" si="79">IF(OR(VLOOKUP(MIN($AZ$26,BR91+1),$P$28:$R$43,2,FALSE)&gt;BG91,BR91=$AZ$26),0,(IF($O$36*(1-BM91)&gt;1,110,(1-$O$36*(1-BM91)/(1-BR91*0.03)*(0.97-BR91*0.03))/(1-$O$36*(1-BM91)))-1)/VLOOKUP(MIN($AZ$26,BR91+1),$P$28:$R$43,2,FALSE))</f>
        <v>#N/A</v>
      </c>
      <c r="BB92" s="74" t="e">
        <f t="shared" ref="BB92:BB128" ca="1" si="80">IF(OR(VLOOKUP(MIN($AZ$26,BS91+1),$P$28:$R$43,2,FALSE)&gt;BG91,BS91=$AZ$26),0,((1+BK91+BL91+IF(보스=0,0,IF(BS91&gt;5,0.04,0.03)))/(1+BK91+BL91)-1)/VLOOKUP(MIN($AZ$26,BS91+1),$P$28:$R$43,2,FALSE))</f>
        <v>#N/A</v>
      </c>
      <c r="BC92" s="74" t="e">
        <f t="shared" ref="BC92:BC128" ca="1" si="81">IF(OR(VLOOKUP(MIN($AZ$26,BT91+1),$P$28:$R$43,2,FALSE)&gt;BG91,BT91=$AZ$26),0,((1.03+BK91+BL91)/(1+BK91+BL91)-1)/VLOOKUP(MIN($AZ$26,BT91+1),$P$28:$R$43,2,FALSE))</f>
        <v>#N/A</v>
      </c>
      <c r="BD92" s="74" t="e">
        <f t="shared" ref="BD92:BD128" ca="1" si="82">IF(OR(VLOOKUP(MIN($AZ$26,BU91+1),$P$28:$R$43,2,FALSE)&gt;BG91,BU91=$AZ$26),0,((4*(BH91+30)+BI91)/(4*BH91+BI91)-1)/VLOOKUP(MIN($AZ$26,BU91+1),$P$28:$R$43,2,FALSE))</f>
        <v>#N/A</v>
      </c>
      <c r="BE92" s="49" t="e">
        <f t="shared" ref="BE92:BE128" ca="1" si="83">IF(OR(VLOOKUP(MIN($AZ$26,BV91+1),$P$28:$R$43,2,FALSE)&gt;BG91,BV91=$AZ$26),0,((BJ91+3)/BJ91-1)/VLOOKUP(MIN($AZ$26,BV91+1),$P$28:$R$43,2,FALSE))</f>
        <v>#N/A</v>
      </c>
      <c r="BF92" s="49" t="e">
        <f t="shared" ca="1" si="63"/>
        <v>#N/A</v>
      </c>
      <c r="BG92" s="49" t="e">
        <f t="shared" ref="BG92:BG123" ca="1" si="84">BG91-IF(BF92=0,0,VLOOKUP(OFFSET(BO91,0,BF92)+1,$P$28:$R$43,2,FALSE))</f>
        <v>#N/A</v>
      </c>
      <c r="BH92" s="49" t="e">
        <f t="shared" ca="1" si="64"/>
        <v>#N/A</v>
      </c>
      <c r="BI92" s="49">
        <f t="shared" ref="BI92:BI128" si="85">BI91</f>
        <v>0</v>
      </c>
      <c r="BJ92" s="49" t="e">
        <f t="shared" ca="1" si="65"/>
        <v>#N/A</v>
      </c>
      <c r="BK92" s="71" t="e">
        <f t="shared" ca="1" si="66"/>
        <v>#N/A</v>
      </c>
      <c r="BL92" s="71" t="e">
        <f t="shared" ca="1" si="67"/>
        <v>#N/A</v>
      </c>
      <c r="BM92" s="71" t="e">
        <f t="shared" ca="1" si="68"/>
        <v>#N/A</v>
      </c>
      <c r="BN92" s="71" t="e">
        <f t="shared" ca="1" si="69"/>
        <v>#N/A</v>
      </c>
      <c r="BO92" s="75" t="e">
        <f t="shared" ref="BO92:BO128" ca="1" si="86">BO91+IF(BF92=2,0.01,)+IF(BF92=1,IF(크리인=1,IF(BP91&lt;5,0.01,0.02)*크리인뎀,),)</f>
        <v>#N/A</v>
      </c>
      <c r="BP92" s="49" t="e">
        <f t="shared" ca="1" si="70"/>
        <v>#N/A</v>
      </c>
      <c r="BQ92" s="49" t="e">
        <f t="shared" ca="1" si="71"/>
        <v>#N/A</v>
      </c>
      <c r="BR92" s="49" t="e">
        <f t="shared" ca="1" si="72"/>
        <v>#N/A</v>
      </c>
      <c r="BS92" s="49" t="e">
        <f t="shared" ca="1" si="73"/>
        <v>#N/A</v>
      </c>
      <c r="BT92" s="49" t="e">
        <f t="shared" ca="1" si="74"/>
        <v>#N/A</v>
      </c>
      <c r="BU92" s="49" t="e">
        <f t="shared" ca="1" si="75"/>
        <v>#N/A</v>
      </c>
      <c r="BV92" s="49" t="e">
        <f t="shared" ca="1" si="76"/>
        <v>#N/A</v>
      </c>
    </row>
    <row r="93" spans="1:74" ht="17.25" thickBot="1" x14ac:dyDescent="0.35">
      <c r="A93" s="47"/>
      <c r="B93" s="48"/>
      <c r="C93" s="87">
        <f ca="1">IF(AND(주스탯종류="INT",C91=TRUE),TRUE,0)</f>
        <v>0</v>
      </c>
      <c r="D93" s="112">
        <f ca="1">IF(AND(주스탯종류="LUK",C91=TRUE),TRUE,0)</f>
        <v>0</v>
      </c>
      <c r="E93" s="111" t="s">
        <v>326</v>
      </c>
      <c r="F93" s="88" t="e">
        <f ca="1">IF(AND(F91=$D$81,F92=$D$82),1,0)</f>
        <v>#DIV/0!</v>
      </c>
      <c r="G93" s="111" t="s">
        <v>326</v>
      </c>
      <c r="H93" s="112" t="e">
        <f ca="1">IF(AND(H91=$D$81,H92=$D$82),1,0)</f>
        <v>#DIV/0!</v>
      </c>
      <c r="I93" s="113" t="s">
        <v>326</v>
      </c>
      <c r="J93" s="112" t="e">
        <f ca="1">IF(AND(J91=$D$81,J92=$D$82),1,0)</f>
        <v>#DIV/0!</v>
      </c>
      <c r="K93" s="59"/>
      <c r="L93" s="78"/>
      <c r="M93" s="78">
        <f ca="1">IFERROR(IF(M92=0,H81,0),0)</f>
        <v>0</v>
      </c>
      <c r="N93" s="60">
        <f ca="1">IFERROR(IF(N92&lt;4,H86+D86,0),0)</f>
        <v>0</v>
      </c>
      <c r="O93" s="48"/>
      <c r="P93" s="48"/>
      <c r="Q93" s="48"/>
      <c r="R93" s="48"/>
      <c r="S93" s="48"/>
      <c r="T93" s="48"/>
      <c r="U93" s="48"/>
      <c r="V93" s="48"/>
      <c r="W93" s="80">
        <v>206</v>
      </c>
      <c r="X93" s="73">
        <v>393</v>
      </c>
      <c r="Y93" s="48" t="e">
        <f t="shared" si="25"/>
        <v>#N/A</v>
      </c>
      <c r="Z93" s="61" t="e">
        <f t="shared" si="26"/>
        <v>#N/A</v>
      </c>
      <c r="AA93" s="61" t="e">
        <f t="shared" si="31"/>
        <v>#N/A</v>
      </c>
      <c r="AB93" s="61" t="e">
        <f t="shared" si="27"/>
        <v>#N/A</v>
      </c>
      <c r="AC93" s="61" t="e">
        <f t="shared" si="28"/>
        <v>#N/A</v>
      </c>
      <c r="AD93" s="61" t="e">
        <f t="shared" si="29"/>
        <v>#N/A</v>
      </c>
      <c r="AE93" s="61" t="e">
        <f t="shared" si="32"/>
        <v>#N/A</v>
      </c>
      <c r="AF93" s="61">
        <f t="shared" si="33"/>
        <v>0</v>
      </c>
      <c r="AG93" s="61" t="e">
        <f t="shared" si="34"/>
        <v>#N/A</v>
      </c>
      <c r="AH93" s="61" t="e">
        <f t="shared" si="35"/>
        <v>#N/A</v>
      </c>
      <c r="AI93" s="61" t="e">
        <f t="shared" si="36"/>
        <v>#N/A</v>
      </c>
      <c r="AJ93" s="61" t="e">
        <f t="shared" si="37"/>
        <v>#N/A</v>
      </c>
      <c r="AK93" s="61" t="e">
        <f t="shared" si="38"/>
        <v>#N/A</v>
      </c>
      <c r="AL93" s="61" t="e">
        <f t="shared" si="39"/>
        <v>#N/A</v>
      </c>
      <c r="AM93" s="61" t="e">
        <f t="shared" si="40"/>
        <v>#N/A</v>
      </c>
      <c r="AN93" s="61" t="e">
        <f t="shared" si="41"/>
        <v>#N/A</v>
      </c>
      <c r="AO93" s="61" t="e">
        <f t="shared" si="42"/>
        <v>#N/A</v>
      </c>
      <c r="AP93" s="61" t="e">
        <f t="shared" si="43"/>
        <v>#N/A</v>
      </c>
      <c r="AQ93" s="61" t="e">
        <f t="shared" si="44"/>
        <v>#N/A</v>
      </c>
      <c r="AR93" s="61" t="e">
        <f t="shared" si="45"/>
        <v>#N/A</v>
      </c>
      <c r="AS93" s="61" t="e">
        <f t="shared" ca="1" si="46"/>
        <v>#N/A</v>
      </c>
      <c r="AT93" s="61" t="e">
        <f t="shared" ca="1" si="47"/>
        <v>#N/A</v>
      </c>
      <c r="AU93" s="61" t="e">
        <f t="shared" si="30"/>
        <v>#N/A</v>
      </c>
      <c r="AV93" s="61" t="e">
        <f t="shared" si="48"/>
        <v>#N/A</v>
      </c>
      <c r="AW93" s="61" t="e">
        <f t="shared" si="49"/>
        <v>#N/A</v>
      </c>
      <c r="AX93" s="61" t="e">
        <f t="shared" si="50"/>
        <v>#N/A</v>
      </c>
      <c r="AY93" s="74" t="e">
        <f t="shared" ca="1" si="77"/>
        <v>#N/A</v>
      </c>
      <c r="AZ93" s="74" t="e">
        <f t="shared" ca="1" si="78"/>
        <v>#N/A</v>
      </c>
      <c r="BA93" s="74" t="e">
        <f t="shared" ca="1" si="79"/>
        <v>#N/A</v>
      </c>
      <c r="BB93" s="74" t="e">
        <f t="shared" ca="1" si="80"/>
        <v>#N/A</v>
      </c>
      <c r="BC93" s="74" t="e">
        <f t="shared" ca="1" si="81"/>
        <v>#N/A</v>
      </c>
      <c r="BD93" s="74" t="e">
        <f t="shared" ca="1" si="82"/>
        <v>#N/A</v>
      </c>
      <c r="BE93" s="49" t="e">
        <f t="shared" ca="1" si="83"/>
        <v>#N/A</v>
      </c>
      <c r="BF93" s="49" t="e">
        <f t="shared" ca="1" si="63"/>
        <v>#N/A</v>
      </c>
      <c r="BG93" s="49" t="e">
        <f t="shared" ca="1" si="84"/>
        <v>#N/A</v>
      </c>
      <c r="BH93" s="49" t="e">
        <f t="shared" ca="1" si="64"/>
        <v>#N/A</v>
      </c>
      <c r="BI93" s="49">
        <f t="shared" si="85"/>
        <v>0</v>
      </c>
      <c r="BJ93" s="49" t="e">
        <f t="shared" ca="1" si="65"/>
        <v>#N/A</v>
      </c>
      <c r="BK93" s="71" t="e">
        <f t="shared" ca="1" si="66"/>
        <v>#N/A</v>
      </c>
      <c r="BL93" s="71" t="e">
        <f t="shared" ca="1" si="67"/>
        <v>#N/A</v>
      </c>
      <c r="BM93" s="71" t="e">
        <f t="shared" ca="1" si="68"/>
        <v>#N/A</v>
      </c>
      <c r="BN93" s="71" t="e">
        <f t="shared" ca="1" si="69"/>
        <v>#N/A</v>
      </c>
      <c r="BO93" s="75" t="e">
        <f t="shared" ca="1" si="86"/>
        <v>#N/A</v>
      </c>
      <c r="BP93" s="49" t="e">
        <f t="shared" ca="1" si="70"/>
        <v>#N/A</v>
      </c>
      <c r="BQ93" s="49" t="e">
        <f t="shared" ca="1" si="71"/>
        <v>#N/A</v>
      </c>
      <c r="BR93" s="49" t="e">
        <f t="shared" ca="1" si="72"/>
        <v>#N/A</v>
      </c>
      <c r="BS93" s="49" t="e">
        <f t="shared" ca="1" si="73"/>
        <v>#N/A</v>
      </c>
      <c r="BT93" s="49" t="e">
        <f t="shared" ca="1" si="74"/>
        <v>#N/A</v>
      </c>
      <c r="BU93" s="49" t="e">
        <f t="shared" ca="1" si="75"/>
        <v>#N/A</v>
      </c>
      <c r="BV93" s="49" t="e">
        <f t="shared" ca="1" si="76"/>
        <v>#N/A</v>
      </c>
    </row>
    <row r="94" spans="1:74" x14ac:dyDescent="0.3">
      <c r="A94" s="47"/>
      <c r="B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80">
        <v>207</v>
      </c>
      <c r="X94" s="73">
        <v>402</v>
      </c>
      <c r="Y94" s="48" t="e">
        <f t="shared" si="25"/>
        <v>#N/A</v>
      </c>
      <c r="Z94" s="61" t="e">
        <f t="shared" si="26"/>
        <v>#N/A</v>
      </c>
      <c r="AA94" s="61" t="e">
        <f t="shared" si="31"/>
        <v>#N/A</v>
      </c>
      <c r="AB94" s="61" t="e">
        <f t="shared" si="27"/>
        <v>#N/A</v>
      </c>
      <c r="AC94" s="61" t="e">
        <f t="shared" si="28"/>
        <v>#N/A</v>
      </c>
      <c r="AD94" s="61" t="e">
        <f t="shared" si="29"/>
        <v>#N/A</v>
      </c>
      <c r="AE94" s="61" t="e">
        <f t="shared" si="32"/>
        <v>#N/A</v>
      </c>
      <c r="AF94" s="61">
        <f t="shared" si="33"/>
        <v>0</v>
      </c>
      <c r="AG94" s="61" t="e">
        <f t="shared" si="34"/>
        <v>#N/A</v>
      </c>
      <c r="AH94" s="61" t="e">
        <f t="shared" si="35"/>
        <v>#N/A</v>
      </c>
      <c r="AI94" s="61" t="e">
        <f t="shared" si="36"/>
        <v>#N/A</v>
      </c>
      <c r="AJ94" s="61" t="e">
        <f t="shared" si="37"/>
        <v>#N/A</v>
      </c>
      <c r="AK94" s="61" t="e">
        <f t="shared" si="38"/>
        <v>#N/A</v>
      </c>
      <c r="AL94" s="61" t="e">
        <f t="shared" si="39"/>
        <v>#N/A</v>
      </c>
      <c r="AM94" s="61" t="e">
        <f t="shared" si="40"/>
        <v>#N/A</v>
      </c>
      <c r="AN94" s="61" t="e">
        <f t="shared" si="41"/>
        <v>#N/A</v>
      </c>
      <c r="AO94" s="61" t="e">
        <f t="shared" si="42"/>
        <v>#N/A</v>
      </c>
      <c r="AP94" s="61" t="e">
        <f t="shared" si="43"/>
        <v>#N/A</v>
      </c>
      <c r="AQ94" s="61" t="e">
        <f t="shared" si="44"/>
        <v>#N/A</v>
      </c>
      <c r="AR94" s="61" t="e">
        <f t="shared" si="45"/>
        <v>#N/A</v>
      </c>
      <c r="AS94" s="61" t="e">
        <f t="shared" ca="1" si="46"/>
        <v>#N/A</v>
      </c>
      <c r="AT94" s="61" t="e">
        <f t="shared" ca="1" si="47"/>
        <v>#N/A</v>
      </c>
      <c r="AU94" s="61" t="e">
        <f t="shared" si="30"/>
        <v>#N/A</v>
      </c>
      <c r="AV94" s="61" t="e">
        <f t="shared" si="48"/>
        <v>#N/A</v>
      </c>
      <c r="AW94" s="61" t="e">
        <f t="shared" si="49"/>
        <v>#N/A</v>
      </c>
      <c r="AX94" s="61" t="e">
        <f t="shared" si="50"/>
        <v>#N/A</v>
      </c>
      <c r="AY94" s="74" t="e">
        <f t="shared" ca="1" si="77"/>
        <v>#N/A</v>
      </c>
      <c r="AZ94" s="74" t="e">
        <f t="shared" ca="1" si="78"/>
        <v>#N/A</v>
      </c>
      <c r="BA94" s="74" t="e">
        <f t="shared" ca="1" si="79"/>
        <v>#N/A</v>
      </c>
      <c r="BB94" s="74" t="e">
        <f t="shared" ca="1" si="80"/>
        <v>#N/A</v>
      </c>
      <c r="BC94" s="74" t="e">
        <f t="shared" ca="1" si="81"/>
        <v>#N/A</v>
      </c>
      <c r="BD94" s="74" t="e">
        <f t="shared" ca="1" si="82"/>
        <v>#N/A</v>
      </c>
      <c r="BE94" s="49" t="e">
        <f t="shared" ca="1" si="83"/>
        <v>#N/A</v>
      </c>
      <c r="BF94" s="49" t="e">
        <f t="shared" ca="1" si="63"/>
        <v>#N/A</v>
      </c>
      <c r="BG94" s="49" t="e">
        <f t="shared" ca="1" si="84"/>
        <v>#N/A</v>
      </c>
      <c r="BH94" s="49" t="e">
        <f t="shared" ca="1" si="64"/>
        <v>#N/A</v>
      </c>
      <c r="BI94" s="49">
        <f t="shared" si="85"/>
        <v>0</v>
      </c>
      <c r="BJ94" s="49" t="e">
        <f t="shared" ca="1" si="65"/>
        <v>#N/A</v>
      </c>
      <c r="BK94" s="71" t="e">
        <f t="shared" ca="1" si="66"/>
        <v>#N/A</v>
      </c>
      <c r="BL94" s="71" t="e">
        <f t="shared" ca="1" si="67"/>
        <v>#N/A</v>
      </c>
      <c r="BM94" s="71" t="e">
        <f t="shared" ca="1" si="68"/>
        <v>#N/A</v>
      </c>
      <c r="BN94" s="71" t="e">
        <f t="shared" ca="1" si="69"/>
        <v>#N/A</v>
      </c>
      <c r="BO94" s="75" t="e">
        <f t="shared" ca="1" si="86"/>
        <v>#N/A</v>
      </c>
      <c r="BP94" s="49" t="e">
        <f t="shared" ca="1" si="70"/>
        <v>#N/A</v>
      </c>
      <c r="BQ94" s="49" t="e">
        <f t="shared" ca="1" si="71"/>
        <v>#N/A</v>
      </c>
      <c r="BR94" s="49" t="e">
        <f t="shared" ca="1" si="72"/>
        <v>#N/A</v>
      </c>
      <c r="BS94" s="49" t="e">
        <f t="shared" ca="1" si="73"/>
        <v>#N/A</v>
      </c>
      <c r="BT94" s="49" t="e">
        <f t="shared" ca="1" si="74"/>
        <v>#N/A</v>
      </c>
      <c r="BU94" s="49" t="e">
        <f t="shared" ca="1" si="75"/>
        <v>#N/A</v>
      </c>
      <c r="BV94" s="49" t="e">
        <f t="shared" ca="1" si="76"/>
        <v>#N/A</v>
      </c>
    </row>
    <row r="95" spans="1:74" x14ac:dyDescent="0.3">
      <c r="A95" s="47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80">
        <v>208</v>
      </c>
      <c r="X95" s="73">
        <v>411</v>
      </c>
      <c r="Y95" s="48" t="e">
        <f t="shared" si="25"/>
        <v>#N/A</v>
      </c>
      <c r="Z95" s="61" t="e">
        <f t="shared" si="26"/>
        <v>#N/A</v>
      </c>
      <c r="AA95" s="61" t="e">
        <f t="shared" si="31"/>
        <v>#N/A</v>
      </c>
      <c r="AB95" s="61" t="e">
        <f t="shared" si="27"/>
        <v>#N/A</v>
      </c>
      <c r="AC95" s="61" t="e">
        <f t="shared" si="28"/>
        <v>#N/A</v>
      </c>
      <c r="AD95" s="61" t="e">
        <f t="shared" si="29"/>
        <v>#N/A</v>
      </c>
      <c r="AE95" s="61" t="e">
        <f t="shared" si="32"/>
        <v>#N/A</v>
      </c>
      <c r="AF95" s="61">
        <f t="shared" si="33"/>
        <v>0</v>
      </c>
      <c r="AG95" s="61" t="e">
        <f t="shared" si="34"/>
        <v>#N/A</v>
      </c>
      <c r="AH95" s="61" t="e">
        <f t="shared" si="35"/>
        <v>#N/A</v>
      </c>
      <c r="AI95" s="61" t="e">
        <f t="shared" si="36"/>
        <v>#N/A</v>
      </c>
      <c r="AJ95" s="61" t="e">
        <f t="shared" si="37"/>
        <v>#N/A</v>
      </c>
      <c r="AK95" s="61" t="e">
        <f t="shared" si="38"/>
        <v>#N/A</v>
      </c>
      <c r="AL95" s="61" t="e">
        <f t="shared" si="39"/>
        <v>#N/A</v>
      </c>
      <c r="AM95" s="61" t="e">
        <f t="shared" si="40"/>
        <v>#N/A</v>
      </c>
      <c r="AN95" s="61" t="e">
        <f t="shared" si="41"/>
        <v>#N/A</v>
      </c>
      <c r="AO95" s="61" t="e">
        <f t="shared" si="42"/>
        <v>#N/A</v>
      </c>
      <c r="AP95" s="61" t="e">
        <f t="shared" si="43"/>
        <v>#N/A</v>
      </c>
      <c r="AQ95" s="61" t="e">
        <f t="shared" si="44"/>
        <v>#N/A</v>
      </c>
      <c r="AR95" s="61" t="e">
        <f t="shared" si="45"/>
        <v>#N/A</v>
      </c>
      <c r="AS95" s="61" t="e">
        <f t="shared" ca="1" si="46"/>
        <v>#N/A</v>
      </c>
      <c r="AT95" s="61" t="e">
        <f t="shared" ca="1" si="47"/>
        <v>#N/A</v>
      </c>
      <c r="AU95" s="61" t="e">
        <f t="shared" si="30"/>
        <v>#N/A</v>
      </c>
      <c r="AV95" s="61" t="e">
        <f t="shared" si="48"/>
        <v>#N/A</v>
      </c>
      <c r="AW95" s="61" t="e">
        <f t="shared" si="49"/>
        <v>#N/A</v>
      </c>
      <c r="AX95" s="61" t="e">
        <f t="shared" si="50"/>
        <v>#N/A</v>
      </c>
      <c r="AY95" s="74" t="e">
        <f t="shared" ca="1" si="77"/>
        <v>#N/A</v>
      </c>
      <c r="AZ95" s="74" t="e">
        <f t="shared" ca="1" si="78"/>
        <v>#N/A</v>
      </c>
      <c r="BA95" s="74" t="e">
        <f t="shared" ca="1" si="79"/>
        <v>#N/A</v>
      </c>
      <c r="BB95" s="74" t="e">
        <f t="shared" ca="1" si="80"/>
        <v>#N/A</v>
      </c>
      <c r="BC95" s="74" t="e">
        <f t="shared" ca="1" si="81"/>
        <v>#N/A</v>
      </c>
      <c r="BD95" s="74" t="e">
        <f t="shared" ca="1" si="82"/>
        <v>#N/A</v>
      </c>
      <c r="BE95" s="49" t="e">
        <f t="shared" ca="1" si="83"/>
        <v>#N/A</v>
      </c>
      <c r="BF95" s="49" t="e">
        <f t="shared" ca="1" si="63"/>
        <v>#N/A</v>
      </c>
      <c r="BG95" s="49" t="e">
        <f t="shared" ca="1" si="84"/>
        <v>#N/A</v>
      </c>
      <c r="BH95" s="49" t="e">
        <f t="shared" ca="1" si="64"/>
        <v>#N/A</v>
      </c>
      <c r="BI95" s="49">
        <f t="shared" si="85"/>
        <v>0</v>
      </c>
      <c r="BJ95" s="49" t="e">
        <f t="shared" ca="1" si="65"/>
        <v>#N/A</v>
      </c>
      <c r="BK95" s="71" t="e">
        <f t="shared" ca="1" si="66"/>
        <v>#N/A</v>
      </c>
      <c r="BL95" s="71" t="e">
        <f t="shared" ca="1" si="67"/>
        <v>#N/A</v>
      </c>
      <c r="BM95" s="71" t="e">
        <f t="shared" ca="1" si="68"/>
        <v>#N/A</v>
      </c>
      <c r="BN95" s="71" t="e">
        <f t="shared" ca="1" si="69"/>
        <v>#N/A</v>
      </c>
      <c r="BO95" s="75" t="e">
        <f t="shared" ca="1" si="86"/>
        <v>#N/A</v>
      </c>
      <c r="BP95" s="49" t="e">
        <f t="shared" ca="1" si="70"/>
        <v>#N/A</v>
      </c>
      <c r="BQ95" s="49" t="e">
        <f t="shared" ca="1" si="71"/>
        <v>#N/A</v>
      </c>
      <c r="BR95" s="49" t="e">
        <f t="shared" ca="1" si="72"/>
        <v>#N/A</v>
      </c>
      <c r="BS95" s="49" t="e">
        <f t="shared" ca="1" si="73"/>
        <v>#N/A</v>
      </c>
      <c r="BT95" s="49" t="e">
        <f t="shared" ca="1" si="74"/>
        <v>#N/A</v>
      </c>
      <c r="BU95" s="49" t="e">
        <f t="shared" ca="1" si="75"/>
        <v>#N/A</v>
      </c>
      <c r="BV95" s="49" t="e">
        <f t="shared" ca="1" si="76"/>
        <v>#N/A</v>
      </c>
    </row>
    <row r="96" spans="1:74" x14ac:dyDescent="0.3">
      <c r="A96" s="47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80">
        <v>209</v>
      </c>
      <c r="X96" s="73">
        <v>420</v>
      </c>
      <c r="Y96" s="48" t="e">
        <f t="shared" si="25"/>
        <v>#N/A</v>
      </c>
      <c r="Z96" s="61" t="e">
        <f t="shared" si="26"/>
        <v>#N/A</v>
      </c>
      <c r="AA96" s="61" t="e">
        <f t="shared" si="31"/>
        <v>#N/A</v>
      </c>
      <c r="AB96" s="61" t="e">
        <f t="shared" si="27"/>
        <v>#N/A</v>
      </c>
      <c r="AC96" s="61" t="e">
        <f t="shared" si="28"/>
        <v>#N/A</v>
      </c>
      <c r="AD96" s="61" t="e">
        <f t="shared" si="29"/>
        <v>#N/A</v>
      </c>
      <c r="AE96" s="61" t="e">
        <f t="shared" si="32"/>
        <v>#N/A</v>
      </c>
      <c r="AF96" s="61">
        <f t="shared" si="33"/>
        <v>0</v>
      </c>
      <c r="AG96" s="61" t="e">
        <f t="shared" si="34"/>
        <v>#N/A</v>
      </c>
      <c r="AH96" s="61" t="e">
        <f t="shared" si="35"/>
        <v>#N/A</v>
      </c>
      <c r="AI96" s="61" t="e">
        <f t="shared" si="36"/>
        <v>#N/A</v>
      </c>
      <c r="AJ96" s="61" t="e">
        <f t="shared" si="37"/>
        <v>#N/A</v>
      </c>
      <c r="AK96" s="61" t="e">
        <f t="shared" si="38"/>
        <v>#N/A</v>
      </c>
      <c r="AL96" s="61" t="e">
        <f t="shared" si="39"/>
        <v>#N/A</v>
      </c>
      <c r="AM96" s="61" t="e">
        <f t="shared" si="40"/>
        <v>#N/A</v>
      </c>
      <c r="AN96" s="61" t="e">
        <f t="shared" si="41"/>
        <v>#N/A</v>
      </c>
      <c r="AO96" s="61" t="e">
        <f t="shared" si="42"/>
        <v>#N/A</v>
      </c>
      <c r="AP96" s="61" t="e">
        <f t="shared" si="43"/>
        <v>#N/A</v>
      </c>
      <c r="AQ96" s="61" t="e">
        <f t="shared" si="44"/>
        <v>#N/A</v>
      </c>
      <c r="AR96" s="61" t="e">
        <f t="shared" si="45"/>
        <v>#N/A</v>
      </c>
      <c r="AS96" s="61" t="e">
        <f t="shared" ca="1" si="46"/>
        <v>#N/A</v>
      </c>
      <c r="AT96" s="61" t="e">
        <f t="shared" ca="1" si="47"/>
        <v>#N/A</v>
      </c>
      <c r="AU96" s="61" t="e">
        <f t="shared" si="30"/>
        <v>#N/A</v>
      </c>
      <c r="AV96" s="61" t="e">
        <f t="shared" si="48"/>
        <v>#N/A</v>
      </c>
      <c r="AW96" s="61" t="e">
        <f t="shared" si="49"/>
        <v>#N/A</v>
      </c>
      <c r="AX96" s="61" t="e">
        <f t="shared" si="50"/>
        <v>#N/A</v>
      </c>
      <c r="AY96" s="74" t="e">
        <f t="shared" ca="1" si="77"/>
        <v>#N/A</v>
      </c>
      <c r="AZ96" s="74" t="e">
        <f t="shared" ca="1" si="78"/>
        <v>#N/A</v>
      </c>
      <c r="BA96" s="74" t="e">
        <f t="shared" ca="1" si="79"/>
        <v>#N/A</v>
      </c>
      <c r="BB96" s="74" t="e">
        <f t="shared" ca="1" si="80"/>
        <v>#N/A</v>
      </c>
      <c r="BC96" s="74" t="e">
        <f t="shared" ca="1" si="81"/>
        <v>#N/A</v>
      </c>
      <c r="BD96" s="74" t="e">
        <f t="shared" ca="1" si="82"/>
        <v>#N/A</v>
      </c>
      <c r="BE96" s="49" t="e">
        <f t="shared" ca="1" si="83"/>
        <v>#N/A</v>
      </c>
      <c r="BF96" s="49" t="e">
        <f t="shared" ca="1" si="63"/>
        <v>#N/A</v>
      </c>
      <c r="BG96" s="49" t="e">
        <f t="shared" ca="1" si="84"/>
        <v>#N/A</v>
      </c>
      <c r="BH96" s="49" t="e">
        <f t="shared" ca="1" si="64"/>
        <v>#N/A</v>
      </c>
      <c r="BI96" s="49">
        <f t="shared" si="85"/>
        <v>0</v>
      </c>
      <c r="BJ96" s="49" t="e">
        <f t="shared" ca="1" si="65"/>
        <v>#N/A</v>
      </c>
      <c r="BK96" s="71" t="e">
        <f t="shared" ca="1" si="66"/>
        <v>#N/A</v>
      </c>
      <c r="BL96" s="71" t="e">
        <f t="shared" ca="1" si="67"/>
        <v>#N/A</v>
      </c>
      <c r="BM96" s="71" t="e">
        <f t="shared" ca="1" si="68"/>
        <v>#N/A</v>
      </c>
      <c r="BN96" s="71" t="e">
        <f t="shared" ca="1" si="69"/>
        <v>#N/A</v>
      </c>
      <c r="BO96" s="75" t="e">
        <f t="shared" ca="1" si="86"/>
        <v>#N/A</v>
      </c>
      <c r="BP96" s="49" t="e">
        <f t="shared" ca="1" si="70"/>
        <v>#N/A</v>
      </c>
      <c r="BQ96" s="49" t="e">
        <f t="shared" ca="1" si="71"/>
        <v>#N/A</v>
      </c>
      <c r="BR96" s="49" t="e">
        <f t="shared" ca="1" si="72"/>
        <v>#N/A</v>
      </c>
      <c r="BS96" s="49" t="e">
        <f t="shared" ca="1" si="73"/>
        <v>#N/A</v>
      </c>
      <c r="BT96" s="49" t="e">
        <f t="shared" ca="1" si="74"/>
        <v>#N/A</v>
      </c>
      <c r="BU96" s="49" t="e">
        <f t="shared" ca="1" si="75"/>
        <v>#N/A</v>
      </c>
      <c r="BV96" s="49" t="e">
        <f t="shared" ca="1" si="76"/>
        <v>#N/A</v>
      </c>
    </row>
    <row r="97" spans="1:74" x14ac:dyDescent="0.3">
      <c r="A97" s="47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80">
        <v>210</v>
      </c>
      <c r="X97" s="73">
        <v>430</v>
      </c>
      <c r="Y97" s="48" t="e">
        <f t="shared" si="25"/>
        <v>#N/A</v>
      </c>
      <c r="Z97" s="61" t="e">
        <f t="shared" si="26"/>
        <v>#N/A</v>
      </c>
      <c r="AA97" s="61" t="e">
        <f t="shared" si="31"/>
        <v>#N/A</v>
      </c>
      <c r="AB97" s="61" t="e">
        <f t="shared" si="27"/>
        <v>#N/A</v>
      </c>
      <c r="AC97" s="61" t="e">
        <f t="shared" si="28"/>
        <v>#N/A</v>
      </c>
      <c r="AD97" s="61" t="e">
        <f t="shared" si="29"/>
        <v>#N/A</v>
      </c>
      <c r="AE97" s="61" t="e">
        <f t="shared" si="32"/>
        <v>#N/A</v>
      </c>
      <c r="AF97" s="61">
        <f t="shared" si="33"/>
        <v>0</v>
      </c>
      <c r="AG97" s="61" t="e">
        <f t="shared" si="34"/>
        <v>#N/A</v>
      </c>
      <c r="AH97" s="61" t="e">
        <f t="shared" si="35"/>
        <v>#N/A</v>
      </c>
      <c r="AI97" s="61" t="e">
        <f t="shared" si="36"/>
        <v>#N/A</v>
      </c>
      <c r="AJ97" s="61" t="e">
        <f t="shared" si="37"/>
        <v>#N/A</v>
      </c>
      <c r="AK97" s="61" t="e">
        <f t="shared" si="38"/>
        <v>#N/A</v>
      </c>
      <c r="AL97" s="61" t="e">
        <f t="shared" si="39"/>
        <v>#N/A</v>
      </c>
      <c r="AM97" s="61" t="e">
        <f t="shared" si="40"/>
        <v>#N/A</v>
      </c>
      <c r="AN97" s="61" t="e">
        <f t="shared" si="41"/>
        <v>#N/A</v>
      </c>
      <c r="AO97" s="61" t="e">
        <f t="shared" si="42"/>
        <v>#N/A</v>
      </c>
      <c r="AP97" s="61" t="e">
        <f t="shared" si="43"/>
        <v>#N/A</v>
      </c>
      <c r="AQ97" s="61" t="e">
        <f t="shared" si="44"/>
        <v>#N/A</v>
      </c>
      <c r="AR97" s="61" t="e">
        <f t="shared" si="45"/>
        <v>#N/A</v>
      </c>
      <c r="AS97" s="61" t="e">
        <f t="shared" ca="1" si="46"/>
        <v>#N/A</v>
      </c>
      <c r="AT97" s="61" t="e">
        <f t="shared" ca="1" si="47"/>
        <v>#N/A</v>
      </c>
      <c r="AU97" s="61" t="e">
        <f t="shared" si="30"/>
        <v>#N/A</v>
      </c>
      <c r="AV97" s="61" t="e">
        <f t="shared" si="48"/>
        <v>#N/A</v>
      </c>
      <c r="AW97" s="61" t="e">
        <f t="shared" si="49"/>
        <v>#N/A</v>
      </c>
      <c r="AX97" s="61" t="e">
        <f t="shared" si="50"/>
        <v>#N/A</v>
      </c>
      <c r="AY97" s="74" t="e">
        <f t="shared" ca="1" si="77"/>
        <v>#N/A</v>
      </c>
      <c r="AZ97" s="74" t="e">
        <f t="shared" ca="1" si="78"/>
        <v>#N/A</v>
      </c>
      <c r="BA97" s="74" t="e">
        <f t="shared" ca="1" si="79"/>
        <v>#N/A</v>
      </c>
      <c r="BB97" s="74" t="e">
        <f t="shared" ca="1" si="80"/>
        <v>#N/A</v>
      </c>
      <c r="BC97" s="74" t="e">
        <f t="shared" ca="1" si="81"/>
        <v>#N/A</v>
      </c>
      <c r="BD97" s="74" t="e">
        <f t="shared" ca="1" si="82"/>
        <v>#N/A</v>
      </c>
      <c r="BE97" s="49" t="e">
        <f t="shared" ca="1" si="83"/>
        <v>#N/A</v>
      </c>
      <c r="BF97" s="49" t="e">
        <f t="shared" ca="1" si="63"/>
        <v>#N/A</v>
      </c>
      <c r="BG97" s="49" t="e">
        <f t="shared" ca="1" si="84"/>
        <v>#N/A</v>
      </c>
      <c r="BH97" s="49" t="e">
        <f t="shared" ca="1" si="64"/>
        <v>#N/A</v>
      </c>
      <c r="BI97" s="49">
        <f t="shared" si="85"/>
        <v>0</v>
      </c>
      <c r="BJ97" s="49" t="e">
        <f t="shared" ca="1" si="65"/>
        <v>#N/A</v>
      </c>
      <c r="BK97" s="71" t="e">
        <f t="shared" ca="1" si="66"/>
        <v>#N/A</v>
      </c>
      <c r="BL97" s="71" t="e">
        <f t="shared" ca="1" si="67"/>
        <v>#N/A</v>
      </c>
      <c r="BM97" s="71" t="e">
        <f t="shared" ca="1" si="68"/>
        <v>#N/A</v>
      </c>
      <c r="BN97" s="71" t="e">
        <f t="shared" ca="1" si="69"/>
        <v>#N/A</v>
      </c>
      <c r="BO97" s="75" t="e">
        <f t="shared" ca="1" si="86"/>
        <v>#N/A</v>
      </c>
      <c r="BP97" s="49" t="e">
        <f t="shared" ca="1" si="70"/>
        <v>#N/A</v>
      </c>
      <c r="BQ97" s="49" t="e">
        <f t="shared" ca="1" si="71"/>
        <v>#N/A</v>
      </c>
      <c r="BR97" s="49" t="e">
        <f t="shared" ca="1" si="72"/>
        <v>#N/A</v>
      </c>
      <c r="BS97" s="49" t="e">
        <f t="shared" ca="1" si="73"/>
        <v>#N/A</v>
      </c>
      <c r="BT97" s="49" t="e">
        <f t="shared" ca="1" si="74"/>
        <v>#N/A</v>
      </c>
      <c r="BU97" s="49" t="e">
        <f t="shared" ca="1" si="75"/>
        <v>#N/A</v>
      </c>
      <c r="BV97" s="49" t="e">
        <f t="shared" ca="1" si="76"/>
        <v>#N/A</v>
      </c>
    </row>
    <row r="98" spans="1:74" x14ac:dyDescent="0.3">
      <c r="A98" s="47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80">
        <v>211</v>
      </c>
      <c r="X98" s="73">
        <v>440</v>
      </c>
      <c r="Y98" s="48" t="e">
        <f t="shared" si="25"/>
        <v>#N/A</v>
      </c>
      <c r="Z98" s="61" t="e">
        <f t="shared" si="26"/>
        <v>#N/A</v>
      </c>
      <c r="AA98" s="61" t="e">
        <f t="shared" si="31"/>
        <v>#N/A</v>
      </c>
      <c r="AB98" s="61" t="e">
        <f t="shared" si="27"/>
        <v>#N/A</v>
      </c>
      <c r="AC98" s="61" t="e">
        <f t="shared" si="28"/>
        <v>#N/A</v>
      </c>
      <c r="AD98" s="61" t="e">
        <f t="shared" si="29"/>
        <v>#N/A</v>
      </c>
      <c r="AE98" s="61" t="e">
        <f t="shared" si="32"/>
        <v>#N/A</v>
      </c>
      <c r="AF98" s="61">
        <f t="shared" si="33"/>
        <v>0</v>
      </c>
      <c r="AG98" s="61" t="e">
        <f t="shared" si="34"/>
        <v>#N/A</v>
      </c>
      <c r="AH98" s="61" t="e">
        <f t="shared" si="35"/>
        <v>#N/A</v>
      </c>
      <c r="AI98" s="61" t="e">
        <f t="shared" si="36"/>
        <v>#N/A</v>
      </c>
      <c r="AJ98" s="61" t="e">
        <f t="shared" si="37"/>
        <v>#N/A</v>
      </c>
      <c r="AK98" s="61" t="e">
        <f t="shared" si="38"/>
        <v>#N/A</v>
      </c>
      <c r="AL98" s="61" t="e">
        <f t="shared" si="39"/>
        <v>#N/A</v>
      </c>
      <c r="AM98" s="61" t="e">
        <f t="shared" si="40"/>
        <v>#N/A</v>
      </c>
      <c r="AN98" s="61" t="e">
        <f t="shared" si="41"/>
        <v>#N/A</v>
      </c>
      <c r="AO98" s="61" t="e">
        <f t="shared" si="42"/>
        <v>#N/A</v>
      </c>
      <c r="AP98" s="61" t="e">
        <f t="shared" si="43"/>
        <v>#N/A</v>
      </c>
      <c r="AQ98" s="61" t="e">
        <f t="shared" si="44"/>
        <v>#N/A</v>
      </c>
      <c r="AR98" s="61" t="e">
        <f t="shared" si="45"/>
        <v>#N/A</v>
      </c>
      <c r="AS98" s="61" t="e">
        <f t="shared" ca="1" si="46"/>
        <v>#N/A</v>
      </c>
      <c r="AT98" s="61" t="e">
        <f t="shared" ca="1" si="47"/>
        <v>#N/A</v>
      </c>
      <c r="AU98" s="61" t="e">
        <f t="shared" si="30"/>
        <v>#N/A</v>
      </c>
      <c r="AV98" s="61" t="e">
        <f t="shared" si="48"/>
        <v>#N/A</v>
      </c>
      <c r="AW98" s="61" t="e">
        <f t="shared" si="49"/>
        <v>#N/A</v>
      </c>
      <c r="AX98" s="61" t="e">
        <f t="shared" si="50"/>
        <v>#N/A</v>
      </c>
      <c r="AY98" s="74" t="e">
        <f t="shared" ca="1" si="77"/>
        <v>#N/A</v>
      </c>
      <c r="AZ98" s="74" t="e">
        <f t="shared" ca="1" si="78"/>
        <v>#N/A</v>
      </c>
      <c r="BA98" s="74" t="e">
        <f t="shared" ca="1" si="79"/>
        <v>#N/A</v>
      </c>
      <c r="BB98" s="74" t="e">
        <f t="shared" ca="1" si="80"/>
        <v>#N/A</v>
      </c>
      <c r="BC98" s="74" t="e">
        <f t="shared" ca="1" si="81"/>
        <v>#N/A</v>
      </c>
      <c r="BD98" s="74" t="e">
        <f t="shared" ca="1" si="82"/>
        <v>#N/A</v>
      </c>
      <c r="BE98" s="49" t="e">
        <f t="shared" ca="1" si="83"/>
        <v>#N/A</v>
      </c>
      <c r="BF98" s="49" t="e">
        <f t="shared" ca="1" si="63"/>
        <v>#N/A</v>
      </c>
      <c r="BG98" s="49" t="e">
        <f t="shared" ca="1" si="84"/>
        <v>#N/A</v>
      </c>
      <c r="BH98" s="49" t="e">
        <f t="shared" ca="1" si="64"/>
        <v>#N/A</v>
      </c>
      <c r="BI98" s="49">
        <f t="shared" si="85"/>
        <v>0</v>
      </c>
      <c r="BJ98" s="49" t="e">
        <f t="shared" ca="1" si="65"/>
        <v>#N/A</v>
      </c>
      <c r="BK98" s="71" t="e">
        <f t="shared" ca="1" si="66"/>
        <v>#N/A</v>
      </c>
      <c r="BL98" s="71" t="e">
        <f t="shared" ca="1" si="67"/>
        <v>#N/A</v>
      </c>
      <c r="BM98" s="71" t="e">
        <f t="shared" ca="1" si="68"/>
        <v>#N/A</v>
      </c>
      <c r="BN98" s="71" t="e">
        <f t="shared" ca="1" si="69"/>
        <v>#N/A</v>
      </c>
      <c r="BO98" s="75" t="e">
        <f t="shared" ca="1" si="86"/>
        <v>#N/A</v>
      </c>
      <c r="BP98" s="49" t="e">
        <f t="shared" ca="1" si="70"/>
        <v>#N/A</v>
      </c>
      <c r="BQ98" s="49" t="e">
        <f t="shared" ca="1" si="71"/>
        <v>#N/A</v>
      </c>
      <c r="BR98" s="49" t="e">
        <f t="shared" ca="1" si="72"/>
        <v>#N/A</v>
      </c>
      <c r="BS98" s="49" t="e">
        <f t="shared" ca="1" si="73"/>
        <v>#N/A</v>
      </c>
      <c r="BT98" s="49" t="e">
        <f t="shared" ca="1" si="74"/>
        <v>#N/A</v>
      </c>
      <c r="BU98" s="49" t="e">
        <f t="shared" ca="1" si="75"/>
        <v>#N/A</v>
      </c>
      <c r="BV98" s="49" t="e">
        <f t="shared" ca="1" si="76"/>
        <v>#N/A</v>
      </c>
    </row>
    <row r="99" spans="1:74" x14ac:dyDescent="0.3">
      <c r="A99" s="47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80">
        <v>212</v>
      </c>
      <c r="X99" s="73">
        <v>450</v>
      </c>
      <c r="Y99" s="48" t="e">
        <f t="shared" si="25"/>
        <v>#N/A</v>
      </c>
      <c r="Z99" s="61" t="e">
        <f t="shared" si="26"/>
        <v>#N/A</v>
      </c>
      <c r="AA99" s="61" t="e">
        <f t="shared" si="31"/>
        <v>#N/A</v>
      </c>
      <c r="AB99" s="61" t="e">
        <f t="shared" si="27"/>
        <v>#N/A</v>
      </c>
      <c r="AC99" s="61" t="e">
        <f t="shared" si="28"/>
        <v>#N/A</v>
      </c>
      <c r="AD99" s="61" t="e">
        <f t="shared" si="29"/>
        <v>#N/A</v>
      </c>
      <c r="AE99" s="61" t="e">
        <f t="shared" si="32"/>
        <v>#N/A</v>
      </c>
      <c r="AF99" s="61">
        <f t="shared" si="33"/>
        <v>0</v>
      </c>
      <c r="AG99" s="61" t="e">
        <f t="shared" si="34"/>
        <v>#N/A</v>
      </c>
      <c r="AH99" s="61" t="e">
        <f t="shared" si="35"/>
        <v>#N/A</v>
      </c>
      <c r="AI99" s="61" t="e">
        <f t="shared" si="36"/>
        <v>#N/A</v>
      </c>
      <c r="AJ99" s="61" t="e">
        <f t="shared" si="37"/>
        <v>#N/A</v>
      </c>
      <c r="AK99" s="61" t="e">
        <f t="shared" si="38"/>
        <v>#N/A</v>
      </c>
      <c r="AL99" s="61" t="e">
        <f t="shared" si="39"/>
        <v>#N/A</v>
      </c>
      <c r="AM99" s="61" t="e">
        <f t="shared" si="40"/>
        <v>#N/A</v>
      </c>
      <c r="AN99" s="61" t="e">
        <f t="shared" si="41"/>
        <v>#N/A</v>
      </c>
      <c r="AO99" s="61" t="e">
        <f t="shared" si="42"/>
        <v>#N/A</v>
      </c>
      <c r="AP99" s="61" t="e">
        <f t="shared" si="43"/>
        <v>#N/A</v>
      </c>
      <c r="AQ99" s="61" t="e">
        <f t="shared" si="44"/>
        <v>#N/A</v>
      </c>
      <c r="AR99" s="61" t="e">
        <f t="shared" si="45"/>
        <v>#N/A</v>
      </c>
      <c r="AS99" s="61" t="e">
        <f t="shared" ca="1" si="46"/>
        <v>#N/A</v>
      </c>
      <c r="AT99" s="61" t="e">
        <f t="shared" ca="1" si="47"/>
        <v>#N/A</v>
      </c>
      <c r="AU99" s="61" t="e">
        <f t="shared" si="30"/>
        <v>#N/A</v>
      </c>
      <c r="AV99" s="61" t="e">
        <f t="shared" si="48"/>
        <v>#N/A</v>
      </c>
      <c r="AW99" s="61" t="e">
        <f t="shared" si="49"/>
        <v>#N/A</v>
      </c>
      <c r="AX99" s="61" t="e">
        <f t="shared" si="50"/>
        <v>#N/A</v>
      </c>
      <c r="AY99" s="74" t="e">
        <f t="shared" ca="1" si="77"/>
        <v>#N/A</v>
      </c>
      <c r="AZ99" s="74" t="e">
        <f t="shared" ca="1" si="78"/>
        <v>#N/A</v>
      </c>
      <c r="BA99" s="74" t="e">
        <f t="shared" ca="1" si="79"/>
        <v>#N/A</v>
      </c>
      <c r="BB99" s="74" t="e">
        <f t="shared" ca="1" si="80"/>
        <v>#N/A</v>
      </c>
      <c r="BC99" s="74" t="e">
        <f t="shared" ca="1" si="81"/>
        <v>#N/A</v>
      </c>
      <c r="BD99" s="74" t="e">
        <f t="shared" ca="1" si="82"/>
        <v>#N/A</v>
      </c>
      <c r="BE99" s="49" t="e">
        <f t="shared" ca="1" si="83"/>
        <v>#N/A</v>
      </c>
      <c r="BF99" s="49" t="e">
        <f t="shared" ca="1" si="63"/>
        <v>#N/A</v>
      </c>
      <c r="BG99" s="49" t="e">
        <f t="shared" ca="1" si="84"/>
        <v>#N/A</v>
      </c>
      <c r="BH99" s="49" t="e">
        <f t="shared" ca="1" si="64"/>
        <v>#N/A</v>
      </c>
      <c r="BI99" s="49">
        <f t="shared" si="85"/>
        <v>0</v>
      </c>
      <c r="BJ99" s="49" t="e">
        <f t="shared" ca="1" si="65"/>
        <v>#N/A</v>
      </c>
      <c r="BK99" s="71" t="e">
        <f t="shared" ca="1" si="66"/>
        <v>#N/A</v>
      </c>
      <c r="BL99" s="71" t="e">
        <f t="shared" ca="1" si="67"/>
        <v>#N/A</v>
      </c>
      <c r="BM99" s="71" t="e">
        <f t="shared" ca="1" si="68"/>
        <v>#N/A</v>
      </c>
      <c r="BN99" s="71" t="e">
        <f t="shared" ca="1" si="69"/>
        <v>#N/A</v>
      </c>
      <c r="BO99" s="75" t="e">
        <f t="shared" ca="1" si="86"/>
        <v>#N/A</v>
      </c>
      <c r="BP99" s="49" t="e">
        <f t="shared" ca="1" si="70"/>
        <v>#N/A</v>
      </c>
      <c r="BQ99" s="49" t="e">
        <f t="shared" ca="1" si="71"/>
        <v>#N/A</v>
      </c>
      <c r="BR99" s="49" t="e">
        <f t="shared" ca="1" si="72"/>
        <v>#N/A</v>
      </c>
      <c r="BS99" s="49" t="e">
        <f t="shared" ca="1" si="73"/>
        <v>#N/A</v>
      </c>
      <c r="BT99" s="49" t="e">
        <f t="shared" ca="1" si="74"/>
        <v>#N/A</v>
      </c>
      <c r="BU99" s="49" t="e">
        <f t="shared" ca="1" si="75"/>
        <v>#N/A</v>
      </c>
      <c r="BV99" s="49" t="e">
        <f t="shared" ca="1" si="76"/>
        <v>#N/A</v>
      </c>
    </row>
    <row r="100" spans="1:74" x14ac:dyDescent="0.3">
      <c r="A100" s="47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80">
        <v>213</v>
      </c>
      <c r="X100" s="73">
        <v>460</v>
      </c>
      <c r="Y100" s="48" t="e">
        <f t="shared" si="25"/>
        <v>#N/A</v>
      </c>
      <c r="Z100" s="61" t="e">
        <f t="shared" si="26"/>
        <v>#N/A</v>
      </c>
      <c r="AA100" s="61" t="e">
        <f t="shared" si="31"/>
        <v>#N/A</v>
      </c>
      <c r="AB100" s="61" t="e">
        <f t="shared" si="27"/>
        <v>#N/A</v>
      </c>
      <c r="AC100" s="61" t="e">
        <f t="shared" si="28"/>
        <v>#N/A</v>
      </c>
      <c r="AD100" s="61" t="e">
        <f t="shared" si="29"/>
        <v>#N/A</v>
      </c>
      <c r="AE100" s="61" t="e">
        <f t="shared" si="32"/>
        <v>#N/A</v>
      </c>
      <c r="AF100" s="61">
        <f t="shared" si="33"/>
        <v>0</v>
      </c>
      <c r="AG100" s="61" t="e">
        <f t="shared" si="34"/>
        <v>#N/A</v>
      </c>
      <c r="AH100" s="61" t="e">
        <f t="shared" si="35"/>
        <v>#N/A</v>
      </c>
      <c r="AI100" s="61" t="e">
        <f t="shared" si="36"/>
        <v>#N/A</v>
      </c>
      <c r="AJ100" s="61" t="e">
        <f t="shared" si="37"/>
        <v>#N/A</v>
      </c>
      <c r="AK100" s="61" t="e">
        <f t="shared" si="38"/>
        <v>#N/A</v>
      </c>
      <c r="AL100" s="61" t="e">
        <f t="shared" si="39"/>
        <v>#N/A</v>
      </c>
      <c r="AM100" s="61" t="e">
        <f t="shared" si="40"/>
        <v>#N/A</v>
      </c>
      <c r="AN100" s="61" t="e">
        <f t="shared" si="41"/>
        <v>#N/A</v>
      </c>
      <c r="AO100" s="61" t="e">
        <f t="shared" si="42"/>
        <v>#N/A</v>
      </c>
      <c r="AP100" s="61" t="e">
        <f t="shared" si="43"/>
        <v>#N/A</v>
      </c>
      <c r="AQ100" s="61" t="e">
        <f t="shared" si="44"/>
        <v>#N/A</v>
      </c>
      <c r="AR100" s="61" t="e">
        <f t="shared" si="45"/>
        <v>#N/A</v>
      </c>
      <c r="AS100" s="61" t="e">
        <f t="shared" ca="1" si="46"/>
        <v>#N/A</v>
      </c>
      <c r="AT100" s="61" t="e">
        <f t="shared" ca="1" si="47"/>
        <v>#N/A</v>
      </c>
      <c r="AU100" s="61" t="e">
        <f t="shared" si="30"/>
        <v>#N/A</v>
      </c>
      <c r="AV100" s="61" t="e">
        <f t="shared" si="48"/>
        <v>#N/A</v>
      </c>
      <c r="AW100" s="61" t="e">
        <f t="shared" si="49"/>
        <v>#N/A</v>
      </c>
      <c r="AX100" s="61" t="e">
        <f t="shared" si="50"/>
        <v>#N/A</v>
      </c>
      <c r="AY100" s="74" t="e">
        <f t="shared" ca="1" si="77"/>
        <v>#N/A</v>
      </c>
      <c r="AZ100" s="74" t="e">
        <f t="shared" ca="1" si="78"/>
        <v>#N/A</v>
      </c>
      <c r="BA100" s="74" t="e">
        <f t="shared" ca="1" si="79"/>
        <v>#N/A</v>
      </c>
      <c r="BB100" s="74" t="e">
        <f t="shared" ca="1" si="80"/>
        <v>#N/A</v>
      </c>
      <c r="BC100" s="74" t="e">
        <f t="shared" ca="1" si="81"/>
        <v>#N/A</v>
      </c>
      <c r="BD100" s="74" t="e">
        <f t="shared" ca="1" si="82"/>
        <v>#N/A</v>
      </c>
      <c r="BE100" s="49" t="e">
        <f t="shared" ca="1" si="83"/>
        <v>#N/A</v>
      </c>
      <c r="BF100" s="49" t="e">
        <f t="shared" ca="1" si="63"/>
        <v>#N/A</v>
      </c>
      <c r="BG100" s="49" t="e">
        <f t="shared" ca="1" si="84"/>
        <v>#N/A</v>
      </c>
      <c r="BH100" s="49" t="e">
        <f t="shared" ca="1" si="64"/>
        <v>#N/A</v>
      </c>
      <c r="BI100" s="49">
        <f t="shared" si="85"/>
        <v>0</v>
      </c>
      <c r="BJ100" s="49" t="e">
        <f t="shared" ca="1" si="65"/>
        <v>#N/A</v>
      </c>
      <c r="BK100" s="71" t="e">
        <f t="shared" ca="1" si="66"/>
        <v>#N/A</v>
      </c>
      <c r="BL100" s="71" t="e">
        <f t="shared" ca="1" si="67"/>
        <v>#N/A</v>
      </c>
      <c r="BM100" s="71" t="e">
        <f t="shared" ca="1" si="68"/>
        <v>#N/A</v>
      </c>
      <c r="BN100" s="71" t="e">
        <f t="shared" ca="1" si="69"/>
        <v>#N/A</v>
      </c>
      <c r="BO100" s="75" t="e">
        <f t="shared" ca="1" si="86"/>
        <v>#N/A</v>
      </c>
      <c r="BP100" s="49" t="e">
        <f t="shared" ca="1" si="70"/>
        <v>#N/A</v>
      </c>
      <c r="BQ100" s="49" t="e">
        <f t="shared" ca="1" si="71"/>
        <v>#N/A</v>
      </c>
      <c r="BR100" s="49" t="e">
        <f t="shared" ca="1" si="72"/>
        <v>#N/A</v>
      </c>
      <c r="BS100" s="49" t="e">
        <f t="shared" ca="1" si="73"/>
        <v>#N/A</v>
      </c>
      <c r="BT100" s="49" t="e">
        <f t="shared" ca="1" si="74"/>
        <v>#N/A</v>
      </c>
      <c r="BU100" s="49" t="e">
        <f t="shared" ca="1" si="75"/>
        <v>#N/A</v>
      </c>
      <c r="BV100" s="49" t="e">
        <f t="shared" ca="1" si="76"/>
        <v>#N/A</v>
      </c>
    </row>
    <row r="101" spans="1:74" x14ac:dyDescent="0.3">
      <c r="A101" s="47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80">
        <v>214</v>
      </c>
      <c r="X101" s="73">
        <v>470</v>
      </c>
      <c r="Y101" s="48" t="e">
        <f t="shared" si="25"/>
        <v>#N/A</v>
      </c>
      <c r="Z101" s="61" t="e">
        <f t="shared" si="26"/>
        <v>#N/A</v>
      </c>
      <c r="AA101" s="61" t="e">
        <f t="shared" si="31"/>
        <v>#N/A</v>
      </c>
      <c r="AB101" s="61" t="e">
        <f t="shared" si="27"/>
        <v>#N/A</v>
      </c>
      <c r="AC101" s="61" t="e">
        <f t="shared" si="28"/>
        <v>#N/A</v>
      </c>
      <c r="AD101" s="61" t="e">
        <f t="shared" si="29"/>
        <v>#N/A</v>
      </c>
      <c r="AE101" s="61" t="e">
        <f t="shared" si="32"/>
        <v>#N/A</v>
      </c>
      <c r="AF101" s="61">
        <f t="shared" si="33"/>
        <v>0</v>
      </c>
      <c r="AG101" s="61" t="e">
        <f t="shared" si="34"/>
        <v>#N/A</v>
      </c>
      <c r="AH101" s="61" t="e">
        <f t="shared" si="35"/>
        <v>#N/A</v>
      </c>
      <c r="AI101" s="61" t="e">
        <f t="shared" si="36"/>
        <v>#N/A</v>
      </c>
      <c r="AJ101" s="61" t="e">
        <f t="shared" si="37"/>
        <v>#N/A</v>
      </c>
      <c r="AK101" s="61" t="e">
        <f t="shared" si="38"/>
        <v>#N/A</v>
      </c>
      <c r="AL101" s="61" t="e">
        <f t="shared" si="39"/>
        <v>#N/A</v>
      </c>
      <c r="AM101" s="61" t="e">
        <f t="shared" si="40"/>
        <v>#N/A</v>
      </c>
      <c r="AN101" s="61" t="e">
        <f t="shared" si="41"/>
        <v>#N/A</v>
      </c>
      <c r="AO101" s="61" t="e">
        <f t="shared" si="42"/>
        <v>#N/A</v>
      </c>
      <c r="AP101" s="61" t="e">
        <f t="shared" si="43"/>
        <v>#N/A</v>
      </c>
      <c r="AQ101" s="61" t="e">
        <f t="shared" si="44"/>
        <v>#N/A</v>
      </c>
      <c r="AR101" s="61" t="e">
        <f t="shared" si="45"/>
        <v>#N/A</v>
      </c>
      <c r="AS101" s="61" t="e">
        <f t="shared" ca="1" si="46"/>
        <v>#N/A</v>
      </c>
      <c r="AT101" s="61" t="e">
        <f t="shared" ca="1" si="47"/>
        <v>#N/A</v>
      </c>
      <c r="AU101" s="61" t="e">
        <f t="shared" si="30"/>
        <v>#N/A</v>
      </c>
      <c r="AV101" s="61" t="e">
        <f t="shared" si="48"/>
        <v>#N/A</v>
      </c>
      <c r="AW101" s="61" t="e">
        <f t="shared" si="49"/>
        <v>#N/A</v>
      </c>
      <c r="AX101" s="61" t="e">
        <f t="shared" si="50"/>
        <v>#N/A</v>
      </c>
      <c r="AY101" s="74" t="e">
        <f t="shared" ca="1" si="77"/>
        <v>#N/A</v>
      </c>
      <c r="AZ101" s="74" t="e">
        <f t="shared" ca="1" si="78"/>
        <v>#N/A</v>
      </c>
      <c r="BA101" s="74" t="e">
        <f t="shared" ca="1" si="79"/>
        <v>#N/A</v>
      </c>
      <c r="BB101" s="74" t="e">
        <f t="shared" ca="1" si="80"/>
        <v>#N/A</v>
      </c>
      <c r="BC101" s="74" t="e">
        <f t="shared" ca="1" si="81"/>
        <v>#N/A</v>
      </c>
      <c r="BD101" s="74" t="e">
        <f t="shared" ca="1" si="82"/>
        <v>#N/A</v>
      </c>
      <c r="BE101" s="49" t="e">
        <f t="shared" ca="1" si="83"/>
        <v>#N/A</v>
      </c>
      <c r="BF101" s="49" t="e">
        <f t="shared" ca="1" si="63"/>
        <v>#N/A</v>
      </c>
      <c r="BG101" s="49" t="e">
        <f t="shared" ca="1" si="84"/>
        <v>#N/A</v>
      </c>
      <c r="BH101" s="49" t="e">
        <f t="shared" ca="1" si="64"/>
        <v>#N/A</v>
      </c>
      <c r="BI101" s="49">
        <f t="shared" si="85"/>
        <v>0</v>
      </c>
      <c r="BJ101" s="49" t="e">
        <f t="shared" ca="1" si="65"/>
        <v>#N/A</v>
      </c>
      <c r="BK101" s="71" t="e">
        <f t="shared" ca="1" si="66"/>
        <v>#N/A</v>
      </c>
      <c r="BL101" s="71" t="e">
        <f t="shared" ca="1" si="67"/>
        <v>#N/A</v>
      </c>
      <c r="BM101" s="71" t="e">
        <f t="shared" ca="1" si="68"/>
        <v>#N/A</v>
      </c>
      <c r="BN101" s="71" t="e">
        <f t="shared" ca="1" si="69"/>
        <v>#N/A</v>
      </c>
      <c r="BO101" s="75" t="e">
        <f t="shared" ca="1" si="86"/>
        <v>#N/A</v>
      </c>
      <c r="BP101" s="49" t="e">
        <f t="shared" ca="1" si="70"/>
        <v>#N/A</v>
      </c>
      <c r="BQ101" s="49" t="e">
        <f t="shared" ca="1" si="71"/>
        <v>#N/A</v>
      </c>
      <c r="BR101" s="49" t="e">
        <f t="shared" ca="1" si="72"/>
        <v>#N/A</v>
      </c>
      <c r="BS101" s="49" t="e">
        <f t="shared" ca="1" si="73"/>
        <v>#N/A</v>
      </c>
      <c r="BT101" s="49" t="e">
        <f t="shared" ca="1" si="74"/>
        <v>#N/A</v>
      </c>
      <c r="BU101" s="49" t="e">
        <f t="shared" ca="1" si="75"/>
        <v>#N/A</v>
      </c>
      <c r="BV101" s="49" t="e">
        <f t="shared" ca="1" si="76"/>
        <v>#N/A</v>
      </c>
    </row>
    <row r="102" spans="1:74" x14ac:dyDescent="0.3">
      <c r="A102" s="47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80">
        <v>215</v>
      </c>
      <c r="X102" s="73">
        <v>480</v>
      </c>
      <c r="Y102" s="48" t="e">
        <f t="shared" si="25"/>
        <v>#N/A</v>
      </c>
      <c r="Z102" s="61" t="e">
        <f t="shared" si="26"/>
        <v>#N/A</v>
      </c>
      <c r="AA102" s="61" t="e">
        <f t="shared" si="31"/>
        <v>#N/A</v>
      </c>
      <c r="AB102" s="61" t="e">
        <f t="shared" si="27"/>
        <v>#N/A</v>
      </c>
      <c r="AC102" s="61" t="e">
        <f t="shared" si="28"/>
        <v>#N/A</v>
      </c>
      <c r="AD102" s="61" t="e">
        <f t="shared" si="29"/>
        <v>#N/A</v>
      </c>
      <c r="AE102" s="61" t="e">
        <f t="shared" si="32"/>
        <v>#N/A</v>
      </c>
      <c r="AF102" s="61">
        <f t="shared" si="33"/>
        <v>0</v>
      </c>
      <c r="AG102" s="61" t="e">
        <f t="shared" si="34"/>
        <v>#N/A</v>
      </c>
      <c r="AH102" s="61" t="e">
        <f t="shared" si="35"/>
        <v>#N/A</v>
      </c>
      <c r="AI102" s="61" t="e">
        <f t="shared" si="36"/>
        <v>#N/A</v>
      </c>
      <c r="AJ102" s="61" t="e">
        <f t="shared" si="37"/>
        <v>#N/A</v>
      </c>
      <c r="AK102" s="61" t="e">
        <f t="shared" si="38"/>
        <v>#N/A</v>
      </c>
      <c r="AL102" s="61" t="e">
        <f t="shared" si="39"/>
        <v>#N/A</v>
      </c>
      <c r="AM102" s="61" t="e">
        <f t="shared" si="40"/>
        <v>#N/A</v>
      </c>
      <c r="AN102" s="61" t="e">
        <f t="shared" si="41"/>
        <v>#N/A</v>
      </c>
      <c r="AO102" s="61" t="e">
        <f t="shared" si="42"/>
        <v>#N/A</v>
      </c>
      <c r="AP102" s="61" t="e">
        <f t="shared" si="43"/>
        <v>#N/A</v>
      </c>
      <c r="AQ102" s="61" t="e">
        <f t="shared" si="44"/>
        <v>#N/A</v>
      </c>
      <c r="AR102" s="61" t="e">
        <f t="shared" si="45"/>
        <v>#N/A</v>
      </c>
      <c r="AS102" s="61" t="e">
        <f t="shared" ca="1" si="46"/>
        <v>#N/A</v>
      </c>
      <c r="AT102" s="61" t="e">
        <f t="shared" ca="1" si="47"/>
        <v>#N/A</v>
      </c>
      <c r="AU102" s="61" t="e">
        <f t="shared" si="30"/>
        <v>#N/A</v>
      </c>
      <c r="AV102" s="61" t="e">
        <f t="shared" si="48"/>
        <v>#N/A</v>
      </c>
      <c r="AW102" s="61" t="e">
        <f t="shared" si="49"/>
        <v>#N/A</v>
      </c>
      <c r="AX102" s="61" t="e">
        <f t="shared" si="50"/>
        <v>#N/A</v>
      </c>
      <c r="AY102" s="74" t="e">
        <f t="shared" ca="1" si="77"/>
        <v>#N/A</v>
      </c>
      <c r="AZ102" s="74" t="e">
        <f t="shared" ca="1" si="78"/>
        <v>#N/A</v>
      </c>
      <c r="BA102" s="74" t="e">
        <f t="shared" ca="1" si="79"/>
        <v>#N/A</v>
      </c>
      <c r="BB102" s="74" t="e">
        <f t="shared" ca="1" si="80"/>
        <v>#N/A</v>
      </c>
      <c r="BC102" s="74" t="e">
        <f t="shared" ca="1" si="81"/>
        <v>#N/A</v>
      </c>
      <c r="BD102" s="74" t="e">
        <f t="shared" ca="1" si="82"/>
        <v>#N/A</v>
      </c>
      <c r="BE102" s="49" t="e">
        <f t="shared" ca="1" si="83"/>
        <v>#N/A</v>
      </c>
      <c r="BF102" s="49" t="e">
        <f t="shared" ca="1" si="63"/>
        <v>#N/A</v>
      </c>
      <c r="BG102" s="49" t="e">
        <f t="shared" ca="1" si="84"/>
        <v>#N/A</v>
      </c>
      <c r="BH102" s="49" t="e">
        <f t="shared" ca="1" si="64"/>
        <v>#N/A</v>
      </c>
      <c r="BI102" s="49">
        <f t="shared" si="85"/>
        <v>0</v>
      </c>
      <c r="BJ102" s="49" t="e">
        <f t="shared" ca="1" si="65"/>
        <v>#N/A</v>
      </c>
      <c r="BK102" s="71" t="e">
        <f t="shared" ca="1" si="66"/>
        <v>#N/A</v>
      </c>
      <c r="BL102" s="71" t="e">
        <f t="shared" ca="1" si="67"/>
        <v>#N/A</v>
      </c>
      <c r="BM102" s="71" t="e">
        <f t="shared" ca="1" si="68"/>
        <v>#N/A</v>
      </c>
      <c r="BN102" s="71" t="e">
        <f t="shared" ca="1" si="69"/>
        <v>#N/A</v>
      </c>
      <c r="BO102" s="75" t="e">
        <f t="shared" ca="1" si="86"/>
        <v>#N/A</v>
      </c>
      <c r="BP102" s="49" t="e">
        <f t="shared" ca="1" si="70"/>
        <v>#N/A</v>
      </c>
      <c r="BQ102" s="49" t="e">
        <f t="shared" ca="1" si="71"/>
        <v>#N/A</v>
      </c>
      <c r="BR102" s="49" t="e">
        <f t="shared" ca="1" si="72"/>
        <v>#N/A</v>
      </c>
      <c r="BS102" s="49" t="e">
        <f t="shared" ca="1" si="73"/>
        <v>#N/A</v>
      </c>
      <c r="BT102" s="49" t="e">
        <f t="shared" ca="1" si="74"/>
        <v>#N/A</v>
      </c>
      <c r="BU102" s="49" t="e">
        <f t="shared" ca="1" si="75"/>
        <v>#N/A</v>
      </c>
      <c r="BV102" s="49" t="e">
        <f t="shared" ca="1" si="76"/>
        <v>#N/A</v>
      </c>
    </row>
    <row r="103" spans="1:74" x14ac:dyDescent="0.3">
      <c r="A103" s="47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80">
        <v>216</v>
      </c>
      <c r="X103" s="73">
        <v>490</v>
      </c>
      <c r="Y103" s="48" t="e">
        <f t="shared" si="25"/>
        <v>#N/A</v>
      </c>
      <c r="Z103" s="61" t="e">
        <f t="shared" si="26"/>
        <v>#N/A</v>
      </c>
      <c r="AA103" s="61" t="e">
        <f t="shared" si="31"/>
        <v>#N/A</v>
      </c>
      <c r="AB103" s="61" t="e">
        <f t="shared" si="27"/>
        <v>#N/A</v>
      </c>
      <c r="AC103" s="61" t="e">
        <f t="shared" si="28"/>
        <v>#N/A</v>
      </c>
      <c r="AD103" s="61" t="e">
        <f t="shared" si="29"/>
        <v>#N/A</v>
      </c>
      <c r="AE103" s="61" t="e">
        <f t="shared" si="32"/>
        <v>#N/A</v>
      </c>
      <c r="AF103" s="61">
        <f t="shared" si="33"/>
        <v>0</v>
      </c>
      <c r="AG103" s="61" t="e">
        <f t="shared" si="34"/>
        <v>#N/A</v>
      </c>
      <c r="AH103" s="61" t="e">
        <f t="shared" si="35"/>
        <v>#N/A</v>
      </c>
      <c r="AI103" s="61" t="e">
        <f t="shared" si="36"/>
        <v>#N/A</v>
      </c>
      <c r="AJ103" s="61" t="e">
        <f t="shared" si="37"/>
        <v>#N/A</v>
      </c>
      <c r="AK103" s="61" t="e">
        <f t="shared" si="38"/>
        <v>#N/A</v>
      </c>
      <c r="AL103" s="61" t="e">
        <f t="shared" si="39"/>
        <v>#N/A</v>
      </c>
      <c r="AM103" s="61" t="e">
        <f t="shared" si="40"/>
        <v>#N/A</v>
      </c>
      <c r="AN103" s="61" t="e">
        <f t="shared" si="41"/>
        <v>#N/A</v>
      </c>
      <c r="AO103" s="61" t="e">
        <f t="shared" si="42"/>
        <v>#N/A</v>
      </c>
      <c r="AP103" s="61" t="e">
        <f t="shared" si="43"/>
        <v>#N/A</v>
      </c>
      <c r="AQ103" s="61" t="e">
        <f t="shared" si="44"/>
        <v>#N/A</v>
      </c>
      <c r="AR103" s="61" t="e">
        <f t="shared" si="45"/>
        <v>#N/A</v>
      </c>
      <c r="AS103" s="61" t="e">
        <f t="shared" ca="1" si="46"/>
        <v>#N/A</v>
      </c>
      <c r="AT103" s="61" t="e">
        <f t="shared" ca="1" si="47"/>
        <v>#N/A</v>
      </c>
      <c r="AU103" s="61" t="e">
        <f t="shared" si="30"/>
        <v>#N/A</v>
      </c>
      <c r="AV103" s="61" t="e">
        <f t="shared" si="48"/>
        <v>#N/A</v>
      </c>
      <c r="AW103" s="61" t="e">
        <f t="shared" si="49"/>
        <v>#N/A</v>
      </c>
      <c r="AX103" s="61" t="e">
        <f t="shared" si="50"/>
        <v>#N/A</v>
      </c>
      <c r="AY103" s="74" t="e">
        <f t="shared" ca="1" si="77"/>
        <v>#N/A</v>
      </c>
      <c r="AZ103" s="74" t="e">
        <f t="shared" ca="1" si="78"/>
        <v>#N/A</v>
      </c>
      <c r="BA103" s="74" t="e">
        <f t="shared" ca="1" si="79"/>
        <v>#N/A</v>
      </c>
      <c r="BB103" s="74" t="e">
        <f t="shared" ca="1" si="80"/>
        <v>#N/A</v>
      </c>
      <c r="BC103" s="74" t="e">
        <f t="shared" ca="1" si="81"/>
        <v>#N/A</v>
      </c>
      <c r="BD103" s="74" t="e">
        <f t="shared" ca="1" si="82"/>
        <v>#N/A</v>
      </c>
      <c r="BE103" s="49" t="e">
        <f t="shared" ca="1" si="83"/>
        <v>#N/A</v>
      </c>
      <c r="BF103" s="49" t="e">
        <f t="shared" ca="1" si="63"/>
        <v>#N/A</v>
      </c>
      <c r="BG103" s="49" t="e">
        <f t="shared" ca="1" si="84"/>
        <v>#N/A</v>
      </c>
      <c r="BH103" s="49" t="e">
        <f t="shared" ca="1" si="64"/>
        <v>#N/A</v>
      </c>
      <c r="BI103" s="49">
        <f t="shared" si="85"/>
        <v>0</v>
      </c>
      <c r="BJ103" s="49" t="e">
        <f t="shared" ca="1" si="65"/>
        <v>#N/A</v>
      </c>
      <c r="BK103" s="71" t="e">
        <f t="shared" ca="1" si="66"/>
        <v>#N/A</v>
      </c>
      <c r="BL103" s="71" t="e">
        <f t="shared" ca="1" si="67"/>
        <v>#N/A</v>
      </c>
      <c r="BM103" s="71" t="e">
        <f t="shared" ca="1" si="68"/>
        <v>#N/A</v>
      </c>
      <c r="BN103" s="71" t="e">
        <f t="shared" ca="1" si="69"/>
        <v>#N/A</v>
      </c>
      <c r="BO103" s="75" t="e">
        <f t="shared" ca="1" si="86"/>
        <v>#N/A</v>
      </c>
      <c r="BP103" s="49" t="e">
        <f t="shared" ca="1" si="70"/>
        <v>#N/A</v>
      </c>
      <c r="BQ103" s="49" t="e">
        <f t="shared" ca="1" si="71"/>
        <v>#N/A</v>
      </c>
      <c r="BR103" s="49" t="e">
        <f t="shared" ca="1" si="72"/>
        <v>#N/A</v>
      </c>
      <c r="BS103" s="49" t="e">
        <f t="shared" ca="1" si="73"/>
        <v>#N/A</v>
      </c>
      <c r="BT103" s="49" t="e">
        <f t="shared" ca="1" si="74"/>
        <v>#N/A</v>
      </c>
      <c r="BU103" s="49" t="e">
        <f t="shared" ca="1" si="75"/>
        <v>#N/A</v>
      </c>
      <c r="BV103" s="49" t="e">
        <f t="shared" ca="1" si="76"/>
        <v>#N/A</v>
      </c>
    </row>
    <row r="104" spans="1:74" x14ac:dyDescent="0.3">
      <c r="A104" s="47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80">
        <v>217</v>
      </c>
      <c r="X104" s="73">
        <v>500</v>
      </c>
      <c r="Y104" s="48" t="e">
        <f t="shared" si="25"/>
        <v>#N/A</v>
      </c>
      <c r="Z104" s="61" t="e">
        <f t="shared" si="26"/>
        <v>#N/A</v>
      </c>
      <c r="AA104" s="61" t="e">
        <f t="shared" si="31"/>
        <v>#N/A</v>
      </c>
      <c r="AB104" s="61" t="e">
        <f t="shared" si="27"/>
        <v>#N/A</v>
      </c>
      <c r="AC104" s="61" t="e">
        <f t="shared" si="28"/>
        <v>#N/A</v>
      </c>
      <c r="AD104" s="61" t="e">
        <f t="shared" si="29"/>
        <v>#N/A</v>
      </c>
      <c r="AE104" s="61" t="e">
        <f t="shared" si="32"/>
        <v>#N/A</v>
      </c>
      <c r="AF104" s="61">
        <f t="shared" si="33"/>
        <v>0</v>
      </c>
      <c r="AG104" s="61" t="e">
        <f t="shared" si="34"/>
        <v>#N/A</v>
      </c>
      <c r="AH104" s="61" t="e">
        <f t="shared" si="35"/>
        <v>#N/A</v>
      </c>
      <c r="AI104" s="61" t="e">
        <f t="shared" si="36"/>
        <v>#N/A</v>
      </c>
      <c r="AJ104" s="61" t="e">
        <f t="shared" si="37"/>
        <v>#N/A</v>
      </c>
      <c r="AK104" s="61" t="e">
        <f t="shared" si="38"/>
        <v>#N/A</v>
      </c>
      <c r="AL104" s="61" t="e">
        <f t="shared" si="39"/>
        <v>#N/A</v>
      </c>
      <c r="AM104" s="61" t="e">
        <f t="shared" si="40"/>
        <v>#N/A</v>
      </c>
      <c r="AN104" s="61" t="e">
        <f t="shared" si="41"/>
        <v>#N/A</v>
      </c>
      <c r="AO104" s="61" t="e">
        <f t="shared" si="42"/>
        <v>#N/A</v>
      </c>
      <c r="AP104" s="61" t="e">
        <f t="shared" si="43"/>
        <v>#N/A</v>
      </c>
      <c r="AQ104" s="61" t="e">
        <f t="shared" si="44"/>
        <v>#N/A</v>
      </c>
      <c r="AR104" s="61" t="e">
        <f t="shared" si="45"/>
        <v>#N/A</v>
      </c>
      <c r="AS104" s="61" t="e">
        <f t="shared" ca="1" si="46"/>
        <v>#N/A</v>
      </c>
      <c r="AT104" s="61" t="e">
        <f t="shared" ca="1" si="47"/>
        <v>#N/A</v>
      </c>
      <c r="AU104" s="61" t="e">
        <f t="shared" si="30"/>
        <v>#N/A</v>
      </c>
      <c r="AV104" s="61" t="e">
        <f t="shared" si="48"/>
        <v>#N/A</v>
      </c>
      <c r="AW104" s="61" t="e">
        <f t="shared" si="49"/>
        <v>#N/A</v>
      </c>
      <c r="AX104" s="61" t="e">
        <f t="shared" si="50"/>
        <v>#N/A</v>
      </c>
      <c r="AY104" s="74" t="e">
        <f t="shared" ca="1" si="77"/>
        <v>#N/A</v>
      </c>
      <c r="AZ104" s="74" t="e">
        <f t="shared" ca="1" si="78"/>
        <v>#N/A</v>
      </c>
      <c r="BA104" s="74" t="e">
        <f t="shared" ca="1" si="79"/>
        <v>#N/A</v>
      </c>
      <c r="BB104" s="74" t="e">
        <f t="shared" ca="1" si="80"/>
        <v>#N/A</v>
      </c>
      <c r="BC104" s="74" t="e">
        <f t="shared" ca="1" si="81"/>
        <v>#N/A</v>
      </c>
      <c r="BD104" s="74" t="e">
        <f t="shared" ca="1" si="82"/>
        <v>#N/A</v>
      </c>
      <c r="BE104" s="49" t="e">
        <f t="shared" ca="1" si="83"/>
        <v>#N/A</v>
      </c>
      <c r="BF104" s="49" t="e">
        <f t="shared" ca="1" si="63"/>
        <v>#N/A</v>
      </c>
      <c r="BG104" s="49" t="e">
        <f t="shared" ca="1" si="84"/>
        <v>#N/A</v>
      </c>
      <c r="BH104" s="49" t="e">
        <f t="shared" ca="1" si="64"/>
        <v>#N/A</v>
      </c>
      <c r="BI104" s="49">
        <f t="shared" si="85"/>
        <v>0</v>
      </c>
      <c r="BJ104" s="49" t="e">
        <f t="shared" ca="1" si="65"/>
        <v>#N/A</v>
      </c>
      <c r="BK104" s="71" t="e">
        <f t="shared" ca="1" si="66"/>
        <v>#N/A</v>
      </c>
      <c r="BL104" s="71" t="e">
        <f t="shared" ca="1" si="67"/>
        <v>#N/A</v>
      </c>
      <c r="BM104" s="71" t="e">
        <f t="shared" ca="1" si="68"/>
        <v>#N/A</v>
      </c>
      <c r="BN104" s="71" t="e">
        <f t="shared" ca="1" si="69"/>
        <v>#N/A</v>
      </c>
      <c r="BO104" s="75" t="e">
        <f t="shared" ca="1" si="86"/>
        <v>#N/A</v>
      </c>
      <c r="BP104" s="49" t="e">
        <f t="shared" ca="1" si="70"/>
        <v>#N/A</v>
      </c>
      <c r="BQ104" s="49" t="e">
        <f t="shared" ca="1" si="71"/>
        <v>#N/A</v>
      </c>
      <c r="BR104" s="49" t="e">
        <f t="shared" ca="1" si="72"/>
        <v>#N/A</v>
      </c>
      <c r="BS104" s="49" t="e">
        <f t="shared" ca="1" si="73"/>
        <v>#N/A</v>
      </c>
      <c r="BT104" s="49" t="e">
        <f t="shared" ca="1" si="74"/>
        <v>#N/A</v>
      </c>
      <c r="BU104" s="49" t="e">
        <f t="shared" ca="1" si="75"/>
        <v>#N/A</v>
      </c>
      <c r="BV104" s="49" t="e">
        <f t="shared" ca="1" si="76"/>
        <v>#N/A</v>
      </c>
    </row>
    <row r="105" spans="1:74" x14ac:dyDescent="0.3">
      <c r="A105" s="47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80">
        <v>218</v>
      </c>
      <c r="X105" s="73">
        <v>510</v>
      </c>
      <c r="Y105" s="48" t="e">
        <f t="shared" si="25"/>
        <v>#N/A</v>
      </c>
      <c r="Z105" s="61" t="e">
        <f t="shared" si="26"/>
        <v>#N/A</v>
      </c>
      <c r="AA105" s="61" t="e">
        <f t="shared" si="31"/>
        <v>#N/A</v>
      </c>
      <c r="AB105" s="61" t="e">
        <f t="shared" si="27"/>
        <v>#N/A</v>
      </c>
      <c r="AC105" s="61" t="e">
        <f t="shared" si="28"/>
        <v>#N/A</v>
      </c>
      <c r="AD105" s="61" t="e">
        <f t="shared" si="29"/>
        <v>#N/A</v>
      </c>
      <c r="AE105" s="61" t="e">
        <f t="shared" si="32"/>
        <v>#N/A</v>
      </c>
      <c r="AF105" s="61">
        <f t="shared" si="33"/>
        <v>0</v>
      </c>
      <c r="AG105" s="61" t="e">
        <f t="shared" si="34"/>
        <v>#N/A</v>
      </c>
      <c r="AH105" s="61" t="e">
        <f t="shared" si="35"/>
        <v>#N/A</v>
      </c>
      <c r="AI105" s="61" t="e">
        <f t="shared" si="36"/>
        <v>#N/A</v>
      </c>
      <c r="AJ105" s="61" t="e">
        <f t="shared" si="37"/>
        <v>#N/A</v>
      </c>
      <c r="AK105" s="61" t="e">
        <f t="shared" si="38"/>
        <v>#N/A</v>
      </c>
      <c r="AL105" s="61" t="e">
        <f t="shared" si="39"/>
        <v>#N/A</v>
      </c>
      <c r="AM105" s="61" t="e">
        <f t="shared" si="40"/>
        <v>#N/A</v>
      </c>
      <c r="AN105" s="61" t="e">
        <f t="shared" si="41"/>
        <v>#N/A</v>
      </c>
      <c r="AO105" s="61" t="e">
        <f t="shared" si="42"/>
        <v>#N/A</v>
      </c>
      <c r="AP105" s="61" t="e">
        <f t="shared" si="43"/>
        <v>#N/A</v>
      </c>
      <c r="AQ105" s="61" t="e">
        <f t="shared" si="44"/>
        <v>#N/A</v>
      </c>
      <c r="AR105" s="61" t="e">
        <f t="shared" si="45"/>
        <v>#N/A</v>
      </c>
      <c r="AS105" s="61" t="e">
        <f t="shared" ca="1" si="46"/>
        <v>#N/A</v>
      </c>
      <c r="AT105" s="61" t="e">
        <f t="shared" ca="1" si="47"/>
        <v>#N/A</v>
      </c>
      <c r="AU105" s="61" t="e">
        <f t="shared" si="30"/>
        <v>#N/A</v>
      </c>
      <c r="AV105" s="61" t="e">
        <f t="shared" si="48"/>
        <v>#N/A</v>
      </c>
      <c r="AW105" s="61" t="e">
        <f t="shared" si="49"/>
        <v>#N/A</v>
      </c>
      <c r="AX105" s="61" t="e">
        <f t="shared" si="50"/>
        <v>#N/A</v>
      </c>
      <c r="AY105" s="74" t="e">
        <f t="shared" ca="1" si="77"/>
        <v>#N/A</v>
      </c>
      <c r="AZ105" s="74" t="e">
        <f t="shared" ca="1" si="78"/>
        <v>#N/A</v>
      </c>
      <c r="BA105" s="74" t="e">
        <f t="shared" ca="1" si="79"/>
        <v>#N/A</v>
      </c>
      <c r="BB105" s="74" t="e">
        <f t="shared" ca="1" si="80"/>
        <v>#N/A</v>
      </c>
      <c r="BC105" s="74" t="e">
        <f t="shared" ca="1" si="81"/>
        <v>#N/A</v>
      </c>
      <c r="BD105" s="74" t="e">
        <f t="shared" ca="1" si="82"/>
        <v>#N/A</v>
      </c>
      <c r="BE105" s="49" t="e">
        <f t="shared" ca="1" si="83"/>
        <v>#N/A</v>
      </c>
      <c r="BF105" s="49" t="e">
        <f t="shared" ca="1" si="63"/>
        <v>#N/A</v>
      </c>
      <c r="BG105" s="49" t="e">
        <f t="shared" ca="1" si="84"/>
        <v>#N/A</v>
      </c>
      <c r="BH105" s="49" t="e">
        <f t="shared" ca="1" si="64"/>
        <v>#N/A</v>
      </c>
      <c r="BI105" s="49">
        <f t="shared" si="85"/>
        <v>0</v>
      </c>
      <c r="BJ105" s="49" t="e">
        <f t="shared" ca="1" si="65"/>
        <v>#N/A</v>
      </c>
      <c r="BK105" s="71" t="e">
        <f t="shared" ca="1" si="66"/>
        <v>#N/A</v>
      </c>
      <c r="BL105" s="71" t="e">
        <f t="shared" ca="1" si="67"/>
        <v>#N/A</v>
      </c>
      <c r="BM105" s="71" t="e">
        <f t="shared" ca="1" si="68"/>
        <v>#N/A</v>
      </c>
      <c r="BN105" s="71" t="e">
        <f t="shared" ca="1" si="69"/>
        <v>#N/A</v>
      </c>
      <c r="BO105" s="75" t="e">
        <f t="shared" ca="1" si="86"/>
        <v>#N/A</v>
      </c>
      <c r="BP105" s="49" t="e">
        <f t="shared" ca="1" si="70"/>
        <v>#N/A</v>
      </c>
      <c r="BQ105" s="49" t="e">
        <f t="shared" ca="1" si="71"/>
        <v>#N/A</v>
      </c>
      <c r="BR105" s="49" t="e">
        <f t="shared" ca="1" si="72"/>
        <v>#N/A</v>
      </c>
      <c r="BS105" s="49" t="e">
        <f t="shared" ca="1" si="73"/>
        <v>#N/A</v>
      </c>
      <c r="BT105" s="49" t="e">
        <f t="shared" ca="1" si="74"/>
        <v>#N/A</v>
      </c>
      <c r="BU105" s="49" t="e">
        <f t="shared" ca="1" si="75"/>
        <v>#N/A</v>
      </c>
      <c r="BV105" s="49" t="e">
        <f t="shared" ca="1" si="76"/>
        <v>#N/A</v>
      </c>
    </row>
    <row r="106" spans="1:74" x14ac:dyDescent="0.3">
      <c r="A106" s="47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80">
        <v>219</v>
      </c>
      <c r="X106" s="73">
        <v>520</v>
      </c>
      <c r="Y106" s="48" t="e">
        <f t="shared" si="25"/>
        <v>#N/A</v>
      </c>
      <c r="Z106" s="61" t="e">
        <f t="shared" si="26"/>
        <v>#N/A</v>
      </c>
      <c r="AA106" s="61" t="e">
        <f t="shared" si="31"/>
        <v>#N/A</v>
      </c>
      <c r="AB106" s="61" t="e">
        <f t="shared" si="27"/>
        <v>#N/A</v>
      </c>
      <c r="AC106" s="61" t="e">
        <f t="shared" si="28"/>
        <v>#N/A</v>
      </c>
      <c r="AD106" s="61" t="e">
        <f t="shared" si="29"/>
        <v>#N/A</v>
      </c>
      <c r="AE106" s="61" t="e">
        <f t="shared" si="32"/>
        <v>#N/A</v>
      </c>
      <c r="AF106" s="61">
        <f t="shared" si="33"/>
        <v>0</v>
      </c>
      <c r="AG106" s="61" t="e">
        <f t="shared" si="34"/>
        <v>#N/A</v>
      </c>
      <c r="AH106" s="61" t="e">
        <f t="shared" si="35"/>
        <v>#N/A</v>
      </c>
      <c r="AI106" s="61" t="e">
        <f t="shared" si="36"/>
        <v>#N/A</v>
      </c>
      <c r="AJ106" s="61" t="e">
        <f t="shared" si="37"/>
        <v>#N/A</v>
      </c>
      <c r="AK106" s="61" t="e">
        <f t="shared" si="38"/>
        <v>#N/A</v>
      </c>
      <c r="AL106" s="61" t="e">
        <f t="shared" si="39"/>
        <v>#N/A</v>
      </c>
      <c r="AM106" s="61" t="e">
        <f t="shared" si="40"/>
        <v>#N/A</v>
      </c>
      <c r="AN106" s="61" t="e">
        <f t="shared" si="41"/>
        <v>#N/A</v>
      </c>
      <c r="AO106" s="61" t="e">
        <f t="shared" si="42"/>
        <v>#N/A</v>
      </c>
      <c r="AP106" s="61" t="e">
        <f t="shared" si="43"/>
        <v>#N/A</v>
      </c>
      <c r="AQ106" s="61" t="e">
        <f t="shared" si="44"/>
        <v>#N/A</v>
      </c>
      <c r="AR106" s="61" t="e">
        <f t="shared" si="45"/>
        <v>#N/A</v>
      </c>
      <c r="AS106" s="61" t="e">
        <f t="shared" ca="1" si="46"/>
        <v>#N/A</v>
      </c>
      <c r="AT106" s="61" t="e">
        <f t="shared" ca="1" si="47"/>
        <v>#N/A</v>
      </c>
      <c r="AU106" s="61" t="e">
        <f t="shared" si="30"/>
        <v>#N/A</v>
      </c>
      <c r="AV106" s="61" t="e">
        <f t="shared" si="48"/>
        <v>#N/A</v>
      </c>
      <c r="AW106" s="61" t="e">
        <f t="shared" si="49"/>
        <v>#N/A</v>
      </c>
      <c r="AX106" s="61" t="e">
        <f t="shared" si="50"/>
        <v>#N/A</v>
      </c>
      <c r="AY106" s="74" t="e">
        <f t="shared" ca="1" si="77"/>
        <v>#N/A</v>
      </c>
      <c r="AZ106" s="74" t="e">
        <f t="shared" ca="1" si="78"/>
        <v>#N/A</v>
      </c>
      <c r="BA106" s="74" t="e">
        <f t="shared" ca="1" si="79"/>
        <v>#N/A</v>
      </c>
      <c r="BB106" s="74" t="e">
        <f t="shared" ca="1" si="80"/>
        <v>#N/A</v>
      </c>
      <c r="BC106" s="74" t="e">
        <f t="shared" ca="1" si="81"/>
        <v>#N/A</v>
      </c>
      <c r="BD106" s="74" t="e">
        <f t="shared" ca="1" si="82"/>
        <v>#N/A</v>
      </c>
      <c r="BE106" s="49" t="e">
        <f t="shared" ca="1" si="83"/>
        <v>#N/A</v>
      </c>
      <c r="BF106" s="49" t="e">
        <f t="shared" ca="1" si="63"/>
        <v>#N/A</v>
      </c>
      <c r="BG106" s="49" t="e">
        <f t="shared" ca="1" si="84"/>
        <v>#N/A</v>
      </c>
      <c r="BH106" s="49" t="e">
        <f t="shared" ca="1" si="64"/>
        <v>#N/A</v>
      </c>
      <c r="BI106" s="49">
        <f t="shared" si="85"/>
        <v>0</v>
      </c>
      <c r="BJ106" s="49" t="e">
        <f t="shared" ca="1" si="65"/>
        <v>#N/A</v>
      </c>
      <c r="BK106" s="71" t="e">
        <f t="shared" ca="1" si="66"/>
        <v>#N/A</v>
      </c>
      <c r="BL106" s="71" t="e">
        <f t="shared" ca="1" si="67"/>
        <v>#N/A</v>
      </c>
      <c r="BM106" s="71" t="e">
        <f t="shared" ca="1" si="68"/>
        <v>#N/A</v>
      </c>
      <c r="BN106" s="71" t="e">
        <f t="shared" ca="1" si="69"/>
        <v>#N/A</v>
      </c>
      <c r="BO106" s="75" t="e">
        <f t="shared" ca="1" si="86"/>
        <v>#N/A</v>
      </c>
      <c r="BP106" s="49" t="e">
        <f t="shared" ca="1" si="70"/>
        <v>#N/A</v>
      </c>
      <c r="BQ106" s="49" t="e">
        <f t="shared" ca="1" si="71"/>
        <v>#N/A</v>
      </c>
      <c r="BR106" s="49" t="e">
        <f t="shared" ca="1" si="72"/>
        <v>#N/A</v>
      </c>
      <c r="BS106" s="49" t="e">
        <f t="shared" ca="1" si="73"/>
        <v>#N/A</v>
      </c>
      <c r="BT106" s="49" t="e">
        <f t="shared" ca="1" si="74"/>
        <v>#N/A</v>
      </c>
      <c r="BU106" s="49" t="e">
        <f t="shared" ca="1" si="75"/>
        <v>#N/A</v>
      </c>
      <c r="BV106" s="49" t="e">
        <f t="shared" ca="1" si="76"/>
        <v>#N/A</v>
      </c>
    </row>
    <row r="107" spans="1:74" x14ac:dyDescent="0.3">
      <c r="A107" s="47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80">
        <v>220</v>
      </c>
      <c r="X107" s="73">
        <v>531</v>
      </c>
      <c r="Y107" s="48" t="e">
        <f t="shared" si="25"/>
        <v>#N/A</v>
      </c>
      <c r="Z107" s="61" t="e">
        <f t="shared" si="26"/>
        <v>#N/A</v>
      </c>
      <c r="AA107" s="61" t="e">
        <f t="shared" si="31"/>
        <v>#N/A</v>
      </c>
      <c r="AB107" s="61" t="e">
        <f t="shared" si="27"/>
        <v>#N/A</v>
      </c>
      <c r="AC107" s="61" t="e">
        <f t="shared" si="28"/>
        <v>#N/A</v>
      </c>
      <c r="AD107" s="61" t="e">
        <f t="shared" si="29"/>
        <v>#N/A</v>
      </c>
      <c r="AE107" s="61" t="e">
        <f t="shared" si="32"/>
        <v>#N/A</v>
      </c>
      <c r="AF107" s="61">
        <f t="shared" si="33"/>
        <v>0</v>
      </c>
      <c r="AG107" s="61" t="e">
        <f t="shared" si="34"/>
        <v>#N/A</v>
      </c>
      <c r="AH107" s="61" t="e">
        <f t="shared" si="35"/>
        <v>#N/A</v>
      </c>
      <c r="AI107" s="61" t="e">
        <f t="shared" si="36"/>
        <v>#N/A</v>
      </c>
      <c r="AJ107" s="61" t="e">
        <f t="shared" si="37"/>
        <v>#N/A</v>
      </c>
      <c r="AK107" s="61" t="e">
        <f t="shared" si="38"/>
        <v>#N/A</v>
      </c>
      <c r="AL107" s="61" t="e">
        <f t="shared" si="39"/>
        <v>#N/A</v>
      </c>
      <c r="AM107" s="61" t="e">
        <f t="shared" si="40"/>
        <v>#N/A</v>
      </c>
      <c r="AN107" s="61" t="e">
        <f t="shared" si="41"/>
        <v>#N/A</v>
      </c>
      <c r="AO107" s="61" t="e">
        <f t="shared" si="42"/>
        <v>#N/A</v>
      </c>
      <c r="AP107" s="61" t="e">
        <f t="shared" si="43"/>
        <v>#N/A</v>
      </c>
      <c r="AQ107" s="61" t="e">
        <f t="shared" si="44"/>
        <v>#N/A</v>
      </c>
      <c r="AR107" s="61" t="e">
        <f t="shared" si="45"/>
        <v>#N/A</v>
      </c>
      <c r="AS107" s="61" t="e">
        <f t="shared" ca="1" si="46"/>
        <v>#N/A</v>
      </c>
      <c r="AT107" s="61" t="e">
        <f t="shared" ca="1" si="47"/>
        <v>#N/A</v>
      </c>
      <c r="AU107" s="61" t="e">
        <f t="shared" si="30"/>
        <v>#N/A</v>
      </c>
      <c r="AV107" s="61" t="e">
        <f t="shared" si="48"/>
        <v>#N/A</v>
      </c>
      <c r="AW107" s="61" t="e">
        <f t="shared" si="49"/>
        <v>#N/A</v>
      </c>
      <c r="AX107" s="61" t="e">
        <f t="shared" si="50"/>
        <v>#N/A</v>
      </c>
      <c r="AY107" s="74" t="e">
        <f t="shared" ca="1" si="77"/>
        <v>#N/A</v>
      </c>
      <c r="AZ107" s="74" t="e">
        <f t="shared" ca="1" si="78"/>
        <v>#N/A</v>
      </c>
      <c r="BA107" s="74" t="e">
        <f t="shared" ca="1" si="79"/>
        <v>#N/A</v>
      </c>
      <c r="BB107" s="74" t="e">
        <f t="shared" ca="1" si="80"/>
        <v>#N/A</v>
      </c>
      <c r="BC107" s="74" t="e">
        <f t="shared" ca="1" si="81"/>
        <v>#N/A</v>
      </c>
      <c r="BD107" s="74" t="e">
        <f t="shared" ca="1" si="82"/>
        <v>#N/A</v>
      </c>
      <c r="BE107" s="49" t="e">
        <f t="shared" ca="1" si="83"/>
        <v>#N/A</v>
      </c>
      <c r="BF107" s="49" t="e">
        <f t="shared" ca="1" si="63"/>
        <v>#N/A</v>
      </c>
      <c r="BG107" s="49" t="e">
        <f t="shared" ca="1" si="84"/>
        <v>#N/A</v>
      </c>
      <c r="BH107" s="49" t="e">
        <f t="shared" ca="1" si="64"/>
        <v>#N/A</v>
      </c>
      <c r="BI107" s="49">
        <f t="shared" si="85"/>
        <v>0</v>
      </c>
      <c r="BJ107" s="49" t="e">
        <f t="shared" ca="1" si="65"/>
        <v>#N/A</v>
      </c>
      <c r="BK107" s="71" t="e">
        <f t="shared" ca="1" si="66"/>
        <v>#N/A</v>
      </c>
      <c r="BL107" s="71" t="e">
        <f t="shared" ca="1" si="67"/>
        <v>#N/A</v>
      </c>
      <c r="BM107" s="71" t="e">
        <f t="shared" ca="1" si="68"/>
        <v>#N/A</v>
      </c>
      <c r="BN107" s="71" t="e">
        <f t="shared" ca="1" si="69"/>
        <v>#N/A</v>
      </c>
      <c r="BO107" s="75" t="e">
        <f t="shared" ca="1" si="86"/>
        <v>#N/A</v>
      </c>
      <c r="BP107" s="49" t="e">
        <f t="shared" ca="1" si="70"/>
        <v>#N/A</v>
      </c>
      <c r="BQ107" s="49" t="e">
        <f t="shared" ca="1" si="71"/>
        <v>#N/A</v>
      </c>
      <c r="BR107" s="49" t="e">
        <f t="shared" ca="1" si="72"/>
        <v>#N/A</v>
      </c>
      <c r="BS107" s="49" t="e">
        <f t="shared" ca="1" si="73"/>
        <v>#N/A</v>
      </c>
      <c r="BT107" s="49" t="e">
        <f t="shared" ca="1" si="74"/>
        <v>#N/A</v>
      </c>
      <c r="BU107" s="49" t="e">
        <f t="shared" ca="1" si="75"/>
        <v>#N/A</v>
      </c>
      <c r="BV107" s="49" t="e">
        <f t="shared" ca="1" si="76"/>
        <v>#N/A</v>
      </c>
    </row>
    <row r="108" spans="1:74" x14ac:dyDescent="0.3">
      <c r="A108" s="47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80">
        <v>221</v>
      </c>
      <c r="X108" s="73">
        <v>542</v>
      </c>
      <c r="Y108" s="48" t="e">
        <f t="shared" si="25"/>
        <v>#N/A</v>
      </c>
      <c r="Z108" s="61" t="e">
        <f t="shared" si="26"/>
        <v>#N/A</v>
      </c>
      <c r="AA108" s="61" t="e">
        <f t="shared" si="31"/>
        <v>#N/A</v>
      </c>
      <c r="AB108" s="61" t="e">
        <f t="shared" si="27"/>
        <v>#N/A</v>
      </c>
      <c r="AC108" s="61" t="e">
        <f t="shared" si="28"/>
        <v>#N/A</v>
      </c>
      <c r="AD108" s="61" t="e">
        <f t="shared" si="29"/>
        <v>#N/A</v>
      </c>
      <c r="AE108" s="61" t="e">
        <f t="shared" si="32"/>
        <v>#N/A</v>
      </c>
      <c r="AF108" s="61">
        <f t="shared" si="33"/>
        <v>0</v>
      </c>
      <c r="AG108" s="61" t="e">
        <f t="shared" si="34"/>
        <v>#N/A</v>
      </c>
      <c r="AH108" s="61" t="e">
        <f t="shared" si="35"/>
        <v>#N/A</v>
      </c>
      <c r="AI108" s="61" t="e">
        <f t="shared" si="36"/>
        <v>#N/A</v>
      </c>
      <c r="AJ108" s="61" t="e">
        <f t="shared" si="37"/>
        <v>#N/A</v>
      </c>
      <c r="AK108" s="61" t="e">
        <f t="shared" si="38"/>
        <v>#N/A</v>
      </c>
      <c r="AL108" s="61" t="e">
        <f t="shared" si="39"/>
        <v>#N/A</v>
      </c>
      <c r="AM108" s="61" t="e">
        <f t="shared" si="40"/>
        <v>#N/A</v>
      </c>
      <c r="AN108" s="61" t="e">
        <f t="shared" si="41"/>
        <v>#N/A</v>
      </c>
      <c r="AO108" s="61" t="e">
        <f t="shared" si="42"/>
        <v>#N/A</v>
      </c>
      <c r="AP108" s="61" t="e">
        <f t="shared" si="43"/>
        <v>#N/A</v>
      </c>
      <c r="AQ108" s="61" t="e">
        <f t="shared" si="44"/>
        <v>#N/A</v>
      </c>
      <c r="AR108" s="61" t="e">
        <f t="shared" si="45"/>
        <v>#N/A</v>
      </c>
      <c r="AS108" s="61" t="e">
        <f t="shared" ca="1" si="46"/>
        <v>#N/A</v>
      </c>
      <c r="AT108" s="61" t="e">
        <f t="shared" ca="1" si="47"/>
        <v>#N/A</v>
      </c>
      <c r="AU108" s="61" t="e">
        <f t="shared" si="30"/>
        <v>#N/A</v>
      </c>
      <c r="AV108" s="61" t="e">
        <f t="shared" si="48"/>
        <v>#N/A</v>
      </c>
      <c r="AW108" s="61" t="e">
        <f t="shared" si="49"/>
        <v>#N/A</v>
      </c>
      <c r="AX108" s="61" t="e">
        <f t="shared" si="50"/>
        <v>#N/A</v>
      </c>
      <c r="AY108" s="74" t="e">
        <f t="shared" ca="1" si="77"/>
        <v>#N/A</v>
      </c>
      <c r="AZ108" s="74" t="e">
        <f t="shared" ca="1" si="78"/>
        <v>#N/A</v>
      </c>
      <c r="BA108" s="74" t="e">
        <f t="shared" ca="1" si="79"/>
        <v>#N/A</v>
      </c>
      <c r="BB108" s="74" t="e">
        <f t="shared" ca="1" si="80"/>
        <v>#N/A</v>
      </c>
      <c r="BC108" s="74" t="e">
        <f t="shared" ca="1" si="81"/>
        <v>#N/A</v>
      </c>
      <c r="BD108" s="74" t="e">
        <f t="shared" ca="1" si="82"/>
        <v>#N/A</v>
      </c>
      <c r="BE108" s="49" t="e">
        <f t="shared" ca="1" si="83"/>
        <v>#N/A</v>
      </c>
      <c r="BF108" s="49" t="e">
        <f t="shared" ca="1" si="63"/>
        <v>#N/A</v>
      </c>
      <c r="BG108" s="49" t="e">
        <f t="shared" ca="1" si="84"/>
        <v>#N/A</v>
      </c>
      <c r="BH108" s="49" t="e">
        <f t="shared" ca="1" si="64"/>
        <v>#N/A</v>
      </c>
      <c r="BI108" s="49">
        <f t="shared" si="85"/>
        <v>0</v>
      </c>
      <c r="BJ108" s="49" t="e">
        <f t="shared" ca="1" si="65"/>
        <v>#N/A</v>
      </c>
      <c r="BK108" s="71" t="e">
        <f t="shared" ca="1" si="66"/>
        <v>#N/A</v>
      </c>
      <c r="BL108" s="71" t="e">
        <f t="shared" ca="1" si="67"/>
        <v>#N/A</v>
      </c>
      <c r="BM108" s="71" t="e">
        <f t="shared" ca="1" si="68"/>
        <v>#N/A</v>
      </c>
      <c r="BN108" s="71" t="e">
        <f t="shared" ca="1" si="69"/>
        <v>#N/A</v>
      </c>
      <c r="BO108" s="75" t="e">
        <f t="shared" ca="1" si="86"/>
        <v>#N/A</v>
      </c>
      <c r="BP108" s="49" t="e">
        <f t="shared" ca="1" si="70"/>
        <v>#N/A</v>
      </c>
      <c r="BQ108" s="49" t="e">
        <f t="shared" ca="1" si="71"/>
        <v>#N/A</v>
      </c>
      <c r="BR108" s="49" t="e">
        <f t="shared" ca="1" si="72"/>
        <v>#N/A</v>
      </c>
      <c r="BS108" s="49" t="e">
        <f t="shared" ca="1" si="73"/>
        <v>#N/A</v>
      </c>
      <c r="BT108" s="49" t="e">
        <f t="shared" ca="1" si="74"/>
        <v>#N/A</v>
      </c>
      <c r="BU108" s="49" t="e">
        <f t="shared" ca="1" si="75"/>
        <v>#N/A</v>
      </c>
      <c r="BV108" s="49" t="e">
        <f t="shared" ca="1" si="76"/>
        <v>#N/A</v>
      </c>
    </row>
    <row r="109" spans="1:74" x14ac:dyDescent="0.3">
      <c r="A109" s="47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80">
        <v>222</v>
      </c>
      <c r="X109" s="73">
        <v>553</v>
      </c>
      <c r="Y109" s="48" t="e">
        <f t="shared" ref="Y109:Y172" si="87">IF(OR(AF108=0,AM108=0),0,(4*(ROUNDDOWN((AS108+5)*(1+$V$58),)+$V$59)+$V$60)/(4*(ROUNDDOWN(AS108*(1+$V$58),)+$V$59)+$V$60)-1)</f>
        <v>#N/A</v>
      </c>
      <c r="Z109" s="61" t="e">
        <f t="shared" ref="Z109:Z172" si="88">IF(OR(AF108=0,AN108=0),0,ROUNDDOWN((AT108+1)*(1+공마퍼),)/ROUNDDOWN(AT108*(1+공마퍼),)-1)</f>
        <v>#N/A</v>
      </c>
      <c r="AA109" s="61" t="e">
        <f t="shared" si="31"/>
        <v>#N/A</v>
      </c>
      <c r="AB109" s="61" t="e">
        <f t="shared" ref="AB109:AB172" si="89">IF(OR(AF108=0,AP108=0),0,(MIN(1,AV108+0.01)*(1.35+AU108+IF(크리인=1,0.01*크리인뎀,))+1-MIN(1,AV108))/(MIN(1,AV108)*(1.35+AU108)+1-MIN(1,AV108))-1)</f>
        <v>#N/A</v>
      </c>
      <c r="AC109" s="61" t="e">
        <f t="shared" ref="AC109:AC172" si="90">IF(OR(AF108=0,AQ108=0),0,(1+데미지+AW108+IF(보스=0,0,0.01))/(1+데미지+AW108)-1)</f>
        <v>#N/A</v>
      </c>
      <c r="AD109" s="61" t="e">
        <f t="shared" ref="AD109:AD172" si="91">IF(OR(AF108=0,AR108=0),0,IF($V$61*(1-AX108)&gt;1,2,(1-$V$61*(1-AX108)/(1-AL108*0.01)*(1-(AL108+1)*0.01))/(1-$V$61*(1-AX108)))-1)</f>
        <v>#N/A</v>
      </c>
      <c r="AE109" s="61" t="e">
        <f t="shared" si="32"/>
        <v>#N/A</v>
      </c>
      <c r="AF109" s="61">
        <f t="shared" si="33"/>
        <v>0</v>
      </c>
      <c r="AG109" s="61" t="e">
        <f t="shared" si="34"/>
        <v>#N/A</v>
      </c>
      <c r="AH109" s="61" t="e">
        <f t="shared" si="35"/>
        <v>#N/A</v>
      </c>
      <c r="AI109" s="61" t="e">
        <f t="shared" si="36"/>
        <v>#N/A</v>
      </c>
      <c r="AJ109" s="61" t="e">
        <f t="shared" si="37"/>
        <v>#N/A</v>
      </c>
      <c r="AK109" s="61" t="e">
        <f t="shared" si="38"/>
        <v>#N/A</v>
      </c>
      <c r="AL109" s="61" t="e">
        <f t="shared" si="39"/>
        <v>#N/A</v>
      </c>
      <c r="AM109" s="61" t="e">
        <f t="shared" si="40"/>
        <v>#N/A</v>
      </c>
      <c r="AN109" s="61" t="e">
        <f t="shared" si="41"/>
        <v>#N/A</v>
      </c>
      <c r="AO109" s="61" t="e">
        <f t="shared" si="42"/>
        <v>#N/A</v>
      </c>
      <c r="AP109" s="61" t="e">
        <f t="shared" si="43"/>
        <v>#N/A</v>
      </c>
      <c r="AQ109" s="61" t="e">
        <f t="shared" si="44"/>
        <v>#N/A</v>
      </c>
      <c r="AR109" s="61" t="e">
        <f t="shared" si="45"/>
        <v>#N/A</v>
      </c>
      <c r="AS109" s="61" t="e">
        <f t="shared" ca="1" si="46"/>
        <v>#N/A</v>
      </c>
      <c r="AT109" s="61" t="e">
        <f t="shared" ca="1" si="47"/>
        <v>#N/A</v>
      </c>
      <c r="AU109" s="61" t="e">
        <f t="shared" ref="AU109:AU172" si="92">AU108+IF(AE109=3,0.005,0)+IF(AE109=4,IF(크리인=1,0.01*크리인뎀,),0)</f>
        <v>#N/A</v>
      </c>
      <c r="AV109" s="61" t="e">
        <f t="shared" si="48"/>
        <v>#N/A</v>
      </c>
      <c r="AW109" s="61" t="e">
        <f t="shared" si="49"/>
        <v>#N/A</v>
      </c>
      <c r="AX109" s="61" t="e">
        <f t="shared" si="50"/>
        <v>#N/A</v>
      </c>
      <c r="AY109" s="74" t="e">
        <f t="shared" ca="1" si="77"/>
        <v>#N/A</v>
      </c>
      <c r="AZ109" s="74" t="e">
        <f t="shared" ca="1" si="78"/>
        <v>#N/A</v>
      </c>
      <c r="BA109" s="74" t="e">
        <f t="shared" ca="1" si="79"/>
        <v>#N/A</v>
      </c>
      <c r="BB109" s="74" t="e">
        <f t="shared" ca="1" si="80"/>
        <v>#N/A</v>
      </c>
      <c r="BC109" s="74" t="e">
        <f t="shared" ca="1" si="81"/>
        <v>#N/A</v>
      </c>
      <c r="BD109" s="74" t="e">
        <f t="shared" ca="1" si="82"/>
        <v>#N/A</v>
      </c>
      <c r="BE109" s="49" t="e">
        <f t="shared" ca="1" si="83"/>
        <v>#N/A</v>
      </c>
      <c r="BF109" s="49" t="e">
        <f t="shared" ca="1" si="63"/>
        <v>#N/A</v>
      </c>
      <c r="BG109" s="49" t="e">
        <f t="shared" ca="1" si="84"/>
        <v>#N/A</v>
      </c>
      <c r="BH109" s="49" t="e">
        <f t="shared" ca="1" si="64"/>
        <v>#N/A</v>
      </c>
      <c r="BI109" s="49">
        <f t="shared" si="85"/>
        <v>0</v>
      </c>
      <c r="BJ109" s="49" t="e">
        <f t="shared" ca="1" si="65"/>
        <v>#N/A</v>
      </c>
      <c r="BK109" s="71" t="e">
        <f t="shared" ca="1" si="66"/>
        <v>#N/A</v>
      </c>
      <c r="BL109" s="71" t="e">
        <f t="shared" ca="1" si="67"/>
        <v>#N/A</v>
      </c>
      <c r="BM109" s="71" t="e">
        <f t="shared" ca="1" si="68"/>
        <v>#N/A</v>
      </c>
      <c r="BN109" s="71" t="e">
        <f t="shared" ca="1" si="69"/>
        <v>#N/A</v>
      </c>
      <c r="BO109" s="75" t="e">
        <f t="shared" ca="1" si="86"/>
        <v>#N/A</v>
      </c>
      <c r="BP109" s="49" t="e">
        <f t="shared" ca="1" si="70"/>
        <v>#N/A</v>
      </c>
      <c r="BQ109" s="49" t="e">
        <f t="shared" ca="1" si="71"/>
        <v>#N/A</v>
      </c>
      <c r="BR109" s="49" t="e">
        <f t="shared" ca="1" si="72"/>
        <v>#N/A</v>
      </c>
      <c r="BS109" s="49" t="e">
        <f t="shared" ca="1" si="73"/>
        <v>#N/A</v>
      </c>
      <c r="BT109" s="49" t="e">
        <f t="shared" ca="1" si="74"/>
        <v>#N/A</v>
      </c>
      <c r="BU109" s="49" t="e">
        <f t="shared" ca="1" si="75"/>
        <v>#N/A</v>
      </c>
      <c r="BV109" s="49" t="e">
        <f t="shared" ca="1" si="76"/>
        <v>#N/A</v>
      </c>
    </row>
    <row r="110" spans="1:74" x14ac:dyDescent="0.3">
      <c r="A110" s="47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80">
        <v>223</v>
      </c>
      <c r="X110" s="73">
        <v>564</v>
      </c>
      <c r="Y110" s="48" t="e">
        <f t="shared" si="87"/>
        <v>#N/A</v>
      </c>
      <c r="Z110" s="61" t="e">
        <f t="shared" si="88"/>
        <v>#N/A</v>
      </c>
      <c r="AA110" s="61" t="e">
        <f t="shared" ref="AA110:AA173" si="93">IF(OR(AF109=0,AO109=0),0,(AV109*(1.35+AU109+0.01)+1-AV109)/(AV109*(1.35+AU109)+1-AV109)-1)</f>
        <v>#N/A</v>
      </c>
      <c r="AB110" s="61" t="e">
        <f t="shared" si="89"/>
        <v>#N/A</v>
      </c>
      <c r="AC110" s="61" t="e">
        <f t="shared" si="90"/>
        <v>#N/A</v>
      </c>
      <c r="AD110" s="61" t="e">
        <f t="shared" si="91"/>
        <v>#N/A</v>
      </c>
      <c r="AE110" s="61" t="e">
        <f t="shared" ref="AE110:AE173" si="94">IF(SUM(Y110:AD110)=0,0,MATCH(MAX(Y110:AD110),Y110:AD110,0))</f>
        <v>#N/A</v>
      </c>
      <c r="AF110" s="61">
        <f t="shared" ref="AF110:AF173" si="95">MAX(0,AF109-1)</f>
        <v>0</v>
      </c>
      <c r="AG110" s="61" t="e">
        <f t="shared" ref="AG110:AG173" si="96">IF(AE110=1,AG109+1,AG109)</f>
        <v>#N/A</v>
      </c>
      <c r="AH110" s="61" t="e">
        <f t="shared" ref="AH110:AH173" si="97">IF(AE110=2,AH109+1,AH109)</f>
        <v>#N/A</v>
      </c>
      <c r="AI110" s="61" t="e">
        <f t="shared" ref="AI110:AI173" si="98">IF(AE110=3,AI109+1,AI109)</f>
        <v>#N/A</v>
      </c>
      <c r="AJ110" s="61" t="e">
        <f t="shared" ref="AJ110:AJ173" si="99">IF(AE110=4,AJ109+1,AJ109)</f>
        <v>#N/A</v>
      </c>
      <c r="AK110" s="61" t="e">
        <f t="shared" ref="AK110:AK173" si="100">IF(AE110=5,AK109+1,AK109)</f>
        <v>#N/A</v>
      </c>
      <c r="AL110" s="61" t="e">
        <f t="shared" ref="AL110:AL173" si="101">IF(AE110=6,AL109+1,AL109)</f>
        <v>#N/A</v>
      </c>
      <c r="AM110" s="61" t="e">
        <f t="shared" ref="AM110:AM173" si="102">IF(AE110=1,AM109-1,AM109)</f>
        <v>#N/A</v>
      </c>
      <c r="AN110" s="61" t="e">
        <f t="shared" ref="AN110:AN173" si="103">IF(AE110=2,AN109-1,AN109)</f>
        <v>#N/A</v>
      </c>
      <c r="AO110" s="61" t="e">
        <f t="shared" ref="AO110:AO173" si="104">IF(AE110=3,AO109-1,AO109)</f>
        <v>#N/A</v>
      </c>
      <c r="AP110" s="61" t="e">
        <f t="shared" ref="AP110:AP173" si="105">IF(AE110=4,AP109-1,AP109)</f>
        <v>#N/A</v>
      </c>
      <c r="AQ110" s="61" t="e">
        <f t="shared" ref="AQ110:AQ173" si="106">IF(AE110=5,AQ109-1,AQ109)</f>
        <v>#N/A</v>
      </c>
      <c r="AR110" s="61" t="e">
        <f t="shared" ref="AR110:AR173" si="107">IF(AE110=6,AR109-1,AR109)</f>
        <v>#N/A</v>
      </c>
      <c r="AS110" s="61" t="e">
        <f t="shared" ref="AS110:AS173" ca="1" si="108">AS109+IF(AE110=1,5,0)</f>
        <v>#N/A</v>
      </c>
      <c r="AT110" s="61" t="e">
        <f t="shared" ref="AT110:AT173" ca="1" si="109">AT109+IF(AE110=2,1,0)</f>
        <v>#N/A</v>
      </c>
      <c r="AU110" s="61" t="e">
        <f t="shared" si="92"/>
        <v>#N/A</v>
      </c>
      <c r="AV110" s="61" t="e">
        <f t="shared" ref="AV110:AV173" si="110">MIN(1,AV109+IF(AE110=4,0.01,0))</f>
        <v>#N/A</v>
      </c>
      <c r="AW110" s="61" t="e">
        <f t="shared" ref="AW110:AW173" si="111">AW109+IF(AE110=5,0.01,0)</f>
        <v>#N/A</v>
      </c>
      <c r="AX110" s="61" t="e">
        <f t="shared" ref="AX110:AX173" si="112">IF(AE110=6,1-(1-AX109)/(1-AL109*0.01)*(1-AL110*0.01),AX109)</f>
        <v>#N/A</v>
      </c>
      <c r="AY110" s="74" t="e">
        <f t="shared" ca="1" si="77"/>
        <v>#N/A</v>
      </c>
      <c r="AZ110" s="74" t="e">
        <f t="shared" ca="1" si="78"/>
        <v>#N/A</v>
      </c>
      <c r="BA110" s="74" t="e">
        <f t="shared" ca="1" si="79"/>
        <v>#N/A</v>
      </c>
      <c r="BB110" s="74" t="e">
        <f t="shared" ca="1" si="80"/>
        <v>#N/A</v>
      </c>
      <c r="BC110" s="74" t="e">
        <f t="shared" ca="1" si="81"/>
        <v>#N/A</v>
      </c>
      <c r="BD110" s="74" t="e">
        <f t="shared" ca="1" si="82"/>
        <v>#N/A</v>
      </c>
      <c r="BE110" s="49" t="e">
        <f t="shared" ca="1" si="83"/>
        <v>#N/A</v>
      </c>
      <c r="BF110" s="49" t="e">
        <f t="shared" ca="1" si="63"/>
        <v>#N/A</v>
      </c>
      <c r="BG110" s="49" t="e">
        <f t="shared" ca="1" si="84"/>
        <v>#N/A</v>
      </c>
      <c r="BH110" s="49" t="e">
        <f t="shared" ca="1" si="64"/>
        <v>#N/A</v>
      </c>
      <c r="BI110" s="49">
        <f t="shared" si="85"/>
        <v>0</v>
      </c>
      <c r="BJ110" s="49" t="e">
        <f t="shared" ca="1" si="65"/>
        <v>#N/A</v>
      </c>
      <c r="BK110" s="71" t="e">
        <f t="shared" ca="1" si="66"/>
        <v>#N/A</v>
      </c>
      <c r="BL110" s="71" t="e">
        <f t="shared" ca="1" si="67"/>
        <v>#N/A</v>
      </c>
      <c r="BM110" s="71" t="e">
        <f t="shared" ca="1" si="68"/>
        <v>#N/A</v>
      </c>
      <c r="BN110" s="71" t="e">
        <f t="shared" ca="1" si="69"/>
        <v>#N/A</v>
      </c>
      <c r="BO110" s="75" t="e">
        <f t="shared" ca="1" si="86"/>
        <v>#N/A</v>
      </c>
      <c r="BP110" s="49" t="e">
        <f t="shared" ca="1" si="70"/>
        <v>#N/A</v>
      </c>
      <c r="BQ110" s="49" t="e">
        <f t="shared" ca="1" si="71"/>
        <v>#N/A</v>
      </c>
      <c r="BR110" s="49" t="e">
        <f t="shared" ca="1" si="72"/>
        <v>#N/A</v>
      </c>
      <c r="BS110" s="49" t="e">
        <f t="shared" ca="1" si="73"/>
        <v>#N/A</v>
      </c>
      <c r="BT110" s="49" t="e">
        <f t="shared" ca="1" si="74"/>
        <v>#N/A</v>
      </c>
      <c r="BU110" s="49" t="e">
        <f t="shared" ca="1" si="75"/>
        <v>#N/A</v>
      </c>
      <c r="BV110" s="49" t="e">
        <f t="shared" ca="1" si="76"/>
        <v>#N/A</v>
      </c>
    </row>
    <row r="111" spans="1:74" x14ac:dyDescent="0.3">
      <c r="A111" s="47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80">
        <v>224</v>
      </c>
      <c r="X111" s="73">
        <v>575</v>
      </c>
      <c r="Y111" s="48" t="e">
        <f t="shared" si="87"/>
        <v>#N/A</v>
      </c>
      <c r="Z111" s="61" t="e">
        <f t="shared" si="88"/>
        <v>#N/A</v>
      </c>
      <c r="AA111" s="61" t="e">
        <f t="shared" si="93"/>
        <v>#N/A</v>
      </c>
      <c r="AB111" s="61" t="e">
        <f t="shared" si="89"/>
        <v>#N/A</v>
      </c>
      <c r="AC111" s="61" t="e">
        <f t="shared" si="90"/>
        <v>#N/A</v>
      </c>
      <c r="AD111" s="61" t="e">
        <f t="shared" si="91"/>
        <v>#N/A</v>
      </c>
      <c r="AE111" s="61" t="e">
        <f t="shared" si="94"/>
        <v>#N/A</v>
      </c>
      <c r="AF111" s="61">
        <f t="shared" si="95"/>
        <v>0</v>
      </c>
      <c r="AG111" s="61" t="e">
        <f t="shared" si="96"/>
        <v>#N/A</v>
      </c>
      <c r="AH111" s="61" t="e">
        <f t="shared" si="97"/>
        <v>#N/A</v>
      </c>
      <c r="AI111" s="61" t="e">
        <f t="shared" si="98"/>
        <v>#N/A</v>
      </c>
      <c r="AJ111" s="61" t="e">
        <f t="shared" si="99"/>
        <v>#N/A</v>
      </c>
      <c r="AK111" s="61" t="e">
        <f t="shared" si="100"/>
        <v>#N/A</v>
      </c>
      <c r="AL111" s="61" t="e">
        <f t="shared" si="101"/>
        <v>#N/A</v>
      </c>
      <c r="AM111" s="61" t="e">
        <f t="shared" si="102"/>
        <v>#N/A</v>
      </c>
      <c r="AN111" s="61" t="e">
        <f t="shared" si="103"/>
        <v>#N/A</v>
      </c>
      <c r="AO111" s="61" t="e">
        <f t="shared" si="104"/>
        <v>#N/A</v>
      </c>
      <c r="AP111" s="61" t="e">
        <f t="shared" si="105"/>
        <v>#N/A</v>
      </c>
      <c r="AQ111" s="61" t="e">
        <f t="shared" si="106"/>
        <v>#N/A</v>
      </c>
      <c r="AR111" s="61" t="e">
        <f t="shared" si="107"/>
        <v>#N/A</v>
      </c>
      <c r="AS111" s="61" t="e">
        <f t="shared" ca="1" si="108"/>
        <v>#N/A</v>
      </c>
      <c r="AT111" s="61" t="e">
        <f t="shared" ca="1" si="109"/>
        <v>#N/A</v>
      </c>
      <c r="AU111" s="61" t="e">
        <f t="shared" si="92"/>
        <v>#N/A</v>
      </c>
      <c r="AV111" s="61" t="e">
        <f t="shared" si="110"/>
        <v>#N/A</v>
      </c>
      <c r="AW111" s="61" t="e">
        <f t="shared" si="111"/>
        <v>#N/A</v>
      </c>
      <c r="AX111" s="61" t="e">
        <f t="shared" si="112"/>
        <v>#N/A</v>
      </c>
      <c r="AY111" s="74" t="e">
        <f t="shared" ca="1" si="77"/>
        <v>#N/A</v>
      </c>
      <c r="AZ111" s="74" t="e">
        <f t="shared" ca="1" si="78"/>
        <v>#N/A</v>
      </c>
      <c r="BA111" s="74" t="e">
        <f t="shared" ca="1" si="79"/>
        <v>#N/A</v>
      </c>
      <c r="BB111" s="74" t="e">
        <f t="shared" ca="1" si="80"/>
        <v>#N/A</v>
      </c>
      <c r="BC111" s="74" t="e">
        <f t="shared" ca="1" si="81"/>
        <v>#N/A</v>
      </c>
      <c r="BD111" s="74" t="e">
        <f t="shared" ca="1" si="82"/>
        <v>#N/A</v>
      </c>
      <c r="BE111" s="49" t="e">
        <f t="shared" ca="1" si="83"/>
        <v>#N/A</v>
      </c>
      <c r="BF111" s="49" t="e">
        <f t="shared" ca="1" si="63"/>
        <v>#N/A</v>
      </c>
      <c r="BG111" s="49" t="e">
        <f t="shared" ca="1" si="84"/>
        <v>#N/A</v>
      </c>
      <c r="BH111" s="49" t="e">
        <f t="shared" ca="1" si="64"/>
        <v>#N/A</v>
      </c>
      <c r="BI111" s="49">
        <f t="shared" si="85"/>
        <v>0</v>
      </c>
      <c r="BJ111" s="49" t="e">
        <f t="shared" ca="1" si="65"/>
        <v>#N/A</v>
      </c>
      <c r="BK111" s="71" t="e">
        <f t="shared" ca="1" si="66"/>
        <v>#N/A</v>
      </c>
      <c r="BL111" s="71" t="e">
        <f t="shared" ca="1" si="67"/>
        <v>#N/A</v>
      </c>
      <c r="BM111" s="71" t="e">
        <f t="shared" ca="1" si="68"/>
        <v>#N/A</v>
      </c>
      <c r="BN111" s="71" t="e">
        <f t="shared" ca="1" si="69"/>
        <v>#N/A</v>
      </c>
      <c r="BO111" s="75" t="e">
        <f t="shared" ca="1" si="86"/>
        <v>#N/A</v>
      </c>
      <c r="BP111" s="49" t="e">
        <f t="shared" ca="1" si="70"/>
        <v>#N/A</v>
      </c>
      <c r="BQ111" s="49" t="e">
        <f t="shared" ca="1" si="71"/>
        <v>#N/A</v>
      </c>
      <c r="BR111" s="49" t="e">
        <f t="shared" ca="1" si="72"/>
        <v>#N/A</v>
      </c>
      <c r="BS111" s="49" t="e">
        <f t="shared" ca="1" si="73"/>
        <v>#N/A</v>
      </c>
      <c r="BT111" s="49" t="e">
        <f t="shared" ca="1" si="74"/>
        <v>#N/A</v>
      </c>
      <c r="BU111" s="49" t="e">
        <f t="shared" ca="1" si="75"/>
        <v>#N/A</v>
      </c>
      <c r="BV111" s="49" t="e">
        <f t="shared" ca="1" si="76"/>
        <v>#N/A</v>
      </c>
    </row>
    <row r="112" spans="1:74" x14ac:dyDescent="0.3">
      <c r="A112" s="47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80">
        <v>225</v>
      </c>
      <c r="X112" s="73">
        <v>586</v>
      </c>
      <c r="Y112" s="48" t="e">
        <f t="shared" si="87"/>
        <v>#N/A</v>
      </c>
      <c r="Z112" s="61" t="e">
        <f t="shared" si="88"/>
        <v>#N/A</v>
      </c>
      <c r="AA112" s="61" t="e">
        <f t="shared" si="93"/>
        <v>#N/A</v>
      </c>
      <c r="AB112" s="61" t="e">
        <f t="shared" si="89"/>
        <v>#N/A</v>
      </c>
      <c r="AC112" s="61" t="e">
        <f t="shared" si="90"/>
        <v>#N/A</v>
      </c>
      <c r="AD112" s="61" t="e">
        <f t="shared" si="91"/>
        <v>#N/A</v>
      </c>
      <c r="AE112" s="61" t="e">
        <f t="shared" si="94"/>
        <v>#N/A</v>
      </c>
      <c r="AF112" s="61">
        <f t="shared" si="95"/>
        <v>0</v>
      </c>
      <c r="AG112" s="61" t="e">
        <f t="shared" si="96"/>
        <v>#N/A</v>
      </c>
      <c r="AH112" s="61" t="e">
        <f t="shared" si="97"/>
        <v>#N/A</v>
      </c>
      <c r="AI112" s="61" t="e">
        <f t="shared" si="98"/>
        <v>#N/A</v>
      </c>
      <c r="AJ112" s="61" t="e">
        <f t="shared" si="99"/>
        <v>#N/A</v>
      </c>
      <c r="AK112" s="61" t="e">
        <f t="shared" si="100"/>
        <v>#N/A</v>
      </c>
      <c r="AL112" s="61" t="e">
        <f t="shared" si="101"/>
        <v>#N/A</v>
      </c>
      <c r="AM112" s="61" t="e">
        <f t="shared" si="102"/>
        <v>#N/A</v>
      </c>
      <c r="AN112" s="61" t="e">
        <f t="shared" si="103"/>
        <v>#N/A</v>
      </c>
      <c r="AO112" s="61" t="e">
        <f t="shared" si="104"/>
        <v>#N/A</v>
      </c>
      <c r="AP112" s="61" t="e">
        <f t="shared" si="105"/>
        <v>#N/A</v>
      </c>
      <c r="AQ112" s="61" t="e">
        <f t="shared" si="106"/>
        <v>#N/A</v>
      </c>
      <c r="AR112" s="61" t="e">
        <f t="shared" si="107"/>
        <v>#N/A</v>
      </c>
      <c r="AS112" s="61" t="e">
        <f t="shared" ca="1" si="108"/>
        <v>#N/A</v>
      </c>
      <c r="AT112" s="61" t="e">
        <f t="shared" ca="1" si="109"/>
        <v>#N/A</v>
      </c>
      <c r="AU112" s="61" t="e">
        <f t="shared" si="92"/>
        <v>#N/A</v>
      </c>
      <c r="AV112" s="61" t="e">
        <f t="shared" si="110"/>
        <v>#N/A</v>
      </c>
      <c r="AW112" s="61" t="e">
        <f t="shared" si="111"/>
        <v>#N/A</v>
      </c>
      <c r="AX112" s="61" t="e">
        <f t="shared" si="112"/>
        <v>#N/A</v>
      </c>
      <c r="AY112" s="74" t="e">
        <f t="shared" ca="1" si="77"/>
        <v>#N/A</v>
      </c>
      <c r="AZ112" s="74" t="e">
        <f t="shared" ca="1" si="78"/>
        <v>#N/A</v>
      </c>
      <c r="BA112" s="74" t="e">
        <f t="shared" ca="1" si="79"/>
        <v>#N/A</v>
      </c>
      <c r="BB112" s="74" t="e">
        <f t="shared" ca="1" si="80"/>
        <v>#N/A</v>
      </c>
      <c r="BC112" s="74" t="e">
        <f t="shared" ca="1" si="81"/>
        <v>#N/A</v>
      </c>
      <c r="BD112" s="74" t="e">
        <f t="shared" ca="1" si="82"/>
        <v>#N/A</v>
      </c>
      <c r="BE112" s="49" t="e">
        <f t="shared" ca="1" si="83"/>
        <v>#N/A</v>
      </c>
      <c r="BF112" s="49" t="e">
        <f t="shared" ca="1" si="63"/>
        <v>#N/A</v>
      </c>
      <c r="BG112" s="49" t="e">
        <f t="shared" ca="1" si="84"/>
        <v>#N/A</v>
      </c>
      <c r="BH112" s="49" t="e">
        <f t="shared" ca="1" si="64"/>
        <v>#N/A</v>
      </c>
      <c r="BI112" s="49">
        <f t="shared" si="85"/>
        <v>0</v>
      </c>
      <c r="BJ112" s="49" t="e">
        <f t="shared" ca="1" si="65"/>
        <v>#N/A</v>
      </c>
      <c r="BK112" s="71" t="e">
        <f t="shared" ca="1" si="66"/>
        <v>#N/A</v>
      </c>
      <c r="BL112" s="71" t="e">
        <f t="shared" ca="1" si="67"/>
        <v>#N/A</v>
      </c>
      <c r="BM112" s="71" t="e">
        <f t="shared" ca="1" si="68"/>
        <v>#N/A</v>
      </c>
      <c r="BN112" s="71" t="e">
        <f t="shared" ca="1" si="69"/>
        <v>#N/A</v>
      </c>
      <c r="BO112" s="75" t="e">
        <f t="shared" ca="1" si="86"/>
        <v>#N/A</v>
      </c>
      <c r="BP112" s="49" t="e">
        <f t="shared" ca="1" si="70"/>
        <v>#N/A</v>
      </c>
      <c r="BQ112" s="49" t="e">
        <f t="shared" ca="1" si="71"/>
        <v>#N/A</v>
      </c>
      <c r="BR112" s="49" t="e">
        <f t="shared" ca="1" si="72"/>
        <v>#N/A</v>
      </c>
      <c r="BS112" s="49" t="e">
        <f t="shared" ca="1" si="73"/>
        <v>#N/A</v>
      </c>
      <c r="BT112" s="49" t="e">
        <f t="shared" ca="1" si="74"/>
        <v>#N/A</v>
      </c>
      <c r="BU112" s="49" t="e">
        <f t="shared" ca="1" si="75"/>
        <v>#N/A</v>
      </c>
      <c r="BV112" s="49" t="e">
        <f t="shared" ca="1" si="76"/>
        <v>#N/A</v>
      </c>
    </row>
    <row r="113" spans="1:74" x14ac:dyDescent="0.3">
      <c r="A113" s="47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80">
        <v>226</v>
      </c>
      <c r="X113" s="73">
        <v>597</v>
      </c>
      <c r="Y113" s="48" t="e">
        <f t="shared" si="87"/>
        <v>#N/A</v>
      </c>
      <c r="Z113" s="61" t="e">
        <f t="shared" si="88"/>
        <v>#N/A</v>
      </c>
      <c r="AA113" s="61" t="e">
        <f t="shared" si="93"/>
        <v>#N/A</v>
      </c>
      <c r="AB113" s="61" t="e">
        <f t="shared" si="89"/>
        <v>#N/A</v>
      </c>
      <c r="AC113" s="61" t="e">
        <f t="shared" si="90"/>
        <v>#N/A</v>
      </c>
      <c r="AD113" s="61" t="e">
        <f t="shared" si="91"/>
        <v>#N/A</v>
      </c>
      <c r="AE113" s="61" t="e">
        <f t="shared" si="94"/>
        <v>#N/A</v>
      </c>
      <c r="AF113" s="61">
        <f t="shared" si="95"/>
        <v>0</v>
      </c>
      <c r="AG113" s="61" t="e">
        <f t="shared" si="96"/>
        <v>#N/A</v>
      </c>
      <c r="AH113" s="61" t="e">
        <f t="shared" si="97"/>
        <v>#N/A</v>
      </c>
      <c r="AI113" s="61" t="e">
        <f t="shared" si="98"/>
        <v>#N/A</v>
      </c>
      <c r="AJ113" s="61" t="e">
        <f t="shared" si="99"/>
        <v>#N/A</v>
      </c>
      <c r="AK113" s="61" t="e">
        <f t="shared" si="100"/>
        <v>#N/A</v>
      </c>
      <c r="AL113" s="61" t="e">
        <f t="shared" si="101"/>
        <v>#N/A</v>
      </c>
      <c r="AM113" s="61" t="e">
        <f t="shared" si="102"/>
        <v>#N/A</v>
      </c>
      <c r="AN113" s="61" t="e">
        <f t="shared" si="103"/>
        <v>#N/A</v>
      </c>
      <c r="AO113" s="61" t="e">
        <f t="shared" si="104"/>
        <v>#N/A</v>
      </c>
      <c r="AP113" s="61" t="e">
        <f t="shared" si="105"/>
        <v>#N/A</v>
      </c>
      <c r="AQ113" s="61" t="e">
        <f t="shared" si="106"/>
        <v>#N/A</v>
      </c>
      <c r="AR113" s="61" t="e">
        <f t="shared" si="107"/>
        <v>#N/A</v>
      </c>
      <c r="AS113" s="61" t="e">
        <f t="shared" ca="1" si="108"/>
        <v>#N/A</v>
      </c>
      <c r="AT113" s="61" t="e">
        <f t="shared" ca="1" si="109"/>
        <v>#N/A</v>
      </c>
      <c r="AU113" s="61" t="e">
        <f t="shared" si="92"/>
        <v>#N/A</v>
      </c>
      <c r="AV113" s="61" t="e">
        <f t="shared" si="110"/>
        <v>#N/A</v>
      </c>
      <c r="AW113" s="61" t="e">
        <f t="shared" si="111"/>
        <v>#N/A</v>
      </c>
      <c r="AX113" s="61" t="e">
        <f t="shared" si="112"/>
        <v>#N/A</v>
      </c>
      <c r="AY113" s="74" t="e">
        <f t="shared" ca="1" si="77"/>
        <v>#N/A</v>
      </c>
      <c r="AZ113" s="74" t="e">
        <f t="shared" ca="1" si="78"/>
        <v>#N/A</v>
      </c>
      <c r="BA113" s="74" t="e">
        <f t="shared" ca="1" si="79"/>
        <v>#N/A</v>
      </c>
      <c r="BB113" s="74" t="e">
        <f t="shared" ca="1" si="80"/>
        <v>#N/A</v>
      </c>
      <c r="BC113" s="74" t="e">
        <f t="shared" ca="1" si="81"/>
        <v>#N/A</v>
      </c>
      <c r="BD113" s="74" t="e">
        <f t="shared" ca="1" si="82"/>
        <v>#N/A</v>
      </c>
      <c r="BE113" s="49" t="e">
        <f t="shared" ca="1" si="83"/>
        <v>#N/A</v>
      </c>
      <c r="BF113" s="49" t="e">
        <f t="shared" ca="1" si="63"/>
        <v>#N/A</v>
      </c>
      <c r="BG113" s="49" t="e">
        <f t="shared" ca="1" si="84"/>
        <v>#N/A</v>
      </c>
      <c r="BH113" s="49" t="e">
        <f t="shared" ca="1" si="64"/>
        <v>#N/A</v>
      </c>
      <c r="BI113" s="49">
        <f t="shared" si="85"/>
        <v>0</v>
      </c>
      <c r="BJ113" s="49" t="e">
        <f t="shared" ca="1" si="65"/>
        <v>#N/A</v>
      </c>
      <c r="BK113" s="71" t="e">
        <f t="shared" ca="1" si="66"/>
        <v>#N/A</v>
      </c>
      <c r="BL113" s="71" t="e">
        <f t="shared" ca="1" si="67"/>
        <v>#N/A</v>
      </c>
      <c r="BM113" s="71" t="e">
        <f t="shared" ca="1" si="68"/>
        <v>#N/A</v>
      </c>
      <c r="BN113" s="71" t="e">
        <f t="shared" ca="1" si="69"/>
        <v>#N/A</v>
      </c>
      <c r="BO113" s="75" t="e">
        <f t="shared" ca="1" si="86"/>
        <v>#N/A</v>
      </c>
      <c r="BP113" s="49" t="e">
        <f t="shared" ca="1" si="70"/>
        <v>#N/A</v>
      </c>
      <c r="BQ113" s="49" t="e">
        <f t="shared" ca="1" si="71"/>
        <v>#N/A</v>
      </c>
      <c r="BR113" s="49" t="e">
        <f t="shared" ca="1" si="72"/>
        <v>#N/A</v>
      </c>
      <c r="BS113" s="49" t="e">
        <f t="shared" ca="1" si="73"/>
        <v>#N/A</v>
      </c>
      <c r="BT113" s="49" t="e">
        <f t="shared" ca="1" si="74"/>
        <v>#N/A</v>
      </c>
      <c r="BU113" s="49" t="e">
        <f t="shared" ca="1" si="75"/>
        <v>#N/A</v>
      </c>
      <c r="BV113" s="49" t="e">
        <f t="shared" ca="1" si="76"/>
        <v>#N/A</v>
      </c>
    </row>
    <row r="114" spans="1:74" x14ac:dyDescent="0.3">
      <c r="A114" s="47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80">
        <v>227</v>
      </c>
      <c r="X114" s="73">
        <v>608</v>
      </c>
      <c r="Y114" s="48" t="e">
        <f t="shared" si="87"/>
        <v>#N/A</v>
      </c>
      <c r="Z114" s="61" t="e">
        <f t="shared" si="88"/>
        <v>#N/A</v>
      </c>
      <c r="AA114" s="61" t="e">
        <f t="shared" si="93"/>
        <v>#N/A</v>
      </c>
      <c r="AB114" s="61" t="e">
        <f t="shared" si="89"/>
        <v>#N/A</v>
      </c>
      <c r="AC114" s="61" t="e">
        <f t="shared" si="90"/>
        <v>#N/A</v>
      </c>
      <c r="AD114" s="61" t="e">
        <f t="shared" si="91"/>
        <v>#N/A</v>
      </c>
      <c r="AE114" s="61" t="e">
        <f t="shared" si="94"/>
        <v>#N/A</v>
      </c>
      <c r="AF114" s="61">
        <f t="shared" si="95"/>
        <v>0</v>
      </c>
      <c r="AG114" s="61" t="e">
        <f t="shared" si="96"/>
        <v>#N/A</v>
      </c>
      <c r="AH114" s="61" t="e">
        <f t="shared" si="97"/>
        <v>#N/A</v>
      </c>
      <c r="AI114" s="61" t="e">
        <f t="shared" si="98"/>
        <v>#N/A</v>
      </c>
      <c r="AJ114" s="61" t="e">
        <f t="shared" si="99"/>
        <v>#N/A</v>
      </c>
      <c r="AK114" s="61" t="e">
        <f t="shared" si="100"/>
        <v>#N/A</v>
      </c>
      <c r="AL114" s="61" t="e">
        <f t="shared" si="101"/>
        <v>#N/A</v>
      </c>
      <c r="AM114" s="61" t="e">
        <f t="shared" si="102"/>
        <v>#N/A</v>
      </c>
      <c r="AN114" s="61" t="e">
        <f t="shared" si="103"/>
        <v>#N/A</v>
      </c>
      <c r="AO114" s="61" t="e">
        <f t="shared" si="104"/>
        <v>#N/A</v>
      </c>
      <c r="AP114" s="61" t="e">
        <f t="shared" si="105"/>
        <v>#N/A</v>
      </c>
      <c r="AQ114" s="61" t="e">
        <f t="shared" si="106"/>
        <v>#N/A</v>
      </c>
      <c r="AR114" s="61" t="e">
        <f t="shared" si="107"/>
        <v>#N/A</v>
      </c>
      <c r="AS114" s="61" t="e">
        <f t="shared" ca="1" si="108"/>
        <v>#N/A</v>
      </c>
      <c r="AT114" s="61" t="e">
        <f t="shared" ca="1" si="109"/>
        <v>#N/A</v>
      </c>
      <c r="AU114" s="61" t="e">
        <f t="shared" si="92"/>
        <v>#N/A</v>
      </c>
      <c r="AV114" s="61" t="e">
        <f t="shared" si="110"/>
        <v>#N/A</v>
      </c>
      <c r="AW114" s="61" t="e">
        <f t="shared" si="111"/>
        <v>#N/A</v>
      </c>
      <c r="AX114" s="61" t="e">
        <f t="shared" si="112"/>
        <v>#N/A</v>
      </c>
      <c r="AY114" s="74" t="e">
        <f t="shared" ca="1" si="77"/>
        <v>#N/A</v>
      </c>
      <c r="AZ114" s="74" t="e">
        <f t="shared" ca="1" si="78"/>
        <v>#N/A</v>
      </c>
      <c r="BA114" s="74" t="e">
        <f t="shared" ca="1" si="79"/>
        <v>#N/A</v>
      </c>
      <c r="BB114" s="74" t="e">
        <f t="shared" ca="1" si="80"/>
        <v>#N/A</v>
      </c>
      <c r="BC114" s="74" t="e">
        <f t="shared" ca="1" si="81"/>
        <v>#N/A</v>
      </c>
      <c r="BD114" s="74" t="e">
        <f t="shared" ca="1" si="82"/>
        <v>#N/A</v>
      </c>
      <c r="BE114" s="49" t="e">
        <f t="shared" ca="1" si="83"/>
        <v>#N/A</v>
      </c>
      <c r="BF114" s="49" t="e">
        <f t="shared" ca="1" si="63"/>
        <v>#N/A</v>
      </c>
      <c r="BG114" s="49" t="e">
        <f t="shared" ca="1" si="84"/>
        <v>#N/A</v>
      </c>
      <c r="BH114" s="49" t="e">
        <f t="shared" ca="1" si="64"/>
        <v>#N/A</v>
      </c>
      <c r="BI114" s="49">
        <f t="shared" si="85"/>
        <v>0</v>
      </c>
      <c r="BJ114" s="49" t="e">
        <f t="shared" ca="1" si="65"/>
        <v>#N/A</v>
      </c>
      <c r="BK114" s="71" t="e">
        <f t="shared" ca="1" si="66"/>
        <v>#N/A</v>
      </c>
      <c r="BL114" s="71" t="e">
        <f t="shared" ca="1" si="67"/>
        <v>#N/A</v>
      </c>
      <c r="BM114" s="71" t="e">
        <f t="shared" ca="1" si="68"/>
        <v>#N/A</v>
      </c>
      <c r="BN114" s="71" t="e">
        <f t="shared" ca="1" si="69"/>
        <v>#N/A</v>
      </c>
      <c r="BO114" s="75" t="e">
        <f t="shared" ca="1" si="86"/>
        <v>#N/A</v>
      </c>
      <c r="BP114" s="49" t="e">
        <f t="shared" ca="1" si="70"/>
        <v>#N/A</v>
      </c>
      <c r="BQ114" s="49" t="e">
        <f t="shared" ca="1" si="71"/>
        <v>#N/A</v>
      </c>
      <c r="BR114" s="49" t="e">
        <f t="shared" ca="1" si="72"/>
        <v>#N/A</v>
      </c>
      <c r="BS114" s="49" t="e">
        <f t="shared" ca="1" si="73"/>
        <v>#N/A</v>
      </c>
      <c r="BT114" s="49" t="e">
        <f t="shared" ca="1" si="74"/>
        <v>#N/A</v>
      </c>
      <c r="BU114" s="49" t="e">
        <f t="shared" ca="1" si="75"/>
        <v>#N/A</v>
      </c>
      <c r="BV114" s="49" t="e">
        <f t="shared" ca="1" si="76"/>
        <v>#N/A</v>
      </c>
    </row>
    <row r="115" spans="1:74" x14ac:dyDescent="0.3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80">
        <v>228</v>
      </c>
      <c r="X115" s="73">
        <v>619</v>
      </c>
      <c r="Y115" s="48" t="e">
        <f t="shared" si="87"/>
        <v>#N/A</v>
      </c>
      <c r="Z115" s="61" t="e">
        <f t="shared" si="88"/>
        <v>#N/A</v>
      </c>
      <c r="AA115" s="61" t="e">
        <f t="shared" si="93"/>
        <v>#N/A</v>
      </c>
      <c r="AB115" s="61" t="e">
        <f t="shared" si="89"/>
        <v>#N/A</v>
      </c>
      <c r="AC115" s="61" t="e">
        <f t="shared" si="90"/>
        <v>#N/A</v>
      </c>
      <c r="AD115" s="61" t="e">
        <f t="shared" si="91"/>
        <v>#N/A</v>
      </c>
      <c r="AE115" s="61" t="e">
        <f t="shared" si="94"/>
        <v>#N/A</v>
      </c>
      <c r="AF115" s="61">
        <f t="shared" si="95"/>
        <v>0</v>
      </c>
      <c r="AG115" s="61" t="e">
        <f t="shared" si="96"/>
        <v>#N/A</v>
      </c>
      <c r="AH115" s="61" t="e">
        <f t="shared" si="97"/>
        <v>#N/A</v>
      </c>
      <c r="AI115" s="61" t="e">
        <f t="shared" si="98"/>
        <v>#N/A</v>
      </c>
      <c r="AJ115" s="61" t="e">
        <f t="shared" si="99"/>
        <v>#N/A</v>
      </c>
      <c r="AK115" s="61" t="e">
        <f t="shared" si="100"/>
        <v>#N/A</v>
      </c>
      <c r="AL115" s="61" t="e">
        <f t="shared" si="101"/>
        <v>#N/A</v>
      </c>
      <c r="AM115" s="61" t="e">
        <f t="shared" si="102"/>
        <v>#N/A</v>
      </c>
      <c r="AN115" s="61" t="e">
        <f t="shared" si="103"/>
        <v>#N/A</v>
      </c>
      <c r="AO115" s="61" t="e">
        <f t="shared" si="104"/>
        <v>#N/A</v>
      </c>
      <c r="AP115" s="61" t="e">
        <f t="shared" si="105"/>
        <v>#N/A</v>
      </c>
      <c r="AQ115" s="61" t="e">
        <f t="shared" si="106"/>
        <v>#N/A</v>
      </c>
      <c r="AR115" s="61" t="e">
        <f t="shared" si="107"/>
        <v>#N/A</v>
      </c>
      <c r="AS115" s="61" t="e">
        <f t="shared" ca="1" si="108"/>
        <v>#N/A</v>
      </c>
      <c r="AT115" s="61" t="e">
        <f t="shared" ca="1" si="109"/>
        <v>#N/A</v>
      </c>
      <c r="AU115" s="61" t="e">
        <f t="shared" si="92"/>
        <v>#N/A</v>
      </c>
      <c r="AV115" s="61" t="e">
        <f t="shared" si="110"/>
        <v>#N/A</v>
      </c>
      <c r="AW115" s="61" t="e">
        <f t="shared" si="111"/>
        <v>#N/A</v>
      </c>
      <c r="AX115" s="61" t="e">
        <f t="shared" si="112"/>
        <v>#N/A</v>
      </c>
      <c r="AY115" s="74" t="e">
        <f t="shared" ca="1" si="77"/>
        <v>#N/A</v>
      </c>
      <c r="AZ115" s="74" t="e">
        <f t="shared" ca="1" si="78"/>
        <v>#N/A</v>
      </c>
      <c r="BA115" s="74" t="e">
        <f t="shared" ca="1" si="79"/>
        <v>#N/A</v>
      </c>
      <c r="BB115" s="74" t="e">
        <f t="shared" ca="1" si="80"/>
        <v>#N/A</v>
      </c>
      <c r="BC115" s="74" t="e">
        <f t="shared" ca="1" si="81"/>
        <v>#N/A</v>
      </c>
      <c r="BD115" s="74" t="e">
        <f t="shared" ca="1" si="82"/>
        <v>#N/A</v>
      </c>
      <c r="BE115" s="49" t="e">
        <f t="shared" ca="1" si="83"/>
        <v>#N/A</v>
      </c>
      <c r="BF115" s="49" t="e">
        <f t="shared" ca="1" si="63"/>
        <v>#N/A</v>
      </c>
      <c r="BG115" s="49" t="e">
        <f t="shared" ca="1" si="84"/>
        <v>#N/A</v>
      </c>
      <c r="BH115" s="49" t="e">
        <f t="shared" ca="1" si="64"/>
        <v>#N/A</v>
      </c>
      <c r="BI115" s="49">
        <f t="shared" si="85"/>
        <v>0</v>
      </c>
      <c r="BJ115" s="49" t="e">
        <f t="shared" ca="1" si="65"/>
        <v>#N/A</v>
      </c>
      <c r="BK115" s="71" t="e">
        <f t="shared" ca="1" si="66"/>
        <v>#N/A</v>
      </c>
      <c r="BL115" s="71" t="e">
        <f t="shared" ca="1" si="67"/>
        <v>#N/A</v>
      </c>
      <c r="BM115" s="71" t="e">
        <f t="shared" ca="1" si="68"/>
        <v>#N/A</v>
      </c>
      <c r="BN115" s="71" t="e">
        <f t="shared" ca="1" si="69"/>
        <v>#N/A</v>
      </c>
      <c r="BO115" s="75" t="e">
        <f t="shared" ca="1" si="86"/>
        <v>#N/A</v>
      </c>
      <c r="BP115" s="49" t="e">
        <f t="shared" ca="1" si="70"/>
        <v>#N/A</v>
      </c>
      <c r="BQ115" s="49" t="e">
        <f t="shared" ca="1" si="71"/>
        <v>#N/A</v>
      </c>
      <c r="BR115" s="49" t="e">
        <f t="shared" ca="1" si="72"/>
        <v>#N/A</v>
      </c>
      <c r="BS115" s="49" t="e">
        <f t="shared" ca="1" si="73"/>
        <v>#N/A</v>
      </c>
      <c r="BT115" s="49" t="e">
        <f t="shared" ca="1" si="74"/>
        <v>#N/A</v>
      </c>
      <c r="BU115" s="49" t="e">
        <f t="shared" ca="1" si="75"/>
        <v>#N/A</v>
      </c>
      <c r="BV115" s="49" t="e">
        <f t="shared" ca="1" si="76"/>
        <v>#N/A</v>
      </c>
    </row>
    <row r="116" spans="1:74" x14ac:dyDescent="0.3">
      <c r="A116" s="47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80">
        <v>229</v>
      </c>
      <c r="X116" s="73">
        <v>630</v>
      </c>
      <c r="Y116" s="48" t="e">
        <f t="shared" si="87"/>
        <v>#N/A</v>
      </c>
      <c r="Z116" s="61" t="e">
        <f t="shared" si="88"/>
        <v>#N/A</v>
      </c>
      <c r="AA116" s="61" t="e">
        <f t="shared" si="93"/>
        <v>#N/A</v>
      </c>
      <c r="AB116" s="61" t="e">
        <f t="shared" si="89"/>
        <v>#N/A</v>
      </c>
      <c r="AC116" s="61" t="e">
        <f t="shared" si="90"/>
        <v>#N/A</v>
      </c>
      <c r="AD116" s="61" t="e">
        <f t="shared" si="91"/>
        <v>#N/A</v>
      </c>
      <c r="AE116" s="61" t="e">
        <f t="shared" si="94"/>
        <v>#N/A</v>
      </c>
      <c r="AF116" s="61">
        <f t="shared" si="95"/>
        <v>0</v>
      </c>
      <c r="AG116" s="61" t="e">
        <f t="shared" si="96"/>
        <v>#N/A</v>
      </c>
      <c r="AH116" s="61" t="e">
        <f t="shared" si="97"/>
        <v>#N/A</v>
      </c>
      <c r="AI116" s="61" t="e">
        <f t="shared" si="98"/>
        <v>#N/A</v>
      </c>
      <c r="AJ116" s="61" t="e">
        <f t="shared" si="99"/>
        <v>#N/A</v>
      </c>
      <c r="AK116" s="61" t="e">
        <f t="shared" si="100"/>
        <v>#N/A</v>
      </c>
      <c r="AL116" s="61" t="e">
        <f t="shared" si="101"/>
        <v>#N/A</v>
      </c>
      <c r="AM116" s="61" t="e">
        <f t="shared" si="102"/>
        <v>#N/A</v>
      </c>
      <c r="AN116" s="61" t="e">
        <f t="shared" si="103"/>
        <v>#N/A</v>
      </c>
      <c r="AO116" s="61" t="e">
        <f t="shared" si="104"/>
        <v>#N/A</v>
      </c>
      <c r="AP116" s="61" t="e">
        <f t="shared" si="105"/>
        <v>#N/A</v>
      </c>
      <c r="AQ116" s="61" t="e">
        <f t="shared" si="106"/>
        <v>#N/A</v>
      </c>
      <c r="AR116" s="61" t="e">
        <f t="shared" si="107"/>
        <v>#N/A</v>
      </c>
      <c r="AS116" s="61" t="e">
        <f t="shared" ca="1" si="108"/>
        <v>#N/A</v>
      </c>
      <c r="AT116" s="61" t="e">
        <f t="shared" ca="1" si="109"/>
        <v>#N/A</v>
      </c>
      <c r="AU116" s="61" t="e">
        <f t="shared" si="92"/>
        <v>#N/A</v>
      </c>
      <c r="AV116" s="61" t="e">
        <f t="shared" si="110"/>
        <v>#N/A</v>
      </c>
      <c r="AW116" s="61" t="e">
        <f t="shared" si="111"/>
        <v>#N/A</v>
      </c>
      <c r="AX116" s="61" t="e">
        <f t="shared" si="112"/>
        <v>#N/A</v>
      </c>
      <c r="AY116" s="74" t="e">
        <f t="shared" ca="1" si="77"/>
        <v>#N/A</v>
      </c>
      <c r="AZ116" s="74" t="e">
        <f t="shared" ca="1" si="78"/>
        <v>#N/A</v>
      </c>
      <c r="BA116" s="74" t="e">
        <f t="shared" ca="1" si="79"/>
        <v>#N/A</v>
      </c>
      <c r="BB116" s="74" t="e">
        <f t="shared" ca="1" si="80"/>
        <v>#N/A</v>
      </c>
      <c r="BC116" s="74" t="e">
        <f t="shared" ca="1" si="81"/>
        <v>#N/A</v>
      </c>
      <c r="BD116" s="74" t="e">
        <f t="shared" ca="1" si="82"/>
        <v>#N/A</v>
      </c>
      <c r="BE116" s="49" t="e">
        <f t="shared" ca="1" si="83"/>
        <v>#N/A</v>
      </c>
      <c r="BF116" s="49" t="e">
        <f t="shared" ca="1" si="63"/>
        <v>#N/A</v>
      </c>
      <c r="BG116" s="49" t="e">
        <f t="shared" ca="1" si="84"/>
        <v>#N/A</v>
      </c>
      <c r="BH116" s="49" t="e">
        <f t="shared" ca="1" si="64"/>
        <v>#N/A</v>
      </c>
      <c r="BI116" s="49">
        <f t="shared" si="85"/>
        <v>0</v>
      </c>
      <c r="BJ116" s="49" t="e">
        <f t="shared" ca="1" si="65"/>
        <v>#N/A</v>
      </c>
      <c r="BK116" s="71" t="e">
        <f t="shared" ca="1" si="66"/>
        <v>#N/A</v>
      </c>
      <c r="BL116" s="71" t="e">
        <f t="shared" ca="1" si="67"/>
        <v>#N/A</v>
      </c>
      <c r="BM116" s="71" t="e">
        <f t="shared" ca="1" si="68"/>
        <v>#N/A</v>
      </c>
      <c r="BN116" s="71" t="e">
        <f t="shared" ca="1" si="69"/>
        <v>#N/A</v>
      </c>
      <c r="BO116" s="75" t="e">
        <f t="shared" ca="1" si="86"/>
        <v>#N/A</v>
      </c>
      <c r="BP116" s="49" t="e">
        <f t="shared" ca="1" si="70"/>
        <v>#N/A</v>
      </c>
      <c r="BQ116" s="49" t="e">
        <f t="shared" ca="1" si="71"/>
        <v>#N/A</v>
      </c>
      <c r="BR116" s="49" t="e">
        <f t="shared" ca="1" si="72"/>
        <v>#N/A</v>
      </c>
      <c r="BS116" s="49" t="e">
        <f t="shared" ca="1" si="73"/>
        <v>#N/A</v>
      </c>
      <c r="BT116" s="49" t="e">
        <f t="shared" ca="1" si="74"/>
        <v>#N/A</v>
      </c>
      <c r="BU116" s="49" t="e">
        <f t="shared" ca="1" si="75"/>
        <v>#N/A</v>
      </c>
      <c r="BV116" s="49" t="e">
        <f t="shared" ca="1" si="76"/>
        <v>#N/A</v>
      </c>
    </row>
    <row r="117" spans="1:74" x14ac:dyDescent="0.3">
      <c r="A117" s="47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80">
        <v>230</v>
      </c>
      <c r="X117" s="73">
        <v>642</v>
      </c>
      <c r="Y117" s="48" t="e">
        <f t="shared" si="87"/>
        <v>#N/A</v>
      </c>
      <c r="Z117" s="61" t="e">
        <f t="shared" si="88"/>
        <v>#N/A</v>
      </c>
      <c r="AA117" s="61" t="e">
        <f t="shared" si="93"/>
        <v>#N/A</v>
      </c>
      <c r="AB117" s="61" t="e">
        <f t="shared" si="89"/>
        <v>#N/A</v>
      </c>
      <c r="AC117" s="61" t="e">
        <f t="shared" si="90"/>
        <v>#N/A</v>
      </c>
      <c r="AD117" s="61" t="e">
        <f t="shared" si="91"/>
        <v>#N/A</v>
      </c>
      <c r="AE117" s="61" t="e">
        <f t="shared" si="94"/>
        <v>#N/A</v>
      </c>
      <c r="AF117" s="61">
        <f t="shared" si="95"/>
        <v>0</v>
      </c>
      <c r="AG117" s="61" t="e">
        <f t="shared" si="96"/>
        <v>#N/A</v>
      </c>
      <c r="AH117" s="61" t="e">
        <f t="shared" si="97"/>
        <v>#N/A</v>
      </c>
      <c r="AI117" s="61" t="e">
        <f t="shared" si="98"/>
        <v>#N/A</v>
      </c>
      <c r="AJ117" s="61" t="e">
        <f t="shared" si="99"/>
        <v>#N/A</v>
      </c>
      <c r="AK117" s="61" t="e">
        <f t="shared" si="100"/>
        <v>#N/A</v>
      </c>
      <c r="AL117" s="61" t="e">
        <f t="shared" si="101"/>
        <v>#N/A</v>
      </c>
      <c r="AM117" s="61" t="e">
        <f t="shared" si="102"/>
        <v>#N/A</v>
      </c>
      <c r="AN117" s="61" t="e">
        <f t="shared" si="103"/>
        <v>#N/A</v>
      </c>
      <c r="AO117" s="61" t="e">
        <f t="shared" si="104"/>
        <v>#N/A</v>
      </c>
      <c r="AP117" s="61" t="e">
        <f t="shared" si="105"/>
        <v>#N/A</v>
      </c>
      <c r="AQ117" s="61" t="e">
        <f t="shared" si="106"/>
        <v>#N/A</v>
      </c>
      <c r="AR117" s="61" t="e">
        <f t="shared" si="107"/>
        <v>#N/A</v>
      </c>
      <c r="AS117" s="61" t="e">
        <f t="shared" ca="1" si="108"/>
        <v>#N/A</v>
      </c>
      <c r="AT117" s="61" t="e">
        <f t="shared" ca="1" si="109"/>
        <v>#N/A</v>
      </c>
      <c r="AU117" s="61" t="e">
        <f t="shared" si="92"/>
        <v>#N/A</v>
      </c>
      <c r="AV117" s="61" t="e">
        <f t="shared" si="110"/>
        <v>#N/A</v>
      </c>
      <c r="AW117" s="61" t="e">
        <f t="shared" si="111"/>
        <v>#N/A</v>
      </c>
      <c r="AX117" s="61" t="e">
        <f t="shared" si="112"/>
        <v>#N/A</v>
      </c>
      <c r="AY117" s="74" t="e">
        <f t="shared" ca="1" si="77"/>
        <v>#N/A</v>
      </c>
      <c r="AZ117" s="74" t="e">
        <f t="shared" ca="1" si="78"/>
        <v>#N/A</v>
      </c>
      <c r="BA117" s="74" t="e">
        <f t="shared" ca="1" si="79"/>
        <v>#N/A</v>
      </c>
      <c r="BB117" s="74" t="e">
        <f t="shared" ca="1" si="80"/>
        <v>#N/A</v>
      </c>
      <c r="BC117" s="74" t="e">
        <f t="shared" ca="1" si="81"/>
        <v>#N/A</v>
      </c>
      <c r="BD117" s="74" t="e">
        <f t="shared" ca="1" si="82"/>
        <v>#N/A</v>
      </c>
      <c r="BE117" s="49" t="e">
        <f t="shared" ca="1" si="83"/>
        <v>#N/A</v>
      </c>
      <c r="BF117" s="49" t="e">
        <f t="shared" ca="1" si="63"/>
        <v>#N/A</v>
      </c>
      <c r="BG117" s="49" t="e">
        <f t="shared" ca="1" si="84"/>
        <v>#N/A</v>
      </c>
      <c r="BH117" s="49" t="e">
        <f t="shared" ca="1" si="64"/>
        <v>#N/A</v>
      </c>
      <c r="BI117" s="49">
        <f t="shared" si="85"/>
        <v>0</v>
      </c>
      <c r="BJ117" s="49" t="e">
        <f t="shared" ca="1" si="65"/>
        <v>#N/A</v>
      </c>
      <c r="BK117" s="71" t="e">
        <f t="shared" ca="1" si="66"/>
        <v>#N/A</v>
      </c>
      <c r="BL117" s="71" t="e">
        <f t="shared" ca="1" si="67"/>
        <v>#N/A</v>
      </c>
      <c r="BM117" s="71" t="e">
        <f t="shared" ca="1" si="68"/>
        <v>#N/A</v>
      </c>
      <c r="BN117" s="71" t="e">
        <f t="shared" ca="1" si="69"/>
        <v>#N/A</v>
      </c>
      <c r="BO117" s="75" t="e">
        <f t="shared" ca="1" si="86"/>
        <v>#N/A</v>
      </c>
      <c r="BP117" s="49" t="e">
        <f t="shared" ca="1" si="70"/>
        <v>#N/A</v>
      </c>
      <c r="BQ117" s="49" t="e">
        <f t="shared" ca="1" si="71"/>
        <v>#N/A</v>
      </c>
      <c r="BR117" s="49" t="e">
        <f t="shared" ca="1" si="72"/>
        <v>#N/A</v>
      </c>
      <c r="BS117" s="49" t="e">
        <f t="shared" ca="1" si="73"/>
        <v>#N/A</v>
      </c>
      <c r="BT117" s="49" t="e">
        <f t="shared" ca="1" si="74"/>
        <v>#N/A</v>
      </c>
      <c r="BU117" s="49" t="e">
        <f t="shared" ca="1" si="75"/>
        <v>#N/A</v>
      </c>
      <c r="BV117" s="49" t="e">
        <f t="shared" ca="1" si="76"/>
        <v>#N/A</v>
      </c>
    </row>
    <row r="118" spans="1:74" x14ac:dyDescent="0.3">
      <c r="A118" s="47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80">
        <v>231</v>
      </c>
      <c r="X118" s="73">
        <v>654</v>
      </c>
      <c r="Y118" s="48" t="e">
        <f t="shared" si="87"/>
        <v>#N/A</v>
      </c>
      <c r="Z118" s="61" t="e">
        <f t="shared" si="88"/>
        <v>#N/A</v>
      </c>
      <c r="AA118" s="61" t="e">
        <f t="shared" si="93"/>
        <v>#N/A</v>
      </c>
      <c r="AB118" s="61" t="e">
        <f t="shared" si="89"/>
        <v>#N/A</v>
      </c>
      <c r="AC118" s="61" t="e">
        <f t="shared" si="90"/>
        <v>#N/A</v>
      </c>
      <c r="AD118" s="61" t="e">
        <f t="shared" si="91"/>
        <v>#N/A</v>
      </c>
      <c r="AE118" s="61" t="e">
        <f t="shared" si="94"/>
        <v>#N/A</v>
      </c>
      <c r="AF118" s="61">
        <f t="shared" si="95"/>
        <v>0</v>
      </c>
      <c r="AG118" s="61" t="e">
        <f t="shared" si="96"/>
        <v>#N/A</v>
      </c>
      <c r="AH118" s="61" t="e">
        <f t="shared" si="97"/>
        <v>#N/A</v>
      </c>
      <c r="AI118" s="61" t="e">
        <f t="shared" si="98"/>
        <v>#N/A</v>
      </c>
      <c r="AJ118" s="61" t="e">
        <f t="shared" si="99"/>
        <v>#N/A</v>
      </c>
      <c r="AK118" s="61" t="e">
        <f t="shared" si="100"/>
        <v>#N/A</v>
      </c>
      <c r="AL118" s="61" t="e">
        <f t="shared" si="101"/>
        <v>#N/A</v>
      </c>
      <c r="AM118" s="61" t="e">
        <f t="shared" si="102"/>
        <v>#N/A</v>
      </c>
      <c r="AN118" s="61" t="e">
        <f t="shared" si="103"/>
        <v>#N/A</v>
      </c>
      <c r="AO118" s="61" t="e">
        <f t="shared" si="104"/>
        <v>#N/A</v>
      </c>
      <c r="AP118" s="61" t="e">
        <f t="shared" si="105"/>
        <v>#N/A</v>
      </c>
      <c r="AQ118" s="61" t="e">
        <f t="shared" si="106"/>
        <v>#N/A</v>
      </c>
      <c r="AR118" s="61" t="e">
        <f t="shared" si="107"/>
        <v>#N/A</v>
      </c>
      <c r="AS118" s="61" t="e">
        <f t="shared" ca="1" si="108"/>
        <v>#N/A</v>
      </c>
      <c r="AT118" s="61" t="e">
        <f t="shared" ca="1" si="109"/>
        <v>#N/A</v>
      </c>
      <c r="AU118" s="61" t="e">
        <f t="shared" si="92"/>
        <v>#N/A</v>
      </c>
      <c r="AV118" s="61" t="e">
        <f t="shared" si="110"/>
        <v>#N/A</v>
      </c>
      <c r="AW118" s="61" t="e">
        <f t="shared" si="111"/>
        <v>#N/A</v>
      </c>
      <c r="AX118" s="61" t="e">
        <f t="shared" si="112"/>
        <v>#N/A</v>
      </c>
      <c r="AY118" s="74" t="e">
        <f t="shared" ca="1" si="77"/>
        <v>#N/A</v>
      </c>
      <c r="AZ118" s="74" t="e">
        <f t="shared" ca="1" si="78"/>
        <v>#N/A</v>
      </c>
      <c r="BA118" s="74" t="e">
        <f t="shared" ca="1" si="79"/>
        <v>#N/A</v>
      </c>
      <c r="BB118" s="74" t="e">
        <f t="shared" ca="1" si="80"/>
        <v>#N/A</v>
      </c>
      <c r="BC118" s="74" t="e">
        <f t="shared" ca="1" si="81"/>
        <v>#N/A</v>
      </c>
      <c r="BD118" s="74" t="e">
        <f t="shared" ca="1" si="82"/>
        <v>#N/A</v>
      </c>
      <c r="BE118" s="49" t="e">
        <f t="shared" ca="1" si="83"/>
        <v>#N/A</v>
      </c>
      <c r="BF118" s="49" t="e">
        <f t="shared" ca="1" si="63"/>
        <v>#N/A</v>
      </c>
      <c r="BG118" s="49" t="e">
        <f t="shared" ca="1" si="84"/>
        <v>#N/A</v>
      </c>
      <c r="BH118" s="49" t="e">
        <f t="shared" ca="1" si="64"/>
        <v>#N/A</v>
      </c>
      <c r="BI118" s="49">
        <f t="shared" si="85"/>
        <v>0</v>
      </c>
      <c r="BJ118" s="49" t="e">
        <f t="shared" ca="1" si="65"/>
        <v>#N/A</v>
      </c>
      <c r="BK118" s="71" t="e">
        <f t="shared" ca="1" si="66"/>
        <v>#N/A</v>
      </c>
      <c r="BL118" s="71" t="e">
        <f t="shared" ca="1" si="67"/>
        <v>#N/A</v>
      </c>
      <c r="BM118" s="71" t="e">
        <f t="shared" ca="1" si="68"/>
        <v>#N/A</v>
      </c>
      <c r="BN118" s="71" t="e">
        <f t="shared" ca="1" si="69"/>
        <v>#N/A</v>
      </c>
      <c r="BO118" s="75" t="e">
        <f t="shared" ca="1" si="86"/>
        <v>#N/A</v>
      </c>
      <c r="BP118" s="49" t="e">
        <f t="shared" ca="1" si="70"/>
        <v>#N/A</v>
      </c>
      <c r="BQ118" s="49" t="e">
        <f t="shared" ca="1" si="71"/>
        <v>#N/A</v>
      </c>
      <c r="BR118" s="49" t="e">
        <f t="shared" ca="1" si="72"/>
        <v>#N/A</v>
      </c>
      <c r="BS118" s="49" t="e">
        <f t="shared" ca="1" si="73"/>
        <v>#N/A</v>
      </c>
      <c r="BT118" s="49" t="e">
        <f t="shared" ca="1" si="74"/>
        <v>#N/A</v>
      </c>
      <c r="BU118" s="49" t="e">
        <f t="shared" ca="1" si="75"/>
        <v>#N/A</v>
      </c>
      <c r="BV118" s="49" t="e">
        <f t="shared" ca="1" si="76"/>
        <v>#N/A</v>
      </c>
    </row>
    <row r="119" spans="1:74" x14ac:dyDescent="0.3">
      <c r="A119" s="47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80">
        <v>232</v>
      </c>
      <c r="X119" s="73">
        <v>666</v>
      </c>
      <c r="Y119" s="48" t="e">
        <f t="shared" si="87"/>
        <v>#N/A</v>
      </c>
      <c r="Z119" s="61" t="e">
        <f t="shared" si="88"/>
        <v>#N/A</v>
      </c>
      <c r="AA119" s="61" t="e">
        <f t="shared" si="93"/>
        <v>#N/A</v>
      </c>
      <c r="AB119" s="61" t="e">
        <f t="shared" si="89"/>
        <v>#N/A</v>
      </c>
      <c r="AC119" s="61" t="e">
        <f t="shared" si="90"/>
        <v>#N/A</v>
      </c>
      <c r="AD119" s="61" t="e">
        <f t="shared" si="91"/>
        <v>#N/A</v>
      </c>
      <c r="AE119" s="61" t="e">
        <f t="shared" si="94"/>
        <v>#N/A</v>
      </c>
      <c r="AF119" s="61">
        <f t="shared" si="95"/>
        <v>0</v>
      </c>
      <c r="AG119" s="61" t="e">
        <f t="shared" si="96"/>
        <v>#N/A</v>
      </c>
      <c r="AH119" s="61" t="e">
        <f t="shared" si="97"/>
        <v>#N/A</v>
      </c>
      <c r="AI119" s="61" t="e">
        <f t="shared" si="98"/>
        <v>#N/A</v>
      </c>
      <c r="AJ119" s="61" t="e">
        <f t="shared" si="99"/>
        <v>#N/A</v>
      </c>
      <c r="AK119" s="61" t="e">
        <f t="shared" si="100"/>
        <v>#N/A</v>
      </c>
      <c r="AL119" s="61" t="e">
        <f t="shared" si="101"/>
        <v>#N/A</v>
      </c>
      <c r="AM119" s="61" t="e">
        <f t="shared" si="102"/>
        <v>#N/A</v>
      </c>
      <c r="AN119" s="61" t="e">
        <f t="shared" si="103"/>
        <v>#N/A</v>
      </c>
      <c r="AO119" s="61" t="e">
        <f t="shared" si="104"/>
        <v>#N/A</v>
      </c>
      <c r="AP119" s="61" t="e">
        <f t="shared" si="105"/>
        <v>#N/A</v>
      </c>
      <c r="AQ119" s="61" t="e">
        <f t="shared" si="106"/>
        <v>#N/A</v>
      </c>
      <c r="AR119" s="61" t="e">
        <f t="shared" si="107"/>
        <v>#N/A</v>
      </c>
      <c r="AS119" s="61" t="e">
        <f t="shared" ca="1" si="108"/>
        <v>#N/A</v>
      </c>
      <c r="AT119" s="61" t="e">
        <f t="shared" ca="1" si="109"/>
        <v>#N/A</v>
      </c>
      <c r="AU119" s="61" t="e">
        <f t="shared" si="92"/>
        <v>#N/A</v>
      </c>
      <c r="AV119" s="61" t="e">
        <f t="shared" si="110"/>
        <v>#N/A</v>
      </c>
      <c r="AW119" s="61" t="e">
        <f t="shared" si="111"/>
        <v>#N/A</v>
      </c>
      <c r="AX119" s="61" t="e">
        <f t="shared" si="112"/>
        <v>#N/A</v>
      </c>
      <c r="AY119" s="74" t="e">
        <f t="shared" ca="1" si="77"/>
        <v>#N/A</v>
      </c>
      <c r="AZ119" s="74" t="e">
        <f t="shared" ca="1" si="78"/>
        <v>#N/A</v>
      </c>
      <c r="BA119" s="74" t="e">
        <f t="shared" ca="1" si="79"/>
        <v>#N/A</v>
      </c>
      <c r="BB119" s="74" t="e">
        <f t="shared" ca="1" si="80"/>
        <v>#N/A</v>
      </c>
      <c r="BC119" s="74" t="e">
        <f t="shared" ca="1" si="81"/>
        <v>#N/A</v>
      </c>
      <c r="BD119" s="74" t="e">
        <f t="shared" ca="1" si="82"/>
        <v>#N/A</v>
      </c>
      <c r="BE119" s="49" t="e">
        <f t="shared" ca="1" si="83"/>
        <v>#N/A</v>
      </c>
      <c r="BF119" s="49" t="e">
        <f t="shared" ca="1" si="63"/>
        <v>#N/A</v>
      </c>
      <c r="BG119" s="49" t="e">
        <f t="shared" ca="1" si="84"/>
        <v>#N/A</v>
      </c>
      <c r="BH119" s="49" t="e">
        <f t="shared" ca="1" si="64"/>
        <v>#N/A</v>
      </c>
      <c r="BI119" s="49">
        <f t="shared" si="85"/>
        <v>0</v>
      </c>
      <c r="BJ119" s="49" t="e">
        <f t="shared" ca="1" si="65"/>
        <v>#N/A</v>
      </c>
      <c r="BK119" s="71" t="e">
        <f t="shared" ca="1" si="66"/>
        <v>#N/A</v>
      </c>
      <c r="BL119" s="71" t="e">
        <f t="shared" ca="1" si="67"/>
        <v>#N/A</v>
      </c>
      <c r="BM119" s="71" t="e">
        <f t="shared" ca="1" si="68"/>
        <v>#N/A</v>
      </c>
      <c r="BN119" s="71" t="e">
        <f t="shared" ca="1" si="69"/>
        <v>#N/A</v>
      </c>
      <c r="BO119" s="75" t="e">
        <f t="shared" ca="1" si="86"/>
        <v>#N/A</v>
      </c>
      <c r="BP119" s="49" t="e">
        <f t="shared" ca="1" si="70"/>
        <v>#N/A</v>
      </c>
      <c r="BQ119" s="49" t="e">
        <f t="shared" ca="1" si="71"/>
        <v>#N/A</v>
      </c>
      <c r="BR119" s="49" t="e">
        <f t="shared" ca="1" si="72"/>
        <v>#N/A</v>
      </c>
      <c r="BS119" s="49" t="e">
        <f t="shared" ca="1" si="73"/>
        <v>#N/A</v>
      </c>
      <c r="BT119" s="49" t="e">
        <f t="shared" ca="1" si="74"/>
        <v>#N/A</v>
      </c>
      <c r="BU119" s="49" t="e">
        <f t="shared" ca="1" si="75"/>
        <v>#N/A</v>
      </c>
      <c r="BV119" s="49" t="e">
        <f t="shared" ca="1" si="76"/>
        <v>#N/A</v>
      </c>
    </row>
    <row r="120" spans="1:74" x14ac:dyDescent="0.3">
      <c r="A120" s="47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80">
        <v>233</v>
      </c>
      <c r="X120" s="73">
        <v>678</v>
      </c>
      <c r="Y120" s="48" t="e">
        <f t="shared" si="87"/>
        <v>#N/A</v>
      </c>
      <c r="Z120" s="61" t="e">
        <f t="shared" si="88"/>
        <v>#N/A</v>
      </c>
      <c r="AA120" s="61" t="e">
        <f t="shared" si="93"/>
        <v>#N/A</v>
      </c>
      <c r="AB120" s="61" t="e">
        <f t="shared" si="89"/>
        <v>#N/A</v>
      </c>
      <c r="AC120" s="61" t="e">
        <f t="shared" si="90"/>
        <v>#N/A</v>
      </c>
      <c r="AD120" s="61" t="e">
        <f t="shared" si="91"/>
        <v>#N/A</v>
      </c>
      <c r="AE120" s="61" t="e">
        <f t="shared" si="94"/>
        <v>#N/A</v>
      </c>
      <c r="AF120" s="61">
        <f t="shared" si="95"/>
        <v>0</v>
      </c>
      <c r="AG120" s="61" t="e">
        <f t="shared" si="96"/>
        <v>#N/A</v>
      </c>
      <c r="AH120" s="61" t="e">
        <f t="shared" si="97"/>
        <v>#N/A</v>
      </c>
      <c r="AI120" s="61" t="e">
        <f t="shared" si="98"/>
        <v>#N/A</v>
      </c>
      <c r="AJ120" s="61" t="e">
        <f t="shared" si="99"/>
        <v>#N/A</v>
      </c>
      <c r="AK120" s="61" t="e">
        <f t="shared" si="100"/>
        <v>#N/A</v>
      </c>
      <c r="AL120" s="61" t="e">
        <f t="shared" si="101"/>
        <v>#N/A</v>
      </c>
      <c r="AM120" s="61" t="e">
        <f t="shared" si="102"/>
        <v>#N/A</v>
      </c>
      <c r="AN120" s="61" t="e">
        <f t="shared" si="103"/>
        <v>#N/A</v>
      </c>
      <c r="AO120" s="61" t="e">
        <f t="shared" si="104"/>
        <v>#N/A</v>
      </c>
      <c r="AP120" s="61" t="e">
        <f t="shared" si="105"/>
        <v>#N/A</v>
      </c>
      <c r="AQ120" s="61" t="e">
        <f t="shared" si="106"/>
        <v>#N/A</v>
      </c>
      <c r="AR120" s="61" t="e">
        <f t="shared" si="107"/>
        <v>#N/A</v>
      </c>
      <c r="AS120" s="61" t="e">
        <f t="shared" ca="1" si="108"/>
        <v>#N/A</v>
      </c>
      <c r="AT120" s="61" t="e">
        <f t="shared" ca="1" si="109"/>
        <v>#N/A</v>
      </c>
      <c r="AU120" s="61" t="e">
        <f t="shared" si="92"/>
        <v>#N/A</v>
      </c>
      <c r="AV120" s="61" t="e">
        <f t="shared" si="110"/>
        <v>#N/A</v>
      </c>
      <c r="AW120" s="61" t="e">
        <f t="shared" si="111"/>
        <v>#N/A</v>
      </c>
      <c r="AX120" s="61" t="e">
        <f t="shared" si="112"/>
        <v>#N/A</v>
      </c>
      <c r="AY120" s="74" t="e">
        <f t="shared" ca="1" si="77"/>
        <v>#N/A</v>
      </c>
      <c r="AZ120" s="74" t="e">
        <f t="shared" ca="1" si="78"/>
        <v>#N/A</v>
      </c>
      <c r="BA120" s="74" t="e">
        <f t="shared" ca="1" si="79"/>
        <v>#N/A</v>
      </c>
      <c r="BB120" s="74" t="e">
        <f t="shared" ca="1" si="80"/>
        <v>#N/A</v>
      </c>
      <c r="BC120" s="74" t="e">
        <f t="shared" ca="1" si="81"/>
        <v>#N/A</v>
      </c>
      <c r="BD120" s="74" t="e">
        <f t="shared" ca="1" si="82"/>
        <v>#N/A</v>
      </c>
      <c r="BE120" s="49" t="e">
        <f t="shared" ca="1" si="83"/>
        <v>#N/A</v>
      </c>
      <c r="BF120" s="49" t="e">
        <f t="shared" ca="1" si="63"/>
        <v>#N/A</v>
      </c>
      <c r="BG120" s="49" t="e">
        <f t="shared" ca="1" si="84"/>
        <v>#N/A</v>
      </c>
      <c r="BH120" s="49" t="e">
        <f t="shared" ca="1" si="64"/>
        <v>#N/A</v>
      </c>
      <c r="BI120" s="49">
        <f t="shared" si="85"/>
        <v>0</v>
      </c>
      <c r="BJ120" s="49" t="e">
        <f t="shared" ca="1" si="65"/>
        <v>#N/A</v>
      </c>
      <c r="BK120" s="71" t="e">
        <f t="shared" ca="1" si="66"/>
        <v>#N/A</v>
      </c>
      <c r="BL120" s="71" t="e">
        <f t="shared" ca="1" si="67"/>
        <v>#N/A</v>
      </c>
      <c r="BM120" s="71" t="e">
        <f t="shared" ca="1" si="68"/>
        <v>#N/A</v>
      </c>
      <c r="BN120" s="71" t="e">
        <f t="shared" ca="1" si="69"/>
        <v>#N/A</v>
      </c>
      <c r="BO120" s="75" t="e">
        <f t="shared" ca="1" si="86"/>
        <v>#N/A</v>
      </c>
      <c r="BP120" s="49" t="e">
        <f t="shared" ca="1" si="70"/>
        <v>#N/A</v>
      </c>
      <c r="BQ120" s="49" t="e">
        <f t="shared" ca="1" si="71"/>
        <v>#N/A</v>
      </c>
      <c r="BR120" s="49" t="e">
        <f t="shared" ca="1" si="72"/>
        <v>#N/A</v>
      </c>
      <c r="BS120" s="49" t="e">
        <f t="shared" ca="1" si="73"/>
        <v>#N/A</v>
      </c>
      <c r="BT120" s="49" t="e">
        <f t="shared" ca="1" si="74"/>
        <v>#N/A</v>
      </c>
      <c r="BU120" s="49" t="e">
        <f t="shared" ca="1" si="75"/>
        <v>#N/A</v>
      </c>
      <c r="BV120" s="49" t="e">
        <f t="shared" ca="1" si="76"/>
        <v>#N/A</v>
      </c>
    </row>
    <row r="121" spans="1:74" x14ac:dyDescent="0.3">
      <c r="A121" s="47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80">
        <v>234</v>
      </c>
      <c r="X121" s="73">
        <v>690</v>
      </c>
      <c r="Y121" s="48" t="e">
        <f t="shared" si="87"/>
        <v>#N/A</v>
      </c>
      <c r="Z121" s="61" t="e">
        <f t="shared" si="88"/>
        <v>#N/A</v>
      </c>
      <c r="AA121" s="61" t="e">
        <f t="shared" si="93"/>
        <v>#N/A</v>
      </c>
      <c r="AB121" s="61" t="e">
        <f t="shared" si="89"/>
        <v>#N/A</v>
      </c>
      <c r="AC121" s="61" t="e">
        <f t="shared" si="90"/>
        <v>#N/A</v>
      </c>
      <c r="AD121" s="61" t="e">
        <f t="shared" si="91"/>
        <v>#N/A</v>
      </c>
      <c r="AE121" s="61" t="e">
        <f t="shared" si="94"/>
        <v>#N/A</v>
      </c>
      <c r="AF121" s="61">
        <f t="shared" si="95"/>
        <v>0</v>
      </c>
      <c r="AG121" s="61" t="e">
        <f t="shared" si="96"/>
        <v>#N/A</v>
      </c>
      <c r="AH121" s="61" t="e">
        <f t="shared" si="97"/>
        <v>#N/A</v>
      </c>
      <c r="AI121" s="61" t="e">
        <f t="shared" si="98"/>
        <v>#N/A</v>
      </c>
      <c r="AJ121" s="61" t="e">
        <f t="shared" si="99"/>
        <v>#N/A</v>
      </c>
      <c r="AK121" s="61" t="e">
        <f t="shared" si="100"/>
        <v>#N/A</v>
      </c>
      <c r="AL121" s="61" t="e">
        <f t="shared" si="101"/>
        <v>#N/A</v>
      </c>
      <c r="AM121" s="61" t="e">
        <f t="shared" si="102"/>
        <v>#N/A</v>
      </c>
      <c r="AN121" s="61" t="e">
        <f t="shared" si="103"/>
        <v>#N/A</v>
      </c>
      <c r="AO121" s="61" t="e">
        <f t="shared" si="104"/>
        <v>#N/A</v>
      </c>
      <c r="AP121" s="61" t="e">
        <f t="shared" si="105"/>
        <v>#N/A</v>
      </c>
      <c r="AQ121" s="61" t="e">
        <f t="shared" si="106"/>
        <v>#N/A</v>
      </c>
      <c r="AR121" s="61" t="e">
        <f t="shared" si="107"/>
        <v>#N/A</v>
      </c>
      <c r="AS121" s="61" t="e">
        <f t="shared" ca="1" si="108"/>
        <v>#N/A</v>
      </c>
      <c r="AT121" s="61" t="e">
        <f t="shared" ca="1" si="109"/>
        <v>#N/A</v>
      </c>
      <c r="AU121" s="61" t="e">
        <f t="shared" si="92"/>
        <v>#N/A</v>
      </c>
      <c r="AV121" s="61" t="e">
        <f t="shared" si="110"/>
        <v>#N/A</v>
      </c>
      <c r="AW121" s="61" t="e">
        <f t="shared" si="111"/>
        <v>#N/A</v>
      </c>
      <c r="AX121" s="61" t="e">
        <f t="shared" si="112"/>
        <v>#N/A</v>
      </c>
      <c r="AY121" s="74" t="e">
        <f t="shared" ca="1" si="77"/>
        <v>#N/A</v>
      </c>
      <c r="AZ121" s="74" t="e">
        <f t="shared" ca="1" si="78"/>
        <v>#N/A</v>
      </c>
      <c r="BA121" s="74" t="e">
        <f t="shared" ca="1" si="79"/>
        <v>#N/A</v>
      </c>
      <c r="BB121" s="74" t="e">
        <f t="shared" ca="1" si="80"/>
        <v>#N/A</v>
      </c>
      <c r="BC121" s="74" t="e">
        <f t="shared" ca="1" si="81"/>
        <v>#N/A</v>
      </c>
      <c r="BD121" s="74" t="e">
        <f t="shared" ca="1" si="82"/>
        <v>#N/A</v>
      </c>
      <c r="BE121" s="49" t="e">
        <f t="shared" ca="1" si="83"/>
        <v>#N/A</v>
      </c>
      <c r="BF121" s="49" t="e">
        <f t="shared" ca="1" si="63"/>
        <v>#N/A</v>
      </c>
      <c r="BG121" s="49" t="e">
        <f t="shared" ca="1" si="84"/>
        <v>#N/A</v>
      </c>
      <c r="BH121" s="49" t="e">
        <f t="shared" ca="1" si="64"/>
        <v>#N/A</v>
      </c>
      <c r="BI121" s="49">
        <f t="shared" si="85"/>
        <v>0</v>
      </c>
      <c r="BJ121" s="49" t="e">
        <f t="shared" ca="1" si="65"/>
        <v>#N/A</v>
      </c>
      <c r="BK121" s="71" t="e">
        <f t="shared" ca="1" si="66"/>
        <v>#N/A</v>
      </c>
      <c r="BL121" s="71" t="e">
        <f t="shared" ca="1" si="67"/>
        <v>#N/A</v>
      </c>
      <c r="BM121" s="71" t="e">
        <f t="shared" ca="1" si="68"/>
        <v>#N/A</v>
      </c>
      <c r="BN121" s="71" t="e">
        <f t="shared" ca="1" si="69"/>
        <v>#N/A</v>
      </c>
      <c r="BO121" s="75" t="e">
        <f t="shared" ca="1" si="86"/>
        <v>#N/A</v>
      </c>
      <c r="BP121" s="49" t="e">
        <f t="shared" ca="1" si="70"/>
        <v>#N/A</v>
      </c>
      <c r="BQ121" s="49" t="e">
        <f t="shared" ca="1" si="71"/>
        <v>#N/A</v>
      </c>
      <c r="BR121" s="49" t="e">
        <f t="shared" ca="1" si="72"/>
        <v>#N/A</v>
      </c>
      <c r="BS121" s="49" t="e">
        <f t="shared" ca="1" si="73"/>
        <v>#N/A</v>
      </c>
      <c r="BT121" s="49" t="e">
        <f t="shared" ca="1" si="74"/>
        <v>#N/A</v>
      </c>
      <c r="BU121" s="49" t="e">
        <f t="shared" ca="1" si="75"/>
        <v>#N/A</v>
      </c>
      <c r="BV121" s="49" t="e">
        <f t="shared" ca="1" si="76"/>
        <v>#N/A</v>
      </c>
    </row>
    <row r="122" spans="1:74" x14ac:dyDescent="0.3">
      <c r="A122" s="47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80">
        <v>235</v>
      </c>
      <c r="X122" s="73">
        <v>702</v>
      </c>
      <c r="Y122" s="48" t="e">
        <f t="shared" si="87"/>
        <v>#N/A</v>
      </c>
      <c r="Z122" s="61" t="e">
        <f t="shared" si="88"/>
        <v>#N/A</v>
      </c>
      <c r="AA122" s="61" t="e">
        <f t="shared" si="93"/>
        <v>#N/A</v>
      </c>
      <c r="AB122" s="61" t="e">
        <f t="shared" si="89"/>
        <v>#N/A</v>
      </c>
      <c r="AC122" s="61" t="e">
        <f t="shared" si="90"/>
        <v>#N/A</v>
      </c>
      <c r="AD122" s="61" t="e">
        <f t="shared" si="91"/>
        <v>#N/A</v>
      </c>
      <c r="AE122" s="61" t="e">
        <f t="shared" si="94"/>
        <v>#N/A</v>
      </c>
      <c r="AF122" s="61">
        <f t="shared" si="95"/>
        <v>0</v>
      </c>
      <c r="AG122" s="61" t="e">
        <f t="shared" si="96"/>
        <v>#N/A</v>
      </c>
      <c r="AH122" s="61" t="e">
        <f t="shared" si="97"/>
        <v>#N/A</v>
      </c>
      <c r="AI122" s="61" t="e">
        <f t="shared" si="98"/>
        <v>#N/A</v>
      </c>
      <c r="AJ122" s="61" t="e">
        <f t="shared" si="99"/>
        <v>#N/A</v>
      </c>
      <c r="AK122" s="61" t="e">
        <f t="shared" si="100"/>
        <v>#N/A</v>
      </c>
      <c r="AL122" s="61" t="e">
        <f t="shared" si="101"/>
        <v>#N/A</v>
      </c>
      <c r="AM122" s="61" t="e">
        <f t="shared" si="102"/>
        <v>#N/A</v>
      </c>
      <c r="AN122" s="61" t="e">
        <f t="shared" si="103"/>
        <v>#N/A</v>
      </c>
      <c r="AO122" s="61" t="e">
        <f t="shared" si="104"/>
        <v>#N/A</v>
      </c>
      <c r="AP122" s="61" t="e">
        <f t="shared" si="105"/>
        <v>#N/A</v>
      </c>
      <c r="AQ122" s="61" t="e">
        <f t="shared" si="106"/>
        <v>#N/A</v>
      </c>
      <c r="AR122" s="61" t="e">
        <f t="shared" si="107"/>
        <v>#N/A</v>
      </c>
      <c r="AS122" s="61" t="e">
        <f t="shared" ca="1" si="108"/>
        <v>#N/A</v>
      </c>
      <c r="AT122" s="61" t="e">
        <f t="shared" ca="1" si="109"/>
        <v>#N/A</v>
      </c>
      <c r="AU122" s="61" t="e">
        <f t="shared" si="92"/>
        <v>#N/A</v>
      </c>
      <c r="AV122" s="61" t="e">
        <f t="shared" si="110"/>
        <v>#N/A</v>
      </c>
      <c r="AW122" s="61" t="e">
        <f t="shared" si="111"/>
        <v>#N/A</v>
      </c>
      <c r="AX122" s="61" t="e">
        <f t="shared" si="112"/>
        <v>#N/A</v>
      </c>
      <c r="AY122" s="74" t="e">
        <f t="shared" ca="1" si="77"/>
        <v>#N/A</v>
      </c>
      <c r="AZ122" s="74" t="e">
        <f t="shared" ca="1" si="78"/>
        <v>#N/A</v>
      </c>
      <c r="BA122" s="74" t="e">
        <f t="shared" ca="1" si="79"/>
        <v>#N/A</v>
      </c>
      <c r="BB122" s="74" t="e">
        <f t="shared" ca="1" si="80"/>
        <v>#N/A</v>
      </c>
      <c r="BC122" s="74" t="e">
        <f t="shared" ca="1" si="81"/>
        <v>#N/A</v>
      </c>
      <c r="BD122" s="74" t="e">
        <f t="shared" ca="1" si="82"/>
        <v>#N/A</v>
      </c>
      <c r="BE122" s="49" t="e">
        <f t="shared" ca="1" si="83"/>
        <v>#N/A</v>
      </c>
      <c r="BF122" s="49" t="e">
        <f t="shared" ca="1" si="63"/>
        <v>#N/A</v>
      </c>
      <c r="BG122" s="49" t="e">
        <f t="shared" ca="1" si="84"/>
        <v>#N/A</v>
      </c>
      <c r="BH122" s="49" t="e">
        <f t="shared" ca="1" si="64"/>
        <v>#N/A</v>
      </c>
      <c r="BI122" s="49">
        <f t="shared" si="85"/>
        <v>0</v>
      </c>
      <c r="BJ122" s="49" t="e">
        <f t="shared" ca="1" si="65"/>
        <v>#N/A</v>
      </c>
      <c r="BK122" s="71" t="e">
        <f t="shared" ca="1" si="66"/>
        <v>#N/A</v>
      </c>
      <c r="BL122" s="71" t="e">
        <f t="shared" ca="1" si="67"/>
        <v>#N/A</v>
      </c>
      <c r="BM122" s="71" t="e">
        <f t="shared" ca="1" si="68"/>
        <v>#N/A</v>
      </c>
      <c r="BN122" s="71" t="e">
        <f t="shared" ca="1" si="69"/>
        <v>#N/A</v>
      </c>
      <c r="BO122" s="75" t="e">
        <f t="shared" ca="1" si="86"/>
        <v>#N/A</v>
      </c>
      <c r="BP122" s="49" t="e">
        <f t="shared" ca="1" si="70"/>
        <v>#N/A</v>
      </c>
      <c r="BQ122" s="49" t="e">
        <f t="shared" ca="1" si="71"/>
        <v>#N/A</v>
      </c>
      <c r="BR122" s="49" t="e">
        <f t="shared" ca="1" si="72"/>
        <v>#N/A</v>
      </c>
      <c r="BS122" s="49" t="e">
        <f t="shared" ca="1" si="73"/>
        <v>#N/A</v>
      </c>
      <c r="BT122" s="49" t="e">
        <f t="shared" ca="1" si="74"/>
        <v>#N/A</v>
      </c>
      <c r="BU122" s="49" t="e">
        <f t="shared" ca="1" si="75"/>
        <v>#N/A</v>
      </c>
      <c r="BV122" s="49" t="e">
        <f t="shared" ca="1" si="76"/>
        <v>#N/A</v>
      </c>
    </row>
    <row r="123" spans="1:74" x14ac:dyDescent="0.3">
      <c r="A123" s="47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80">
        <v>236</v>
      </c>
      <c r="X123" s="73">
        <v>714</v>
      </c>
      <c r="Y123" s="48" t="e">
        <f t="shared" si="87"/>
        <v>#N/A</v>
      </c>
      <c r="Z123" s="61" t="e">
        <f t="shared" si="88"/>
        <v>#N/A</v>
      </c>
      <c r="AA123" s="61" t="e">
        <f t="shared" si="93"/>
        <v>#N/A</v>
      </c>
      <c r="AB123" s="61" t="e">
        <f t="shared" si="89"/>
        <v>#N/A</v>
      </c>
      <c r="AC123" s="61" t="e">
        <f t="shared" si="90"/>
        <v>#N/A</v>
      </c>
      <c r="AD123" s="61" t="e">
        <f t="shared" si="91"/>
        <v>#N/A</v>
      </c>
      <c r="AE123" s="61" t="e">
        <f t="shared" si="94"/>
        <v>#N/A</v>
      </c>
      <c r="AF123" s="61">
        <f t="shared" si="95"/>
        <v>0</v>
      </c>
      <c r="AG123" s="61" t="e">
        <f t="shared" si="96"/>
        <v>#N/A</v>
      </c>
      <c r="AH123" s="61" t="e">
        <f t="shared" si="97"/>
        <v>#N/A</v>
      </c>
      <c r="AI123" s="61" t="e">
        <f t="shared" si="98"/>
        <v>#N/A</v>
      </c>
      <c r="AJ123" s="61" t="e">
        <f t="shared" si="99"/>
        <v>#N/A</v>
      </c>
      <c r="AK123" s="61" t="e">
        <f t="shared" si="100"/>
        <v>#N/A</v>
      </c>
      <c r="AL123" s="61" t="e">
        <f t="shared" si="101"/>
        <v>#N/A</v>
      </c>
      <c r="AM123" s="61" t="e">
        <f t="shared" si="102"/>
        <v>#N/A</v>
      </c>
      <c r="AN123" s="61" t="e">
        <f t="shared" si="103"/>
        <v>#N/A</v>
      </c>
      <c r="AO123" s="61" t="e">
        <f t="shared" si="104"/>
        <v>#N/A</v>
      </c>
      <c r="AP123" s="61" t="e">
        <f t="shared" si="105"/>
        <v>#N/A</v>
      </c>
      <c r="AQ123" s="61" t="e">
        <f t="shared" si="106"/>
        <v>#N/A</v>
      </c>
      <c r="AR123" s="61" t="e">
        <f t="shared" si="107"/>
        <v>#N/A</v>
      </c>
      <c r="AS123" s="61" t="e">
        <f t="shared" ca="1" si="108"/>
        <v>#N/A</v>
      </c>
      <c r="AT123" s="61" t="e">
        <f t="shared" ca="1" si="109"/>
        <v>#N/A</v>
      </c>
      <c r="AU123" s="61" t="e">
        <f t="shared" si="92"/>
        <v>#N/A</v>
      </c>
      <c r="AV123" s="61" t="e">
        <f t="shared" si="110"/>
        <v>#N/A</v>
      </c>
      <c r="AW123" s="61" t="e">
        <f t="shared" si="111"/>
        <v>#N/A</v>
      </c>
      <c r="AX123" s="61" t="e">
        <f t="shared" si="112"/>
        <v>#N/A</v>
      </c>
      <c r="AY123" s="74" t="e">
        <f t="shared" ca="1" si="77"/>
        <v>#N/A</v>
      </c>
      <c r="AZ123" s="74" t="e">
        <f t="shared" ca="1" si="78"/>
        <v>#N/A</v>
      </c>
      <c r="BA123" s="74" t="e">
        <f t="shared" ca="1" si="79"/>
        <v>#N/A</v>
      </c>
      <c r="BB123" s="74" t="e">
        <f t="shared" ca="1" si="80"/>
        <v>#N/A</v>
      </c>
      <c r="BC123" s="74" t="e">
        <f t="shared" ca="1" si="81"/>
        <v>#N/A</v>
      </c>
      <c r="BD123" s="74" t="e">
        <f t="shared" ca="1" si="82"/>
        <v>#N/A</v>
      </c>
      <c r="BE123" s="49" t="e">
        <f t="shared" ca="1" si="83"/>
        <v>#N/A</v>
      </c>
      <c r="BF123" s="49" t="e">
        <f t="shared" ca="1" si="63"/>
        <v>#N/A</v>
      </c>
      <c r="BG123" s="49" t="e">
        <f t="shared" ca="1" si="84"/>
        <v>#N/A</v>
      </c>
      <c r="BH123" s="49" t="e">
        <f t="shared" ca="1" si="64"/>
        <v>#N/A</v>
      </c>
      <c r="BI123" s="49">
        <f t="shared" si="85"/>
        <v>0</v>
      </c>
      <c r="BJ123" s="49" t="e">
        <f t="shared" ca="1" si="65"/>
        <v>#N/A</v>
      </c>
      <c r="BK123" s="71" t="e">
        <f t="shared" ca="1" si="66"/>
        <v>#N/A</v>
      </c>
      <c r="BL123" s="71" t="e">
        <f t="shared" ca="1" si="67"/>
        <v>#N/A</v>
      </c>
      <c r="BM123" s="71" t="e">
        <f t="shared" ca="1" si="68"/>
        <v>#N/A</v>
      </c>
      <c r="BN123" s="71" t="e">
        <f t="shared" ca="1" si="69"/>
        <v>#N/A</v>
      </c>
      <c r="BO123" s="75" t="e">
        <f t="shared" ca="1" si="86"/>
        <v>#N/A</v>
      </c>
      <c r="BP123" s="49" t="e">
        <f t="shared" ca="1" si="70"/>
        <v>#N/A</v>
      </c>
      <c r="BQ123" s="49" t="e">
        <f t="shared" ca="1" si="71"/>
        <v>#N/A</v>
      </c>
      <c r="BR123" s="49" t="e">
        <f t="shared" ca="1" si="72"/>
        <v>#N/A</v>
      </c>
      <c r="BS123" s="49" t="e">
        <f t="shared" ca="1" si="73"/>
        <v>#N/A</v>
      </c>
      <c r="BT123" s="49" t="e">
        <f t="shared" ca="1" si="74"/>
        <v>#N/A</v>
      </c>
      <c r="BU123" s="49" t="e">
        <f t="shared" ca="1" si="75"/>
        <v>#N/A</v>
      </c>
      <c r="BV123" s="49" t="e">
        <f t="shared" ca="1" si="76"/>
        <v>#N/A</v>
      </c>
    </row>
    <row r="124" spans="1:74" x14ac:dyDescent="0.3">
      <c r="A124" s="47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80">
        <v>237</v>
      </c>
      <c r="X124" s="73">
        <v>726</v>
      </c>
      <c r="Y124" s="48" t="e">
        <f t="shared" si="87"/>
        <v>#N/A</v>
      </c>
      <c r="Z124" s="61" t="e">
        <f t="shared" si="88"/>
        <v>#N/A</v>
      </c>
      <c r="AA124" s="61" t="e">
        <f t="shared" si="93"/>
        <v>#N/A</v>
      </c>
      <c r="AB124" s="61" t="e">
        <f t="shared" si="89"/>
        <v>#N/A</v>
      </c>
      <c r="AC124" s="61" t="e">
        <f t="shared" si="90"/>
        <v>#N/A</v>
      </c>
      <c r="AD124" s="61" t="e">
        <f t="shared" si="91"/>
        <v>#N/A</v>
      </c>
      <c r="AE124" s="61" t="e">
        <f t="shared" si="94"/>
        <v>#N/A</v>
      </c>
      <c r="AF124" s="61">
        <f t="shared" si="95"/>
        <v>0</v>
      </c>
      <c r="AG124" s="61" t="e">
        <f t="shared" si="96"/>
        <v>#N/A</v>
      </c>
      <c r="AH124" s="61" t="e">
        <f t="shared" si="97"/>
        <v>#N/A</v>
      </c>
      <c r="AI124" s="61" t="e">
        <f t="shared" si="98"/>
        <v>#N/A</v>
      </c>
      <c r="AJ124" s="61" t="e">
        <f t="shared" si="99"/>
        <v>#N/A</v>
      </c>
      <c r="AK124" s="61" t="e">
        <f t="shared" si="100"/>
        <v>#N/A</v>
      </c>
      <c r="AL124" s="61" t="e">
        <f t="shared" si="101"/>
        <v>#N/A</v>
      </c>
      <c r="AM124" s="61" t="e">
        <f t="shared" si="102"/>
        <v>#N/A</v>
      </c>
      <c r="AN124" s="61" t="e">
        <f t="shared" si="103"/>
        <v>#N/A</v>
      </c>
      <c r="AO124" s="61" t="e">
        <f t="shared" si="104"/>
        <v>#N/A</v>
      </c>
      <c r="AP124" s="61" t="e">
        <f t="shared" si="105"/>
        <v>#N/A</v>
      </c>
      <c r="AQ124" s="61" t="e">
        <f t="shared" si="106"/>
        <v>#N/A</v>
      </c>
      <c r="AR124" s="61" t="e">
        <f t="shared" si="107"/>
        <v>#N/A</v>
      </c>
      <c r="AS124" s="61" t="e">
        <f t="shared" ca="1" si="108"/>
        <v>#N/A</v>
      </c>
      <c r="AT124" s="61" t="e">
        <f t="shared" ca="1" si="109"/>
        <v>#N/A</v>
      </c>
      <c r="AU124" s="61" t="e">
        <f t="shared" si="92"/>
        <v>#N/A</v>
      </c>
      <c r="AV124" s="61" t="e">
        <f t="shared" si="110"/>
        <v>#N/A</v>
      </c>
      <c r="AW124" s="61" t="e">
        <f t="shared" si="111"/>
        <v>#N/A</v>
      </c>
      <c r="AX124" s="61" t="e">
        <f t="shared" si="112"/>
        <v>#N/A</v>
      </c>
      <c r="AY124" s="74" t="e">
        <f t="shared" ca="1" si="77"/>
        <v>#N/A</v>
      </c>
      <c r="AZ124" s="74" t="e">
        <f t="shared" ca="1" si="78"/>
        <v>#N/A</v>
      </c>
      <c r="BA124" s="74" t="e">
        <f t="shared" ca="1" si="79"/>
        <v>#N/A</v>
      </c>
      <c r="BB124" s="74" t="e">
        <f t="shared" ca="1" si="80"/>
        <v>#N/A</v>
      </c>
      <c r="BC124" s="74" t="e">
        <f t="shared" ca="1" si="81"/>
        <v>#N/A</v>
      </c>
      <c r="BD124" s="74" t="e">
        <f t="shared" ca="1" si="82"/>
        <v>#N/A</v>
      </c>
      <c r="BE124" s="49" t="e">
        <f t="shared" ca="1" si="83"/>
        <v>#N/A</v>
      </c>
      <c r="BF124" s="49" t="e">
        <f t="shared" ca="1" si="63"/>
        <v>#N/A</v>
      </c>
      <c r="BG124" s="49" t="e">
        <f t="shared" ref="BG124:BG128" ca="1" si="113">BG123-IF(BF124=0,0,VLOOKUP(OFFSET(BO123,0,BF124)+1,$P$28:$R$43,2,FALSE))</f>
        <v>#N/A</v>
      </c>
      <c r="BH124" s="49" t="e">
        <f t="shared" ca="1" si="64"/>
        <v>#N/A</v>
      </c>
      <c r="BI124" s="49">
        <f t="shared" si="85"/>
        <v>0</v>
      </c>
      <c r="BJ124" s="49" t="e">
        <f t="shared" ca="1" si="65"/>
        <v>#N/A</v>
      </c>
      <c r="BK124" s="71" t="e">
        <f t="shared" ca="1" si="66"/>
        <v>#N/A</v>
      </c>
      <c r="BL124" s="71" t="e">
        <f t="shared" ca="1" si="67"/>
        <v>#N/A</v>
      </c>
      <c r="BM124" s="71" t="e">
        <f t="shared" ca="1" si="68"/>
        <v>#N/A</v>
      </c>
      <c r="BN124" s="71" t="e">
        <f t="shared" ca="1" si="69"/>
        <v>#N/A</v>
      </c>
      <c r="BO124" s="75" t="e">
        <f t="shared" ca="1" si="86"/>
        <v>#N/A</v>
      </c>
      <c r="BP124" s="49" t="e">
        <f t="shared" ca="1" si="70"/>
        <v>#N/A</v>
      </c>
      <c r="BQ124" s="49" t="e">
        <f t="shared" ca="1" si="71"/>
        <v>#N/A</v>
      </c>
      <c r="BR124" s="49" t="e">
        <f t="shared" ca="1" si="72"/>
        <v>#N/A</v>
      </c>
      <c r="BS124" s="49" t="e">
        <f t="shared" ca="1" si="73"/>
        <v>#N/A</v>
      </c>
      <c r="BT124" s="49" t="e">
        <f t="shared" ca="1" si="74"/>
        <v>#N/A</v>
      </c>
      <c r="BU124" s="49" t="e">
        <f t="shared" ca="1" si="75"/>
        <v>#N/A</v>
      </c>
      <c r="BV124" s="49" t="e">
        <f t="shared" ca="1" si="76"/>
        <v>#N/A</v>
      </c>
    </row>
    <row r="125" spans="1:74" x14ac:dyDescent="0.3">
      <c r="A125" s="47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80">
        <v>238</v>
      </c>
      <c r="X125" s="73">
        <v>738</v>
      </c>
      <c r="Y125" s="48" t="e">
        <f t="shared" si="87"/>
        <v>#N/A</v>
      </c>
      <c r="Z125" s="61" t="e">
        <f t="shared" si="88"/>
        <v>#N/A</v>
      </c>
      <c r="AA125" s="61" t="e">
        <f t="shared" si="93"/>
        <v>#N/A</v>
      </c>
      <c r="AB125" s="61" t="e">
        <f t="shared" si="89"/>
        <v>#N/A</v>
      </c>
      <c r="AC125" s="61" t="e">
        <f t="shared" si="90"/>
        <v>#N/A</v>
      </c>
      <c r="AD125" s="61" t="e">
        <f t="shared" si="91"/>
        <v>#N/A</v>
      </c>
      <c r="AE125" s="61" t="e">
        <f t="shared" si="94"/>
        <v>#N/A</v>
      </c>
      <c r="AF125" s="61">
        <f t="shared" si="95"/>
        <v>0</v>
      </c>
      <c r="AG125" s="61" t="e">
        <f t="shared" si="96"/>
        <v>#N/A</v>
      </c>
      <c r="AH125" s="61" t="e">
        <f t="shared" si="97"/>
        <v>#N/A</v>
      </c>
      <c r="AI125" s="61" t="e">
        <f t="shared" si="98"/>
        <v>#N/A</v>
      </c>
      <c r="AJ125" s="61" t="e">
        <f t="shared" si="99"/>
        <v>#N/A</v>
      </c>
      <c r="AK125" s="61" t="e">
        <f t="shared" si="100"/>
        <v>#N/A</v>
      </c>
      <c r="AL125" s="61" t="e">
        <f t="shared" si="101"/>
        <v>#N/A</v>
      </c>
      <c r="AM125" s="61" t="e">
        <f t="shared" si="102"/>
        <v>#N/A</v>
      </c>
      <c r="AN125" s="61" t="e">
        <f t="shared" si="103"/>
        <v>#N/A</v>
      </c>
      <c r="AO125" s="61" t="e">
        <f t="shared" si="104"/>
        <v>#N/A</v>
      </c>
      <c r="AP125" s="61" t="e">
        <f t="shared" si="105"/>
        <v>#N/A</v>
      </c>
      <c r="AQ125" s="61" t="e">
        <f t="shared" si="106"/>
        <v>#N/A</v>
      </c>
      <c r="AR125" s="61" t="e">
        <f t="shared" si="107"/>
        <v>#N/A</v>
      </c>
      <c r="AS125" s="61" t="e">
        <f t="shared" ca="1" si="108"/>
        <v>#N/A</v>
      </c>
      <c r="AT125" s="61" t="e">
        <f t="shared" ca="1" si="109"/>
        <v>#N/A</v>
      </c>
      <c r="AU125" s="61" t="e">
        <f t="shared" si="92"/>
        <v>#N/A</v>
      </c>
      <c r="AV125" s="61" t="e">
        <f t="shared" si="110"/>
        <v>#N/A</v>
      </c>
      <c r="AW125" s="61" t="e">
        <f t="shared" si="111"/>
        <v>#N/A</v>
      </c>
      <c r="AX125" s="61" t="e">
        <f t="shared" si="112"/>
        <v>#N/A</v>
      </c>
      <c r="AY125" s="74" t="e">
        <f t="shared" ca="1" si="77"/>
        <v>#N/A</v>
      </c>
      <c r="AZ125" s="74" t="e">
        <f t="shared" ca="1" si="78"/>
        <v>#N/A</v>
      </c>
      <c r="BA125" s="74" t="e">
        <f t="shared" ca="1" si="79"/>
        <v>#N/A</v>
      </c>
      <c r="BB125" s="74" t="e">
        <f t="shared" ca="1" si="80"/>
        <v>#N/A</v>
      </c>
      <c r="BC125" s="74" t="e">
        <f t="shared" ca="1" si="81"/>
        <v>#N/A</v>
      </c>
      <c r="BD125" s="74" t="e">
        <f t="shared" ca="1" si="82"/>
        <v>#N/A</v>
      </c>
      <c r="BE125" s="49" t="e">
        <f t="shared" ca="1" si="83"/>
        <v>#N/A</v>
      </c>
      <c r="BF125" s="49" t="e">
        <f t="shared" ca="1" si="63"/>
        <v>#N/A</v>
      </c>
      <c r="BG125" s="49" t="e">
        <f t="shared" ca="1" si="113"/>
        <v>#N/A</v>
      </c>
      <c r="BH125" s="49" t="e">
        <f t="shared" ca="1" si="64"/>
        <v>#N/A</v>
      </c>
      <c r="BI125" s="49">
        <f t="shared" si="85"/>
        <v>0</v>
      </c>
      <c r="BJ125" s="49" t="e">
        <f t="shared" ca="1" si="65"/>
        <v>#N/A</v>
      </c>
      <c r="BK125" s="71" t="e">
        <f t="shared" ca="1" si="66"/>
        <v>#N/A</v>
      </c>
      <c r="BL125" s="71" t="e">
        <f t="shared" ca="1" si="67"/>
        <v>#N/A</v>
      </c>
      <c r="BM125" s="71" t="e">
        <f t="shared" ca="1" si="68"/>
        <v>#N/A</v>
      </c>
      <c r="BN125" s="71" t="e">
        <f t="shared" ca="1" si="69"/>
        <v>#N/A</v>
      </c>
      <c r="BO125" s="75" t="e">
        <f t="shared" ca="1" si="86"/>
        <v>#N/A</v>
      </c>
      <c r="BP125" s="49" t="e">
        <f t="shared" ca="1" si="70"/>
        <v>#N/A</v>
      </c>
      <c r="BQ125" s="49" t="e">
        <f t="shared" ca="1" si="71"/>
        <v>#N/A</v>
      </c>
      <c r="BR125" s="49" t="e">
        <f t="shared" ca="1" si="72"/>
        <v>#N/A</v>
      </c>
      <c r="BS125" s="49" t="e">
        <f t="shared" ca="1" si="73"/>
        <v>#N/A</v>
      </c>
      <c r="BT125" s="49" t="e">
        <f t="shared" ca="1" si="74"/>
        <v>#N/A</v>
      </c>
      <c r="BU125" s="49" t="e">
        <f t="shared" ca="1" si="75"/>
        <v>#N/A</v>
      </c>
      <c r="BV125" s="49" t="e">
        <f t="shared" ca="1" si="76"/>
        <v>#N/A</v>
      </c>
    </row>
    <row r="126" spans="1:74" x14ac:dyDescent="0.3">
      <c r="A126" s="47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80">
        <v>239</v>
      </c>
      <c r="X126" s="73">
        <v>750</v>
      </c>
      <c r="Y126" s="48" t="e">
        <f t="shared" si="87"/>
        <v>#N/A</v>
      </c>
      <c r="Z126" s="61" t="e">
        <f t="shared" si="88"/>
        <v>#N/A</v>
      </c>
      <c r="AA126" s="61" t="e">
        <f t="shared" si="93"/>
        <v>#N/A</v>
      </c>
      <c r="AB126" s="61" t="e">
        <f t="shared" si="89"/>
        <v>#N/A</v>
      </c>
      <c r="AC126" s="61" t="e">
        <f t="shared" si="90"/>
        <v>#N/A</v>
      </c>
      <c r="AD126" s="61" t="e">
        <f t="shared" si="91"/>
        <v>#N/A</v>
      </c>
      <c r="AE126" s="61" t="e">
        <f t="shared" si="94"/>
        <v>#N/A</v>
      </c>
      <c r="AF126" s="61">
        <f t="shared" si="95"/>
        <v>0</v>
      </c>
      <c r="AG126" s="61" t="e">
        <f t="shared" si="96"/>
        <v>#N/A</v>
      </c>
      <c r="AH126" s="61" t="e">
        <f t="shared" si="97"/>
        <v>#N/A</v>
      </c>
      <c r="AI126" s="61" t="e">
        <f t="shared" si="98"/>
        <v>#N/A</v>
      </c>
      <c r="AJ126" s="61" t="e">
        <f t="shared" si="99"/>
        <v>#N/A</v>
      </c>
      <c r="AK126" s="61" t="e">
        <f t="shared" si="100"/>
        <v>#N/A</v>
      </c>
      <c r="AL126" s="61" t="e">
        <f t="shared" si="101"/>
        <v>#N/A</v>
      </c>
      <c r="AM126" s="61" t="e">
        <f t="shared" si="102"/>
        <v>#N/A</v>
      </c>
      <c r="AN126" s="61" t="e">
        <f t="shared" si="103"/>
        <v>#N/A</v>
      </c>
      <c r="AO126" s="61" t="e">
        <f t="shared" si="104"/>
        <v>#N/A</v>
      </c>
      <c r="AP126" s="61" t="e">
        <f t="shared" si="105"/>
        <v>#N/A</v>
      </c>
      <c r="AQ126" s="61" t="e">
        <f t="shared" si="106"/>
        <v>#N/A</v>
      </c>
      <c r="AR126" s="61" t="e">
        <f t="shared" si="107"/>
        <v>#N/A</v>
      </c>
      <c r="AS126" s="61" t="e">
        <f t="shared" ca="1" si="108"/>
        <v>#N/A</v>
      </c>
      <c r="AT126" s="61" t="e">
        <f t="shared" ca="1" si="109"/>
        <v>#N/A</v>
      </c>
      <c r="AU126" s="61" t="e">
        <f t="shared" si="92"/>
        <v>#N/A</v>
      </c>
      <c r="AV126" s="61" t="e">
        <f t="shared" si="110"/>
        <v>#N/A</v>
      </c>
      <c r="AW126" s="61" t="e">
        <f t="shared" si="111"/>
        <v>#N/A</v>
      </c>
      <c r="AX126" s="61" t="e">
        <f t="shared" si="112"/>
        <v>#N/A</v>
      </c>
      <c r="AY126" s="74" t="e">
        <f t="shared" ca="1" si="77"/>
        <v>#N/A</v>
      </c>
      <c r="AZ126" s="74" t="e">
        <f t="shared" ca="1" si="78"/>
        <v>#N/A</v>
      </c>
      <c r="BA126" s="74" t="e">
        <f t="shared" ca="1" si="79"/>
        <v>#N/A</v>
      </c>
      <c r="BB126" s="74" t="e">
        <f t="shared" ca="1" si="80"/>
        <v>#N/A</v>
      </c>
      <c r="BC126" s="74" t="e">
        <f t="shared" ca="1" si="81"/>
        <v>#N/A</v>
      </c>
      <c r="BD126" s="74" t="e">
        <f t="shared" ca="1" si="82"/>
        <v>#N/A</v>
      </c>
      <c r="BE126" s="49" t="e">
        <f t="shared" ca="1" si="83"/>
        <v>#N/A</v>
      </c>
      <c r="BF126" s="49" t="e">
        <f t="shared" ca="1" si="63"/>
        <v>#N/A</v>
      </c>
      <c r="BG126" s="49" t="e">
        <f t="shared" ca="1" si="113"/>
        <v>#N/A</v>
      </c>
      <c r="BH126" s="49" t="e">
        <f t="shared" ca="1" si="64"/>
        <v>#N/A</v>
      </c>
      <c r="BI126" s="49">
        <f t="shared" si="85"/>
        <v>0</v>
      </c>
      <c r="BJ126" s="49" t="e">
        <f t="shared" ca="1" si="65"/>
        <v>#N/A</v>
      </c>
      <c r="BK126" s="71" t="e">
        <f t="shared" ca="1" si="66"/>
        <v>#N/A</v>
      </c>
      <c r="BL126" s="71" t="e">
        <f t="shared" ca="1" si="67"/>
        <v>#N/A</v>
      </c>
      <c r="BM126" s="71" t="e">
        <f t="shared" ca="1" si="68"/>
        <v>#N/A</v>
      </c>
      <c r="BN126" s="71" t="e">
        <f t="shared" ca="1" si="69"/>
        <v>#N/A</v>
      </c>
      <c r="BO126" s="75" t="e">
        <f t="shared" ca="1" si="86"/>
        <v>#N/A</v>
      </c>
      <c r="BP126" s="49" t="e">
        <f t="shared" ca="1" si="70"/>
        <v>#N/A</v>
      </c>
      <c r="BQ126" s="49" t="e">
        <f t="shared" ca="1" si="71"/>
        <v>#N/A</v>
      </c>
      <c r="BR126" s="49" t="e">
        <f t="shared" ca="1" si="72"/>
        <v>#N/A</v>
      </c>
      <c r="BS126" s="49" t="e">
        <f t="shared" ca="1" si="73"/>
        <v>#N/A</v>
      </c>
      <c r="BT126" s="49" t="e">
        <f t="shared" ca="1" si="74"/>
        <v>#N/A</v>
      </c>
      <c r="BU126" s="49" t="e">
        <f t="shared" ca="1" si="75"/>
        <v>#N/A</v>
      </c>
      <c r="BV126" s="49" t="e">
        <f t="shared" ca="1" si="76"/>
        <v>#N/A</v>
      </c>
    </row>
    <row r="127" spans="1:74" x14ac:dyDescent="0.3">
      <c r="A127" s="47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80">
        <v>240</v>
      </c>
      <c r="X127" s="73">
        <v>763</v>
      </c>
      <c r="Y127" s="48" t="e">
        <f t="shared" si="87"/>
        <v>#N/A</v>
      </c>
      <c r="Z127" s="61" t="e">
        <f t="shared" si="88"/>
        <v>#N/A</v>
      </c>
      <c r="AA127" s="61" t="e">
        <f t="shared" si="93"/>
        <v>#N/A</v>
      </c>
      <c r="AB127" s="61" t="e">
        <f t="shared" si="89"/>
        <v>#N/A</v>
      </c>
      <c r="AC127" s="61" t="e">
        <f t="shared" si="90"/>
        <v>#N/A</v>
      </c>
      <c r="AD127" s="61" t="e">
        <f t="shared" si="91"/>
        <v>#N/A</v>
      </c>
      <c r="AE127" s="61" t="e">
        <f t="shared" si="94"/>
        <v>#N/A</v>
      </c>
      <c r="AF127" s="61">
        <f t="shared" si="95"/>
        <v>0</v>
      </c>
      <c r="AG127" s="61" t="e">
        <f t="shared" si="96"/>
        <v>#N/A</v>
      </c>
      <c r="AH127" s="61" t="e">
        <f t="shared" si="97"/>
        <v>#N/A</v>
      </c>
      <c r="AI127" s="61" t="e">
        <f t="shared" si="98"/>
        <v>#N/A</v>
      </c>
      <c r="AJ127" s="61" t="e">
        <f t="shared" si="99"/>
        <v>#N/A</v>
      </c>
      <c r="AK127" s="61" t="e">
        <f t="shared" si="100"/>
        <v>#N/A</v>
      </c>
      <c r="AL127" s="61" t="e">
        <f t="shared" si="101"/>
        <v>#N/A</v>
      </c>
      <c r="AM127" s="61" t="e">
        <f t="shared" si="102"/>
        <v>#N/A</v>
      </c>
      <c r="AN127" s="61" t="e">
        <f t="shared" si="103"/>
        <v>#N/A</v>
      </c>
      <c r="AO127" s="61" t="e">
        <f t="shared" si="104"/>
        <v>#N/A</v>
      </c>
      <c r="AP127" s="61" t="e">
        <f t="shared" si="105"/>
        <v>#N/A</v>
      </c>
      <c r="AQ127" s="61" t="e">
        <f t="shared" si="106"/>
        <v>#N/A</v>
      </c>
      <c r="AR127" s="61" t="e">
        <f t="shared" si="107"/>
        <v>#N/A</v>
      </c>
      <c r="AS127" s="61" t="e">
        <f t="shared" ca="1" si="108"/>
        <v>#N/A</v>
      </c>
      <c r="AT127" s="61" t="e">
        <f t="shared" ca="1" si="109"/>
        <v>#N/A</v>
      </c>
      <c r="AU127" s="61" t="e">
        <f t="shared" si="92"/>
        <v>#N/A</v>
      </c>
      <c r="AV127" s="61" t="e">
        <f t="shared" si="110"/>
        <v>#N/A</v>
      </c>
      <c r="AW127" s="61" t="e">
        <f t="shared" si="111"/>
        <v>#N/A</v>
      </c>
      <c r="AX127" s="61" t="e">
        <f t="shared" si="112"/>
        <v>#N/A</v>
      </c>
      <c r="AY127" s="74" t="e">
        <f t="shared" ca="1" si="77"/>
        <v>#N/A</v>
      </c>
      <c r="AZ127" s="74" t="e">
        <f t="shared" ca="1" si="78"/>
        <v>#N/A</v>
      </c>
      <c r="BA127" s="74" t="e">
        <f t="shared" ca="1" si="79"/>
        <v>#N/A</v>
      </c>
      <c r="BB127" s="74" t="e">
        <f t="shared" ca="1" si="80"/>
        <v>#N/A</v>
      </c>
      <c r="BC127" s="74" t="e">
        <f t="shared" ca="1" si="81"/>
        <v>#N/A</v>
      </c>
      <c r="BD127" s="74" t="e">
        <f t="shared" ca="1" si="82"/>
        <v>#N/A</v>
      </c>
      <c r="BE127" s="49" t="e">
        <f t="shared" ca="1" si="83"/>
        <v>#N/A</v>
      </c>
      <c r="BF127" s="49" t="e">
        <f t="shared" ca="1" si="63"/>
        <v>#N/A</v>
      </c>
      <c r="BG127" s="49" t="e">
        <f t="shared" ca="1" si="113"/>
        <v>#N/A</v>
      </c>
      <c r="BH127" s="49" t="e">
        <f t="shared" ca="1" si="64"/>
        <v>#N/A</v>
      </c>
      <c r="BI127" s="49">
        <f t="shared" si="85"/>
        <v>0</v>
      </c>
      <c r="BJ127" s="49" t="e">
        <f t="shared" ca="1" si="65"/>
        <v>#N/A</v>
      </c>
      <c r="BK127" s="71" t="e">
        <f t="shared" ca="1" si="66"/>
        <v>#N/A</v>
      </c>
      <c r="BL127" s="71" t="e">
        <f t="shared" ca="1" si="67"/>
        <v>#N/A</v>
      </c>
      <c r="BM127" s="71" t="e">
        <f t="shared" ca="1" si="68"/>
        <v>#N/A</v>
      </c>
      <c r="BN127" s="71" t="e">
        <f t="shared" ca="1" si="69"/>
        <v>#N/A</v>
      </c>
      <c r="BO127" s="75" t="e">
        <f t="shared" ca="1" si="86"/>
        <v>#N/A</v>
      </c>
      <c r="BP127" s="49" t="e">
        <f t="shared" ca="1" si="70"/>
        <v>#N/A</v>
      </c>
      <c r="BQ127" s="49" t="e">
        <f t="shared" ca="1" si="71"/>
        <v>#N/A</v>
      </c>
      <c r="BR127" s="49" t="e">
        <f t="shared" ca="1" si="72"/>
        <v>#N/A</v>
      </c>
      <c r="BS127" s="49" t="e">
        <f t="shared" ca="1" si="73"/>
        <v>#N/A</v>
      </c>
      <c r="BT127" s="49" t="e">
        <f t="shared" ca="1" si="74"/>
        <v>#N/A</v>
      </c>
      <c r="BU127" s="49" t="e">
        <f t="shared" ca="1" si="75"/>
        <v>#N/A</v>
      </c>
      <c r="BV127" s="49" t="e">
        <f t="shared" ca="1" si="76"/>
        <v>#N/A</v>
      </c>
    </row>
    <row r="128" spans="1:74" x14ac:dyDescent="0.3">
      <c r="A128" s="47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80">
        <v>241</v>
      </c>
      <c r="X128" s="73">
        <v>776</v>
      </c>
      <c r="Y128" s="48" t="e">
        <f t="shared" si="87"/>
        <v>#N/A</v>
      </c>
      <c r="Z128" s="61" t="e">
        <f t="shared" si="88"/>
        <v>#N/A</v>
      </c>
      <c r="AA128" s="61" t="e">
        <f t="shared" si="93"/>
        <v>#N/A</v>
      </c>
      <c r="AB128" s="61" t="e">
        <f t="shared" si="89"/>
        <v>#N/A</v>
      </c>
      <c r="AC128" s="61" t="e">
        <f t="shared" si="90"/>
        <v>#N/A</v>
      </c>
      <c r="AD128" s="61" t="e">
        <f t="shared" si="91"/>
        <v>#N/A</v>
      </c>
      <c r="AE128" s="61" t="e">
        <f t="shared" si="94"/>
        <v>#N/A</v>
      </c>
      <c r="AF128" s="61">
        <f t="shared" si="95"/>
        <v>0</v>
      </c>
      <c r="AG128" s="61" t="e">
        <f t="shared" si="96"/>
        <v>#N/A</v>
      </c>
      <c r="AH128" s="61" t="e">
        <f t="shared" si="97"/>
        <v>#N/A</v>
      </c>
      <c r="AI128" s="61" t="e">
        <f t="shared" si="98"/>
        <v>#N/A</v>
      </c>
      <c r="AJ128" s="61" t="e">
        <f t="shared" si="99"/>
        <v>#N/A</v>
      </c>
      <c r="AK128" s="61" t="e">
        <f t="shared" si="100"/>
        <v>#N/A</v>
      </c>
      <c r="AL128" s="61" t="e">
        <f t="shared" si="101"/>
        <v>#N/A</v>
      </c>
      <c r="AM128" s="61" t="e">
        <f t="shared" si="102"/>
        <v>#N/A</v>
      </c>
      <c r="AN128" s="61" t="e">
        <f t="shared" si="103"/>
        <v>#N/A</v>
      </c>
      <c r="AO128" s="61" t="e">
        <f t="shared" si="104"/>
        <v>#N/A</v>
      </c>
      <c r="AP128" s="61" t="e">
        <f t="shared" si="105"/>
        <v>#N/A</v>
      </c>
      <c r="AQ128" s="61" t="e">
        <f t="shared" si="106"/>
        <v>#N/A</v>
      </c>
      <c r="AR128" s="61" t="e">
        <f t="shared" si="107"/>
        <v>#N/A</v>
      </c>
      <c r="AS128" s="61" t="e">
        <f t="shared" ca="1" si="108"/>
        <v>#N/A</v>
      </c>
      <c r="AT128" s="61" t="e">
        <f t="shared" ca="1" si="109"/>
        <v>#N/A</v>
      </c>
      <c r="AU128" s="61" t="e">
        <f t="shared" si="92"/>
        <v>#N/A</v>
      </c>
      <c r="AV128" s="61" t="e">
        <f t="shared" si="110"/>
        <v>#N/A</v>
      </c>
      <c r="AW128" s="61" t="e">
        <f t="shared" si="111"/>
        <v>#N/A</v>
      </c>
      <c r="AX128" s="61" t="e">
        <f t="shared" si="112"/>
        <v>#N/A</v>
      </c>
      <c r="AY128" s="74" t="e">
        <f t="shared" ca="1" si="77"/>
        <v>#N/A</v>
      </c>
      <c r="AZ128" s="74" t="e">
        <f t="shared" ca="1" si="78"/>
        <v>#N/A</v>
      </c>
      <c r="BA128" s="74" t="e">
        <f t="shared" ca="1" si="79"/>
        <v>#N/A</v>
      </c>
      <c r="BB128" s="74" t="e">
        <f t="shared" ca="1" si="80"/>
        <v>#N/A</v>
      </c>
      <c r="BC128" s="74" t="e">
        <f t="shared" ca="1" si="81"/>
        <v>#N/A</v>
      </c>
      <c r="BD128" s="74" t="e">
        <f t="shared" ca="1" si="82"/>
        <v>#N/A</v>
      </c>
      <c r="BE128" s="49" t="e">
        <f t="shared" ca="1" si="83"/>
        <v>#N/A</v>
      </c>
      <c r="BF128" s="49" t="e">
        <f t="shared" ca="1" si="63"/>
        <v>#N/A</v>
      </c>
      <c r="BG128" s="49" t="e">
        <f t="shared" ca="1" si="113"/>
        <v>#N/A</v>
      </c>
      <c r="BH128" s="49" t="e">
        <f t="shared" ca="1" si="64"/>
        <v>#N/A</v>
      </c>
      <c r="BI128" s="49">
        <f t="shared" si="85"/>
        <v>0</v>
      </c>
      <c r="BJ128" s="49" t="e">
        <f t="shared" ca="1" si="65"/>
        <v>#N/A</v>
      </c>
      <c r="BK128" s="71" t="e">
        <f t="shared" ca="1" si="66"/>
        <v>#N/A</v>
      </c>
      <c r="BL128" s="71" t="e">
        <f t="shared" ca="1" si="67"/>
        <v>#N/A</v>
      </c>
      <c r="BM128" s="71" t="e">
        <f t="shared" ca="1" si="68"/>
        <v>#N/A</v>
      </c>
      <c r="BN128" s="71" t="e">
        <f t="shared" ca="1" si="69"/>
        <v>#N/A</v>
      </c>
      <c r="BO128" s="75" t="e">
        <f t="shared" ca="1" si="86"/>
        <v>#N/A</v>
      </c>
      <c r="BP128" s="49" t="e">
        <f t="shared" ca="1" si="70"/>
        <v>#N/A</v>
      </c>
      <c r="BQ128" s="49" t="e">
        <f t="shared" ca="1" si="71"/>
        <v>#N/A</v>
      </c>
      <c r="BR128" s="49" t="e">
        <f t="shared" ca="1" si="72"/>
        <v>#N/A</v>
      </c>
      <c r="BS128" s="49" t="e">
        <f t="shared" ca="1" si="73"/>
        <v>#N/A</v>
      </c>
      <c r="BT128" s="49" t="e">
        <f t="shared" ca="1" si="74"/>
        <v>#N/A</v>
      </c>
      <c r="BU128" s="49" t="e">
        <f t="shared" ca="1" si="75"/>
        <v>#N/A</v>
      </c>
      <c r="BV128" s="49" t="e">
        <f t="shared" ca="1" si="76"/>
        <v>#N/A</v>
      </c>
    </row>
    <row r="129" spans="1:50" x14ac:dyDescent="0.3">
      <c r="A129" s="47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80">
        <v>242</v>
      </c>
      <c r="X129" s="73">
        <v>789</v>
      </c>
      <c r="Y129" s="48" t="e">
        <f t="shared" si="87"/>
        <v>#N/A</v>
      </c>
      <c r="Z129" s="61" t="e">
        <f t="shared" si="88"/>
        <v>#N/A</v>
      </c>
      <c r="AA129" s="61" t="e">
        <f t="shared" si="93"/>
        <v>#N/A</v>
      </c>
      <c r="AB129" s="61" t="e">
        <f t="shared" si="89"/>
        <v>#N/A</v>
      </c>
      <c r="AC129" s="61" t="e">
        <f t="shared" si="90"/>
        <v>#N/A</v>
      </c>
      <c r="AD129" s="61" t="e">
        <f t="shared" si="91"/>
        <v>#N/A</v>
      </c>
      <c r="AE129" s="61" t="e">
        <f t="shared" si="94"/>
        <v>#N/A</v>
      </c>
      <c r="AF129" s="61">
        <f t="shared" si="95"/>
        <v>0</v>
      </c>
      <c r="AG129" s="61" t="e">
        <f t="shared" si="96"/>
        <v>#N/A</v>
      </c>
      <c r="AH129" s="61" t="e">
        <f t="shared" si="97"/>
        <v>#N/A</v>
      </c>
      <c r="AI129" s="61" t="e">
        <f t="shared" si="98"/>
        <v>#N/A</v>
      </c>
      <c r="AJ129" s="61" t="e">
        <f t="shared" si="99"/>
        <v>#N/A</v>
      </c>
      <c r="AK129" s="61" t="e">
        <f t="shared" si="100"/>
        <v>#N/A</v>
      </c>
      <c r="AL129" s="61" t="e">
        <f t="shared" si="101"/>
        <v>#N/A</v>
      </c>
      <c r="AM129" s="61" t="e">
        <f t="shared" si="102"/>
        <v>#N/A</v>
      </c>
      <c r="AN129" s="61" t="e">
        <f t="shared" si="103"/>
        <v>#N/A</v>
      </c>
      <c r="AO129" s="61" t="e">
        <f t="shared" si="104"/>
        <v>#N/A</v>
      </c>
      <c r="AP129" s="61" t="e">
        <f t="shared" si="105"/>
        <v>#N/A</v>
      </c>
      <c r="AQ129" s="61" t="e">
        <f t="shared" si="106"/>
        <v>#N/A</v>
      </c>
      <c r="AR129" s="61" t="e">
        <f t="shared" si="107"/>
        <v>#N/A</v>
      </c>
      <c r="AS129" s="61" t="e">
        <f t="shared" ca="1" si="108"/>
        <v>#N/A</v>
      </c>
      <c r="AT129" s="61" t="e">
        <f t="shared" ca="1" si="109"/>
        <v>#N/A</v>
      </c>
      <c r="AU129" s="61" t="e">
        <f t="shared" si="92"/>
        <v>#N/A</v>
      </c>
      <c r="AV129" s="61" t="e">
        <f t="shared" si="110"/>
        <v>#N/A</v>
      </c>
      <c r="AW129" s="61" t="e">
        <f t="shared" si="111"/>
        <v>#N/A</v>
      </c>
      <c r="AX129" s="61" t="e">
        <f t="shared" si="112"/>
        <v>#N/A</v>
      </c>
    </row>
    <row r="130" spans="1:50" x14ac:dyDescent="0.3">
      <c r="A130" s="47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80">
        <v>243</v>
      </c>
      <c r="X130" s="73">
        <v>802</v>
      </c>
      <c r="Y130" s="48" t="e">
        <f t="shared" si="87"/>
        <v>#N/A</v>
      </c>
      <c r="Z130" s="61" t="e">
        <f t="shared" si="88"/>
        <v>#N/A</v>
      </c>
      <c r="AA130" s="61" t="e">
        <f t="shared" si="93"/>
        <v>#N/A</v>
      </c>
      <c r="AB130" s="61" t="e">
        <f t="shared" si="89"/>
        <v>#N/A</v>
      </c>
      <c r="AC130" s="61" t="e">
        <f t="shared" si="90"/>
        <v>#N/A</v>
      </c>
      <c r="AD130" s="61" t="e">
        <f t="shared" si="91"/>
        <v>#N/A</v>
      </c>
      <c r="AE130" s="61" t="e">
        <f t="shared" si="94"/>
        <v>#N/A</v>
      </c>
      <c r="AF130" s="61">
        <f t="shared" si="95"/>
        <v>0</v>
      </c>
      <c r="AG130" s="61" t="e">
        <f t="shared" si="96"/>
        <v>#N/A</v>
      </c>
      <c r="AH130" s="61" t="e">
        <f t="shared" si="97"/>
        <v>#N/A</v>
      </c>
      <c r="AI130" s="61" t="e">
        <f t="shared" si="98"/>
        <v>#N/A</v>
      </c>
      <c r="AJ130" s="61" t="e">
        <f t="shared" si="99"/>
        <v>#N/A</v>
      </c>
      <c r="AK130" s="61" t="e">
        <f t="shared" si="100"/>
        <v>#N/A</v>
      </c>
      <c r="AL130" s="61" t="e">
        <f t="shared" si="101"/>
        <v>#N/A</v>
      </c>
      <c r="AM130" s="61" t="e">
        <f t="shared" si="102"/>
        <v>#N/A</v>
      </c>
      <c r="AN130" s="61" t="e">
        <f t="shared" si="103"/>
        <v>#N/A</v>
      </c>
      <c r="AO130" s="61" t="e">
        <f t="shared" si="104"/>
        <v>#N/A</v>
      </c>
      <c r="AP130" s="61" t="e">
        <f t="shared" si="105"/>
        <v>#N/A</v>
      </c>
      <c r="AQ130" s="61" t="e">
        <f t="shared" si="106"/>
        <v>#N/A</v>
      </c>
      <c r="AR130" s="61" t="e">
        <f t="shared" si="107"/>
        <v>#N/A</v>
      </c>
      <c r="AS130" s="61" t="e">
        <f t="shared" ca="1" si="108"/>
        <v>#N/A</v>
      </c>
      <c r="AT130" s="61" t="e">
        <f t="shared" ca="1" si="109"/>
        <v>#N/A</v>
      </c>
      <c r="AU130" s="61" t="e">
        <f t="shared" si="92"/>
        <v>#N/A</v>
      </c>
      <c r="AV130" s="61" t="e">
        <f t="shared" si="110"/>
        <v>#N/A</v>
      </c>
      <c r="AW130" s="61" t="e">
        <f t="shared" si="111"/>
        <v>#N/A</v>
      </c>
      <c r="AX130" s="61" t="e">
        <f t="shared" si="112"/>
        <v>#N/A</v>
      </c>
    </row>
    <row r="131" spans="1:50" x14ac:dyDescent="0.3">
      <c r="A131" s="47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80">
        <v>244</v>
      </c>
      <c r="X131" s="73">
        <v>815</v>
      </c>
      <c r="Y131" s="48" t="e">
        <f t="shared" si="87"/>
        <v>#N/A</v>
      </c>
      <c r="Z131" s="61" t="e">
        <f t="shared" si="88"/>
        <v>#N/A</v>
      </c>
      <c r="AA131" s="61" t="e">
        <f t="shared" si="93"/>
        <v>#N/A</v>
      </c>
      <c r="AB131" s="61" t="e">
        <f t="shared" si="89"/>
        <v>#N/A</v>
      </c>
      <c r="AC131" s="61" t="e">
        <f t="shared" si="90"/>
        <v>#N/A</v>
      </c>
      <c r="AD131" s="61" t="e">
        <f t="shared" si="91"/>
        <v>#N/A</v>
      </c>
      <c r="AE131" s="61" t="e">
        <f t="shared" si="94"/>
        <v>#N/A</v>
      </c>
      <c r="AF131" s="61">
        <f t="shared" si="95"/>
        <v>0</v>
      </c>
      <c r="AG131" s="61" t="e">
        <f t="shared" si="96"/>
        <v>#N/A</v>
      </c>
      <c r="AH131" s="61" t="e">
        <f t="shared" si="97"/>
        <v>#N/A</v>
      </c>
      <c r="AI131" s="61" t="e">
        <f t="shared" si="98"/>
        <v>#N/A</v>
      </c>
      <c r="AJ131" s="61" t="e">
        <f t="shared" si="99"/>
        <v>#N/A</v>
      </c>
      <c r="AK131" s="61" t="e">
        <f t="shared" si="100"/>
        <v>#N/A</v>
      </c>
      <c r="AL131" s="61" t="e">
        <f t="shared" si="101"/>
        <v>#N/A</v>
      </c>
      <c r="AM131" s="61" t="e">
        <f t="shared" si="102"/>
        <v>#N/A</v>
      </c>
      <c r="AN131" s="61" t="e">
        <f t="shared" si="103"/>
        <v>#N/A</v>
      </c>
      <c r="AO131" s="61" t="e">
        <f t="shared" si="104"/>
        <v>#N/A</v>
      </c>
      <c r="AP131" s="61" t="e">
        <f t="shared" si="105"/>
        <v>#N/A</v>
      </c>
      <c r="AQ131" s="61" t="e">
        <f t="shared" si="106"/>
        <v>#N/A</v>
      </c>
      <c r="AR131" s="61" t="e">
        <f t="shared" si="107"/>
        <v>#N/A</v>
      </c>
      <c r="AS131" s="61" t="e">
        <f t="shared" ca="1" si="108"/>
        <v>#N/A</v>
      </c>
      <c r="AT131" s="61" t="e">
        <f t="shared" ca="1" si="109"/>
        <v>#N/A</v>
      </c>
      <c r="AU131" s="61" t="e">
        <f t="shared" si="92"/>
        <v>#N/A</v>
      </c>
      <c r="AV131" s="61" t="e">
        <f t="shared" si="110"/>
        <v>#N/A</v>
      </c>
      <c r="AW131" s="61" t="e">
        <f t="shared" si="111"/>
        <v>#N/A</v>
      </c>
      <c r="AX131" s="61" t="e">
        <f t="shared" si="112"/>
        <v>#N/A</v>
      </c>
    </row>
    <row r="132" spans="1:50" x14ac:dyDescent="0.3">
      <c r="A132" s="47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80">
        <v>245</v>
      </c>
      <c r="X132" s="73">
        <v>828</v>
      </c>
      <c r="Y132" s="48" t="e">
        <f t="shared" si="87"/>
        <v>#N/A</v>
      </c>
      <c r="Z132" s="61" t="e">
        <f t="shared" si="88"/>
        <v>#N/A</v>
      </c>
      <c r="AA132" s="61" t="e">
        <f t="shared" si="93"/>
        <v>#N/A</v>
      </c>
      <c r="AB132" s="61" t="e">
        <f t="shared" si="89"/>
        <v>#N/A</v>
      </c>
      <c r="AC132" s="61" t="e">
        <f t="shared" si="90"/>
        <v>#N/A</v>
      </c>
      <c r="AD132" s="61" t="e">
        <f t="shared" si="91"/>
        <v>#N/A</v>
      </c>
      <c r="AE132" s="61" t="e">
        <f t="shared" si="94"/>
        <v>#N/A</v>
      </c>
      <c r="AF132" s="61">
        <f t="shared" si="95"/>
        <v>0</v>
      </c>
      <c r="AG132" s="61" t="e">
        <f t="shared" si="96"/>
        <v>#N/A</v>
      </c>
      <c r="AH132" s="61" t="e">
        <f t="shared" si="97"/>
        <v>#N/A</v>
      </c>
      <c r="AI132" s="61" t="e">
        <f t="shared" si="98"/>
        <v>#N/A</v>
      </c>
      <c r="AJ132" s="61" t="e">
        <f t="shared" si="99"/>
        <v>#N/A</v>
      </c>
      <c r="AK132" s="61" t="e">
        <f t="shared" si="100"/>
        <v>#N/A</v>
      </c>
      <c r="AL132" s="61" t="e">
        <f t="shared" si="101"/>
        <v>#N/A</v>
      </c>
      <c r="AM132" s="61" t="e">
        <f t="shared" si="102"/>
        <v>#N/A</v>
      </c>
      <c r="AN132" s="61" t="e">
        <f t="shared" si="103"/>
        <v>#N/A</v>
      </c>
      <c r="AO132" s="61" t="e">
        <f t="shared" si="104"/>
        <v>#N/A</v>
      </c>
      <c r="AP132" s="61" t="e">
        <f t="shared" si="105"/>
        <v>#N/A</v>
      </c>
      <c r="AQ132" s="61" t="e">
        <f t="shared" si="106"/>
        <v>#N/A</v>
      </c>
      <c r="AR132" s="61" t="e">
        <f t="shared" si="107"/>
        <v>#N/A</v>
      </c>
      <c r="AS132" s="61" t="e">
        <f t="shared" ca="1" si="108"/>
        <v>#N/A</v>
      </c>
      <c r="AT132" s="61" t="e">
        <f t="shared" ca="1" si="109"/>
        <v>#N/A</v>
      </c>
      <c r="AU132" s="61" t="e">
        <f t="shared" si="92"/>
        <v>#N/A</v>
      </c>
      <c r="AV132" s="61" t="e">
        <f t="shared" si="110"/>
        <v>#N/A</v>
      </c>
      <c r="AW132" s="61" t="e">
        <f t="shared" si="111"/>
        <v>#N/A</v>
      </c>
      <c r="AX132" s="61" t="e">
        <f t="shared" si="112"/>
        <v>#N/A</v>
      </c>
    </row>
    <row r="133" spans="1:50" x14ac:dyDescent="0.3">
      <c r="A133" s="47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80">
        <v>246</v>
      </c>
      <c r="X133" s="73">
        <v>841</v>
      </c>
      <c r="Y133" s="48" t="e">
        <f t="shared" si="87"/>
        <v>#N/A</v>
      </c>
      <c r="Z133" s="61" t="e">
        <f t="shared" si="88"/>
        <v>#N/A</v>
      </c>
      <c r="AA133" s="61" t="e">
        <f t="shared" si="93"/>
        <v>#N/A</v>
      </c>
      <c r="AB133" s="61" t="e">
        <f t="shared" si="89"/>
        <v>#N/A</v>
      </c>
      <c r="AC133" s="61" t="e">
        <f t="shared" si="90"/>
        <v>#N/A</v>
      </c>
      <c r="AD133" s="61" t="e">
        <f t="shared" si="91"/>
        <v>#N/A</v>
      </c>
      <c r="AE133" s="61" t="e">
        <f t="shared" si="94"/>
        <v>#N/A</v>
      </c>
      <c r="AF133" s="61">
        <f t="shared" si="95"/>
        <v>0</v>
      </c>
      <c r="AG133" s="61" t="e">
        <f t="shared" si="96"/>
        <v>#N/A</v>
      </c>
      <c r="AH133" s="61" t="e">
        <f t="shared" si="97"/>
        <v>#N/A</v>
      </c>
      <c r="AI133" s="61" t="e">
        <f t="shared" si="98"/>
        <v>#N/A</v>
      </c>
      <c r="AJ133" s="61" t="e">
        <f t="shared" si="99"/>
        <v>#N/A</v>
      </c>
      <c r="AK133" s="61" t="e">
        <f t="shared" si="100"/>
        <v>#N/A</v>
      </c>
      <c r="AL133" s="61" t="e">
        <f t="shared" si="101"/>
        <v>#N/A</v>
      </c>
      <c r="AM133" s="61" t="e">
        <f t="shared" si="102"/>
        <v>#N/A</v>
      </c>
      <c r="AN133" s="61" t="e">
        <f t="shared" si="103"/>
        <v>#N/A</v>
      </c>
      <c r="AO133" s="61" t="e">
        <f t="shared" si="104"/>
        <v>#N/A</v>
      </c>
      <c r="AP133" s="61" t="e">
        <f t="shared" si="105"/>
        <v>#N/A</v>
      </c>
      <c r="AQ133" s="61" t="e">
        <f t="shared" si="106"/>
        <v>#N/A</v>
      </c>
      <c r="AR133" s="61" t="e">
        <f t="shared" si="107"/>
        <v>#N/A</v>
      </c>
      <c r="AS133" s="61" t="e">
        <f t="shared" ca="1" si="108"/>
        <v>#N/A</v>
      </c>
      <c r="AT133" s="61" t="e">
        <f t="shared" ca="1" si="109"/>
        <v>#N/A</v>
      </c>
      <c r="AU133" s="61" t="e">
        <f t="shared" si="92"/>
        <v>#N/A</v>
      </c>
      <c r="AV133" s="61" t="e">
        <f t="shared" si="110"/>
        <v>#N/A</v>
      </c>
      <c r="AW133" s="61" t="e">
        <f t="shared" si="111"/>
        <v>#N/A</v>
      </c>
      <c r="AX133" s="61" t="e">
        <f t="shared" si="112"/>
        <v>#N/A</v>
      </c>
    </row>
    <row r="134" spans="1:50" x14ac:dyDescent="0.3">
      <c r="A134" s="47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80">
        <v>247</v>
      </c>
      <c r="X134" s="73">
        <v>854</v>
      </c>
      <c r="Y134" s="48" t="e">
        <f t="shared" si="87"/>
        <v>#N/A</v>
      </c>
      <c r="Z134" s="61" t="e">
        <f t="shared" si="88"/>
        <v>#N/A</v>
      </c>
      <c r="AA134" s="61" t="e">
        <f t="shared" si="93"/>
        <v>#N/A</v>
      </c>
      <c r="AB134" s="61" t="e">
        <f t="shared" si="89"/>
        <v>#N/A</v>
      </c>
      <c r="AC134" s="61" t="e">
        <f t="shared" si="90"/>
        <v>#N/A</v>
      </c>
      <c r="AD134" s="61" t="e">
        <f t="shared" si="91"/>
        <v>#N/A</v>
      </c>
      <c r="AE134" s="61" t="e">
        <f t="shared" si="94"/>
        <v>#N/A</v>
      </c>
      <c r="AF134" s="61">
        <f t="shared" si="95"/>
        <v>0</v>
      </c>
      <c r="AG134" s="61" t="e">
        <f t="shared" si="96"/>
        <v>#N/A</v>
      </c>
      <c r="AH134" s="61" t="e">
        <f t="shared" si="97"/>
        <v>#N/A</v>
      </c>
      <c r="AI134" s="61" t="e">
        <f t="shared" si="98"/>
        <v>#N/A</v>
      </c>
      <c r="AJ134" s="61" t="e">
        <f t="shared" si="99"/>
        <v>#N/A</v>
      </c>
      <c r="AK134" s="61" t="e">
        <f t="shared" si="100"/>
        <v>#N/A</v>
      </c>
      <c r="AL134" s="61" t="e">
        <f t="shared" si="101"/>
        <v>#N/A</v>
      </c>
      <c r="AM134" s="61" t="e">
        <f t="shared" si="102"/>
        <v>#N/A</v>
      </c>
      <c r="AN134" s="61" t="e">
        <f t="shared" si="103"/>
        <v>#N/A</v>
      </c>
      <c r="AO134" s="61" t="e">
        <f t="shared" si="104"/>
        <v>#N/A</v>
      </c>
      <c r="AP134" s="61" t="e">
        <f t="shared" si="105"/>
        <v>#N/A</v>
      </c>
      <c r="AQ134" s="61" t="e">
        <f t="shared" si="106"/>
        <v>#N/A</v>
      </c>
      <c r="AR134" s="61" t="e">
        <f t="shared" si="107"/>
        <v>#N/A</v>
      </c>
      <c r="AS134" s="61" t="e">
        <f t="shared" ca="1" si="108"/>
        <v>#N/A</v>
      </c>
      <c r="AT134" s="61" t="e">
        <f t="shared" ca="1" si="109"/>
        <v>#N/A</v>
      </c>
      <c r="AU134" s="61" t="e">
        <f t="shared" si="92"/>
        <v>#N/A</v>
      </c>
      <c r="AV134" s="61" t="e">
        <f t="shared" si="110"/>
        <v>#N/A</v>
      </c>
      <c r="AW134" s="61" t="e">
        <f t="shared" si="111"/>
        <v>#N/A</v>
      </c>
      <c r="AX134" s="61" t="e">
        <f t="shared" si="112"/>
        <v>#N/A</v>
      </c>
    </row>
    <row r="135" spans="1:50" x14ac:dyDescent="0.3">
      <c r="A135" s="47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80">
        <v>248</v>
      </c>
      <c r="X135" s="73">
        <v>867</v>
      </c>
      <c r="Y135" s="48" t="e">
        <f t="shared" si="87"/>
        <v>#N/A</v>
      </c>
      <c r="Z135" s="61" t="e">
        <f t="shared" si="88"/>
        <v>#N/A</v>
      </c>
      <c r="AA135" s="61" t="e">
        <f t="shared" si="93"/>
        <v>#N/A</v>
      </c>
      <c r="AB135" s="61" t="e">
        <f t="shared" si="89"/>
        <v>#N/A</v>
      </c>
      <c r="AC135" s="61" t="e">
        <f t="shared" si="90"/>
        <v>#N/A</v>
      </c>
      <c r="AD135" s="61" t="e">
        <f t="shared" si="91"/>
        <v>#N/A</v>
      </c>
      <c r="AE135" s="61" t="e">
        <f t="shared" si="94"/>
        <v>#N/A</v>
      </c>
      <c r="AF135" s="61">
        <f t="shared" si="95"/>
        <v>0</v>
      </c>
      <c r="AG135" s="61" t="e">
        <f t="shared" si="96"/>
        <v>#N/A</v>
      </c>
      <c r="AH135" s="61" t="e">
        <f t="shared" si="97"/>
        <v>#N/A</v>
      </c>
      <c r="AI135" s="61" t="e">
        <f t="shared" si="98"/>
        <v>#N/A</v>
      </c>
      <c r="AJ135" s="61" t="e">
        <f t="shared" si="99"/>
        <v>#N/A</v>
      </c>
      <c r="AK135" s="61" t="e">
        <f t="shared" si="100"/>
        <v>#N/A</v>
      </c>
      <c r="AL135" s="61" t="e">
        <f t="shared" si="101"/>
        <v>#N/A</v>
      </c>
      <c r="AM135" s="61" t="e">
        <f t="shared" si="102"/>
        <v>#N/A</v>
      </c>
      <c r="AN135" s="61" t="e">
        <f t="shared" si="103"/>
        <v>#N/A</v>
      </c>
      <c r="AO135" s="61" t="e">
        <f t="shared" si="104"/>
        <v>#N/A</v>
      </c>
      <c r="AP135" s="61" t="e">
        <f t="shared" si="105"/>
        <v>#N/A</v>
      </c>
      <c r="AQ135" s="61" t="e">
        <f t="shared" si="106"/>
        <v>#N/A</v>
      </c>
      <c r="AR135" s="61" t="e">
        <f t="shared" si="107"/>
        <v>#N/A</v>
      </c>
      <c r="AS135" s="61" t="e">
        <f t="shared" ca="1" si="108"/>
        <v>#N/A</v>
      </c>
      <c r="AT135" s="61" t="e">
        <f t="shared" ca="1" si="109"/>
        <v>#N/A</v>
      </c>
      <c r="AU135" s="61" t="e">
        <f t="shared" si="92"/>
        <v>#N/A</v>
      </c>
      <c r="AV135" s="61" t="e">
        <f t="shared" si="110"/>
        <v>#N/A</v>
      </c>
      <c r="AW135" s="61" t="e">
        <f t="shared" si="111"/>
        <v>#N/A</v>
      </c>
      <c r="AX135" s="61" t="e">
        <f t="shared" si="112"/>
        <v>#N/A</v>
      </c>
    </row>
    <row r="136" spans="1:50" x14ac:dyDescent="0.3">
      <c r="A136" s="47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80">
        <v>249</v>
      </c>
      <c r="X136" s="73">
        <v>880</v>
      </c>
      <c r="Y136" s="48" t="e">
        <f t="shared" si="87"/>
        <v>#N/A</v>
      </c>
      <c r="Z136" s="61" t="e">
        <f t="shared" si="88"/>
        <v>#N/A</v>
      </c>
      <c r="AA136" s="61" t="e">
        <f t="shared" si="93"/>
        <v>#N/A</v>
      </c>
      <c r="AB136" s="61" t="e">
        <f t="shared" si="89"/>
        <v>#N/A</v>
      </c>
      <c r="AC136" s="61" t="e">
        <f t="shared" si="90"/>
        <v>#N/A</v>
      </c>
      <c r="AD136" s="61" t="e">
        <f t="shared" si="91"/>
        <v>#N/A</v>
      </c>
      <c r="AE136" s="61" t="e">
        <f t="shared" si="94"/>
        <v>#N/A</v>
      </c>
      <c r="AF136" s="61">
        <f t="shared" si="95"/>
        <v>0</v>
      </c>
      <c r="AG136" s="61" t="e">
        <f t="shared" si="96"/>
        <v>#N/A</v>
      </c>
      <c r="AH136" s="61" t="e">
        <f t="shared" si="97"/>
        <v>#N/A</v>
      </c>
      <c r="AI136" s="61" t="e">
        <f t="shared" si="98"/>
        <v>#N/A</v>
      </c>
      <c r="AJ136" s="61" t="e">
        <f t="shared" si="99"/>
        <v>#N/A</v>
      </c>
      <c r="AK136" s="61" t="e">
        <f t="shared" si="100"/>
        <v>#N/A</v>
      </c>
      <c r="AL136" s="61" t="e">
        <f t="shared" si="101"/>
        <v>#N/A</v>
      </c>
      <c r="AM136" s="61" t="e">
        <f t="shared" si="102"/>
        <v>#N/A</v>
      </c>
      <c r="AN136" s="61" t="e">
        <f t="shared" si="103"/>
        <v>#N/A</v>
      </c>
      <c r="AO136" s="61" t="e">
        <f t="shared" si="104"/>
        <v>#N/A</v>
      </c>
      <c r="AP136" s="61" t="e">
        <f t="shared" si="105"/>
        <v>#N/A</v>
      </c>
      <c r="AQ136" s="61" t="e">
        <f t="shared" si="106"/>
        <v>#N/A</v>
      </c>
      <c r="AR136" s="61" t="e">
        <f t="shared" si="107"/>
        <v>#N/A</v>
      </c>
      <c r="AS136" s="61" t="e">
        <f t="shared" ca="1" si="108"/>
        <v>#N/A</v>
      </c>
      <c r="AT136" s="61" t="e">
        <f t="shared" ca="1" si="109"/>
        <v>#N/A</v>
      </c>
      <c r="AU136" s="61" t="e">
        <f t="shared" si="92"/>
        <v>#N/A</v>
      </c>
      <c r="AV136" s="61" t="e">
        <f t="shared" si="110"/>
        <v>#N/A</v>
      </c>
      <c r="AW136" s="61" t="e">
        <f t="shared" si="111"/>
        <v>#N/A</v>
      </c>
      <c r="AX136" s="61" t="e">
        <f t="shared" si="112"/>
        <v>#N/A</v>
      </c>
    </row>
    <row r="137" spans="1:50" x14ac:dyDescent="0.3">
      <c r="A137" s="47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80">
        <v>250</v>
      </c>
      <c r="X137" s="73">
        <v>894</v>
      </c>
      <c r="Y137" s="48" t="e">
        <f t="shared" si="87"/>
        <v>#N/A</v>
      </c>
      <c r="Z137" s="61" t="e">
        <f t="shared" si="88"/>
        <v>#N/A</v>
      </c>
      <c r="AA137" s="61" t="e">
        <f t="shared" si="93"/>
        <v>#N/A</v>
      </c>
      <c r="AB137" s="61" t="e">
        <f t="shared" si="89"/>
        <v>#N/A</v>
      </c>
      <c r="AC137" s="61" t="e">
        <f t="shared" si="90"/>
        <v>#N/A</v>
      </c>
      <c r="AD137" s="61" t="e">
        <f t="shared" si="91"/>
        <v>#N/A</v>
      </c>
      <c r="AE137" s="61" t="e">
        <f t="shared" si="94"/>
        <v>#N/A</v>
      </c>
      <c r="AF137" s="61">
        <f t="shared" si="95"/>
        <v>0</v>
      </c>
      <c r="AG137" s="61" t="e">
        <f t="shared" si="96"/>
        <v>#N/A</v>
      </c>
      <c r="AH137" s="61" t="e">
        <f t="shared" si="97"/>
        <v>#N/A</v>
      </c>
      <c r="AI137" s="61" t="e">
        <f t="shared" si="98"/>
        <v>#N/A</v>
      </c>
      <c r="AJ137" s="61" t="e">
        <f t="shared" si="99"/>
        <v>#N/A</v>
      </c>
      <c r="AK137" s="61" t="e">
        <f t="shared" si="100"/>
        <v>#N/A</v>
      </c>
      <c r="AL137" s="61" t="e">
        <f t="shared" si="101"/>
        <v>#N/A</v>
      </c>
      <c r="AM137" s="61" t="e">
        <f t="shared" si="102"/>
        <v>#N/A</v>
      </c>
      <c r="AN137" s="61" t="e">
        <f t="shared" si="103"/>
        <v>#N/A</v>
      </c>
      <c r="AO137" s="61" t="e">
        <f t="shared" si="104"/>
        <v>#N/A</v>
      </c>
      <c r="AP137" s="61" t="e">
        <f t="shared" si="105"/>
        <v>#N/A</v>
      </c>
      <c r="AQ137" s="61" t="e">
        <f t="shared" si="106"/>
        <v>#N/A</v>
      </c>
      <c r="AR137" s="61" t="e">
        <f t="shared" si="107"/>
        <v>#N/A</v>
      </c>
      <c r="AS137" s="61" t="e">
        <f t="shared" ca="1" si="108"/>
        <v>#N/A</v>
      </c>
      <c r="AT137" s="61" t="e">
        <f t="shared" ca="1" si="109"/>
        <v>#N/A</v>
      </c>
      <c r="AU137" s="61" t="e">
        <f t="shared" si="92"/>
        <v>#N/A</v>
      </c>
      <c r="AV137" s="61" t="e">
        <f t="shared" si="110"/>
        <v>#N/A</v>
      </c>
      <c r="AW137" s="61" t="e">
        <f t="shared" si="111"/>
        <v>#N/A</v>
      </c>
      <c r="AX137" s="61" t="e">
        <f t="shared" si="112"/>
        <v>#N/A</v>
      </c>
    </row>
    <row r="138" spans="1:50" x14ac:dyDescent="0.3">
      <c r="A138" s="47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80">
        <v>251</v>
      </c>
      <c r="X138" s="73">
        <v>908</v>
      </c>
      <c r="Y138" s="48" t="e">
        <f t="shared" si="87"/>
        <v>#N/A</v>
      </c>
      <c r="Z138" s="61" t="e">
        <f t="shared" si="88"/>
        <v>#N/A</v>
      </c>
      <c r="AA138" s="61" t="e">
        <f t="shared" si="93"/>
        <v>#N/A</v>
      </c>
      <c r="AB138" s="61" t="e">
        <f t="shared" si="89"/>
        <v>#N/A</v>
      </c>
      <c r="AC138" s="61" t="e">
        <f t="shared" si="90"/>
        <v>#N/A</v>
      </c>
      <c r="AD138" s="61" t="e">
        <f t="shared" si="91"/>
        <v>#N/A</v>
      </c>
      <c r="AE138" s="61" t="e">
        <f t="shared" si="94"/>
        <v>#N/A</v>
      </c>
      <c r="AF138" s="61">
        <f t="shared" si="95"/>
        <v>0</v>
      </c>
      <c r="AG138" s="61" t="e">
        <f t="shared" si="96"/>
        <v>#N/A</v>
      </c>
      <c r="AH138" s="61" t="e">
        <f t="shared" si="97"/>
        <v>#N/A</v>
      </c>
      <c r="AI138" s="61" t="e">
        <f t="shared" si="98"/>
        <v>#N/A</v>
      </c>
      <c r="AJ138" s="61" t="e">
        <f t="shared" si="99"/>
        <v>#N/A</v>
      </c>
      <c r="AK138" s="61" t="e">
        <f t="shared" si="100"/>
        <v>#N/A</v>
      </c>
      <c r="AL138" s="61" t="e">
        <f t="shared" si="101"/>
        <v>#N/A</v>
      </c>
      <c r="AM138" s="61" t="e">
        <f t="shared" si="102"/>
        <v>#N/A</v>
      </c>
      <c r="AN138" s="61" t="e">
        <f t="shared" si="103"/>
        <v>#N/A</v>
      </c>
      <c r="AO138" s="61" t="e">
        <f t="shared" si="104"/>
        <v>#N/A</v>
      </c>
      <c r="AP138" s="61" t="e">
        <f t="shared" si="105"/>
        <v>#N/A</v>
      </c>
      <c r="AQ138" s="61" t="e">
        <f t="shared" si="106"/>
        <v>#N/A</v>
      </c>
      <c r="AR138" s="61" t="e">
        <f t="shared" si="107"/>
        <v>#N/A</v>
      </c>
      <c r="AS138" s="61" t="e">
        <f t="shared" ca="1" si="108"/>
        <v>#N/A</v>
      </c>
      <c r="AT138" s="61" t="e">
        <f t="shared" ca="1" si="109"/>
        <v>#N/A</v>
      </c>
      <c r="AU138" s="61" t="e">
        <f t="shared" si="92"/>
        <v>#N/A</v>
      </c>
      <c r="AV138" s="61" t="e">
        <f t="shared" si="110"/>
        <v>#N/A</v>
      </c>
      <c r="AW138" s="61" t="e">
        <f t="shared" si="111"/>
        <v>#N/A</v>
      </c>
      <c r="AX138" s="61" t="e">
        <f t="shared" si="112"/>
        <v>#N/A</v>
      </c>
    </row>
    <row r="139" spans="1:50" x14ac:dyDescent="0.3">
      <c r="A139" s="47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80">
        <v>252</v>
      </c>
      <c r="X139" s="73">
        <v>922</v>
      </c>
      <c r="Y139" s="48" t="e">
        <f t="shared" si="87"/>
        <v>#N/A</v>
      </c>
      <c r="Z139" s="61" t="e">
        <f t="shared" si="88"/>
        <v>#N/A</v>
      </c>
      <c r="AA139" s="61" t="e">
        <f t="shared" si="93"/>
        <v>#N/A</v>
      </c>
      <c r="AB139" s="61" t="e">
        <f t="shared" si="89"/>
        <v>#N/A</v>
      </c>
      <c r="AC139" s="61" t="e">
        <f t="shared" si="90"/>
        <v>#N/A</v>
      </c>
      <c r="AD139" s="61" t="e">
        <f t="shared" si="91"/>
        <v>#N/A</v>
      </c>
      <c r="AE139" s="61" t="e">
        <f t="shared" si="94"/>
        <v>#N/A</v>
      </c>
      <c r="AF139" s="61">
        <f t="shared" si="95"/>
        <v>0</v>
      </c>
      <c r="AG139" s="61" t="e">
        <f t="shared" si="96"/>
        <v>#N/A</v>
      </c>
      <c r="AH139" s="61" t="e">
        <f t="shared" si="97"/>
        <v>#N/A</v>
      </c>
      <c r="AI139" s="61" t="e">
        <f t="shared" si="98"/>
        <v>#N/A</v>
      </c>
      <c r="AJ139" s="61" t="e">
        <f t="shared" si="99"/>
        <v>#N/A</v>
      </c>
      <c r="AK139" s="61" t="e">
        <f t="shared" si="100"/>
        <v>#N/A</v>
      </c>
      <c r="AL139" s="61" t="e">
        <f t="shared" si="101"/>
        <v>#N/A</v>
      </c>
      <c r="AM139" s="61" t="e">
        <f t="shared" si="102"/>
        <v>#N/A</v>
      </c>
      <c r="AN139" s="61" t="e">
        <f t="shared" si="103"/>
        <v>#N/A</v>
      </c>
      <c r="AO139" s="61" t="e">
        <f t="shared" si="104"/>
        <v>#N/A</v>
      </c>
      <c r="AP139" s="61" t="e">
        <f t="shared" si="105"/>
        <v>#N/A</v>
      </c>
      <c r="AQ139" s="61" t="e">
        <f t="shared" si="106"/>
        <v>#N/A</v>
      </c>
      <c r="AR139" s="61" t="e">
        <f t="shared" si="107"/>
        <v>#N/A</v>
      </c>
      <c r="AS139" s="61" t="e">
        <f t="shared" ca="1" si="108"/>
        <v>#N/A</v>
      </c>
      <c r="AT139" s="61" t="e">
        <f t="shared" ca="1" si="109"/>
        <v>#N/A</v>
      </c>
      <c r="AU139" s="61" t="e">
        <f t="shared" si="92"/>
        <v>#N/A</v>
      </c>
      <c r="AV139" s="61" t="e">
        <f t="shared" si="110"/>
        <v>#N/A</v>
      </c>
      <c r="AW139" s="61" t="e">
        <f t="shared" si="111"/>
        <v>#N/A</v>
      </c>
      <c r="AX139" s="61" t="e">
        <f t="shared" si="112"/>
        <v>#N/A</v>
      </c>
    </row>
    <row r="140" spans="1:50" x14ac:dyDescent="0.3">
      <c r="A140" s="47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80">
        <v>253</v>
      </c>
      <c r="X140" s="73">
        <v>936</v>
      </c>
      <c r="Y140" s="48" t="e">
        <f t="shared" si="87"/>
        <v>#N/A</v>
      </c>
      <c r="Z140" s="61" t="e">
        <f t="shared" si="88"/>
        <v>#N/A</v>
      </c>
      <c r="AA140" s="61" t="e">
        <f t="shared" si="93"/>
        <v>#N/A</v>
      </c>
      <c r="AB140" s="61" t="e">
        <f t="shared" si="89"/>
        <v>#N/A</v>
      </c>
      <c r="AC140" s="61" t="e">
        <f t="shared" si="90"/>
        <v>#N/A</v>
      </c>
      <c r="AD140" s="61" t="e">
        <f t="shared" si="91"/>
        <v>#N/A</v>
      </c>
      <c r="AE140" s="61" t="e">
        <f t="shared" si="94"/>
        <v>#N/A</v>
      </c>
      <c r="AF140" s="61">
        <f t="shared" si="95"/>
        <v>0</v>
      </c>
      <c r="AG140" s="61" t="e">
        <f t="shared" si="96"/>
        <v>#N/A</v>
      </c>
      <c r="AH140" s="61" t="e">
        <f t="shared" si="97"/>
        <v>#N/A</v>
      </c>
      <c r="AI140" s="61" t="e">
        <f t="shared" si="98"/>
        <v>#N/A</v>
      </c>
      <c r="AJ140" s="61" t="e">
        <f t="shared" si="99"/>
        <v>#N/A</v>
      </c>
      <c r="AK140" s="61" t="e">
        <f t="shared" si="100"/>
        <v>#N/A</v>
      </c>
      <c r="AL140" s="61" t="e">
        <f t="shared" si="101"/>
        <v>#N/A</v>
      </c>
      <c r="AM140" s="61" t="e">
        <f t="shared" si="102"/>
        <v>#N/A</v>
      </c>
      <c r="AN140" s="61" t="e">
        <f t="shared" si="103"/>
        <v>#N/A</v>
      </c>
      <c r="AO140" s="61" t="e">
        <f t="shared" si="104"/>
        <v>#N/A</v>
      </c>
      <c r="AP140" s="61" t="e">
        <f t="shared" si="105"/>
        <v>#N/A</v>
      </c>
      <c r="AQ140" s="61" t="e">
        <f t="shared" si="106"/>
        <v>#N/A</v>
      </c>
      <c r="AR140" s="61" t="e">
        <f t="shared" si="107"/>
        <v>#N/A</v>
      </c>
      <c r="AS140" s="61" t="e">
        <f t="shared" ca="1" si="108"/>
        <v>#N/A</v>
      </c>
      <c r="AT140" s="61" t="e">
        <f t="shared" ca="1" si="109"/>
        <v>#N/A</v>
      </c>
      <c r="AU140" s="61" t="e">
        <f t="shared" si="92"/>
        <v>#N/A</v>
      </c>
      <c r="AV140" s="61" t="e">
        <f t="shared" si="110"/>
        <v>#N/A</v>
      </c>
      <c r="AW140" s="61" t="e">
        <f t="shared" si="111"/>
        <v>#N/A</v>
      </c>
      <c r="AX140" s="61" t="e">
        <f t="shared" si="112"/>
        <v>#N/A</v>
      </c>
    </row>
    <row r="141" spans="1:50" x14ac:dyDescent="0.3">
      <c r="A141" s="47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80">
        <v>254</v>
      </c>
      <c r="X141" s="73">
        <v>950</v>
      </c>
      <c r="Y141" s="48" t="e">
        <f t="shared" si="87"/>
        <v>#N/A</v>
      </c>
      <c r="Z141" s="61" t="e">
        <f t="shared" si="88"/>
        <v>#N/A</v>
      </c>
      <c r="AA141" s="61" t="e">
        <f t="shared" si="93"/>
        <v>#N/A</v>
      </c>
      <c r="AB141" s="61" t="e">
        <f t="shared" si="89"/>
        <v>#N/A</v>
      </c>
      <c r="AC141" s="61" t="e">
        <f t="shared" si="90"/>
        <v>#N/A</v>
      </c>
      <c r="AD141" s="61" t="e">
        <f t="shared" si="91"/>
        <v>#N/A</v>
      </c>
      <c r="AE141" s="61" t="e">
        <f t="shared" si="94"/>
        <v>#N/A</v>
      </c>
      <c r="AF141" s="61">
        <f t="shared" si="95"/>
        <v>0</v>
      </c>
      <c r="AG141" s="61" t="e">
        <f t="shared" si="96"/>
        <v>#N/A</v>
      </c>
      <c r="AH141" s="61" t="e">
        <f t="shared" si="97"/>
        <v>#N/A</v>
      </c>
      <c r="AI141" s="61" t="e">
        <f t="shared" si="98"/>
        <v>#N/A</v>
      </c>
      <c r="AJ141" s="61" t="e">
        <f t="shared" si="99"/>
        <v>#N/A</v>
      </c>
      <c r="AK141" s="61" t="e">
        <f t="shared" si="100"/>
        <v>#N/A</v>
      </c>
      <c r="AL141" s="61" t="e">
        <f t="shared" si="101"/>
        <v>#N/A</v>
      </c>
      <c r="AM141" s="61" t="e">
        <f t="shared" si="102"/>
        <v>#N/A</v>
      </c>
      <c r="AN141" s="61" t="e">
        <f t="shared" si="103"/>
        <v>#N/A</v>
      </c>
      <c r="AO141" s="61" t="e">
        <f t="shared" si="104"/>
        <v>#N/A</v>
      </c>
      <c r="AP141" s="61" t="e">
        <f t="shared" si="105"/>
        <v>#N/A</v>
      </c>
      <c r="AQ141" s="61" t="e">
        <f t="shared" si="106"/>
        <v>#N/A</v>
      </c>
      <c r="AR141" s="61" t="e">
        <f t="shared" si="107"/>
        <v>#N/A</v>
      </c>
      <c r="AS141" s="61" t="e">
        <f t="shared" ca="1" si="108"/>
        <v>#N/A</v>
      </c>
      <c r="AT141" s="61" t="e">
        <f t="shared" ca="1" si="109"/>
        <v>#N/A</v>
      </c>
      <c r="AU141" s="61" t="e">
        <f t="shared" si="92"/>
        <v>#N/A</v>
      </c>
      <c r="AV141" s="61" t="e">
        <f t="shared" si="110"/>
        <v>#N/A</v>
      </c>
      <c r="AW141" s="61" t="e">
        <f t="shared" si="111"/>
        <v>#N/A</v>
      </c>
      <c r="AX141" s="61" t="e">
        <f t="shared" si="112"/>
        <v>#N/A</v>
      </c>
    </row>
    <row r="142" spans="1:50" x14ac:dyDescent="0.3">
      <c r="A142" s="47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80">
        <v>255</v>
      </c>
      <c r="X142" s="73">
        <v>964</v>
      </c>
      <c r="Y142" s="48" t="e">
        <f t="shared" si="87"/>
        <v>#N/A</v>
      </c>
      <c r="Z142" s="61" t="e">
        <f t="shared" si="88"/>
        <v>#N/A</v>
      </c>
      <c r="AA142" s="61" t="e">
        <f t="shared" si="93"/>
        <v>#N/A</v>
      </c>
      <c r="AB142" s="61" t="e">
        <f t="shared" si="89"/>
        <v>#N/A</v>
      </c>
      <c r="AC142" s="61" t="e">
        <f t="shared" si="90"/>
        <v>#N/A</v>
      </c>
      <c r="AD142" s="61" t="e">
        <f t="shared" si="91"/>
        <v>#N/A</v>
      </c>
      <c r="AE142" s="61" t="e">
        <f t="shared" si="94"/>
        <v>#N/A</v>
      </c>
      <c r="AF142" s="61">
        <f t="shared" si="95"/>
        <v>0</v>
      </c>
      <c r="AG142" s="61" t="e">
        <f t="shared" si="96"/>
        <v>#N/A</v>
      </c>
      <c r="AH142" s="61" t="e">
        <f t="shared" si="97"/>
        <v>#N/A</v>
      </c>
      <c r="AI142" s="61" t="e">
        <f t="shared" si="98"/>
        <v>#N/A</v>
      </c>
      <c r="AJ142" s="61" t="e">
        <f t="shared" si="99"/>
        <v>#N/A</v>
      </c>
      <c r="AK142" s="61" t="e">
        <f t="shared" si="100"/>
        <v>#N/A</v>
      </c>
      <c r="AL142" s="61" t="e">
        <f t="shared" si="101"/>
        <v>#N/A</v>
      </c>
      <c r="AM142" s="61" t="e">
        <f t="shared" si="102"/>
        <v>#N/A</v>
      </c>
      <c r="AN142" s="61" t="e">
        <f t="shared" si="103"/>
        <v>#N/A</v>
      </c>
      <c r="AO142" s="61" t="e">
        <f t="shared" si="104"/>
        <v>#N/A</v>
      </c>
      <c r="AP142" s="61" t="e">
        <f t="shared" si="105"/>
        <v>#N/A</v>
      </c>
      <c r="AQ142" s="61" t="e">
        <f t="shared" si="106"/>
        <v>#N/A</v>
      </c>
      <c r="AR142" s="61" t="e">
        <f t="shared" si="107"/>
        <v>#N/A</v>
      </c>
      <c r="AS142" s="61" t="e">
        <f t="shared" ca="1" si="108"/>
        <v>#N/A</v>
      </c>
      <c r="AT142" s="61" t="e">
        <f t="shared" ca="1" si="109"/>
        <v>#N/A</v>
      </c>
      <c r="AU142" s="61" t="e">
        <f t="shared" si="92"/>
        <v>#N/A</v>
      </c>
      <c r="AV142" s="61" t="e">
        <f t="shared" si="110"/>
        <v>#N/A</v>
      </c>
      <c r="AW142" s="61" t="e">
        <f t="shared" si="111"/>
        <v>#N/A</v>
      </c>
      <c r="AX142" s="61" t="e">
        <f t="shared" si="112"/>
        <v>#N/A</v>
      </c>
    </row>
    <row r="143" spans="1:50" x14ac:dyDescent="0.3">
      <c r="A143" s="47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80">
        <v>256</v>
      </c>
      <c r="X143" s="73">
        <v>978</v>
      </c>
      <c r="Y143" s="48" t="e">
        <f t="shared" si="87"/>
        <v>#N/A</v>
      </c>
      <c r="Z143" s="61" t="e">
        <f t="shared" si="88"/>
        <v>#N/A</v>
      </c>
      <c r="AA143" s="61" t="e">
        <f t="shared" si="93"/>
        <v>#N/A</v>
      </c>
      <c r="AB143" s="61" t="e">
        <f t="shared" si="89"/>
        <v>#N/A</v>
      </c>
      <c r="AC143" s="61" t="e">
        <f t="shared" si="90"/>
        <v>#N/A</v>
      </c>
      <c r="AD143" s="61" t="e">
        <f t="shared" si="91"/>
        <v>#N/A</v>
      </c>
      <c r="AE143" s="61" t="e">
        <f t="shared" si="94"/>
        <v>#N/A</v>
      </c>
      <c r="AF143" s="61">
        <f t="shared" si="95"/>
        <v>0</v>
      </c>
      <c r="AG143" s="61" t="e">
        <f t="shared" si="96"/>
        <v>#N/A</v>
      </c>
      <c r="AH143" s="61" t="e">
        <f t="shared" si="97"/>
        <v>#N/A</v>
      </c>
      <c r="AI143" s="61" t="e">
        <f t="shared" si="98"/>
        <v>#N/A</v>
      </c>
      <c r="AJ143" s="61" t="e">
        <f t="shared" si="99"/>
        <v>#N/A</v>
      </c>
      <c r="AK143" s="61" t="e">
        <f t="shared" si="100"/>
        <v>#N/A</v>
      </c>
      <c r="AL143" s="61" t="e">
        <f t="shared" si="101"/>
        <v>#N/A</v>
      </c>
      <c r="AM143" s="61" t="e">
        <f t="shared" si="102"/>
        <v>#N/A</v>
      </c>
      <c r="AN143" s="61" t="e">
        <f t="shared" si="103"/>
        <v>#N/A</v>
      </c>
      <c r="AO143" s="61" t="e">
        <f t="shared" si="104"/>
        <v>#N/A</v>
      </c>
      <c r="AP143" s="61" t="e">
        <f t="shared" si="105"/>
        <v>#N/A</v>
      </c>
      <c r="AQ143" s="61" t="e">
        <f t="shared" si="106"/>
        <v>#N/A</v>
      </c>
      <c r="AR143" s="61" t="e">
        <f t="shared" si="107"/>
        <v>#N/A</v>
      </c>
      <c r="AS143" s="61" t="e">
        <f t="shared" ca="1" si="108"/>
        <v>#N/A</v>
      </c>
      <c r="AT143" s="61" t="e">
        <f t="shared" ca="1" si="109"/>
        <v>#N/A</v>
      </c>
      <c r="AU143" s="61" t="e">
        <f t="shared" si="92"/>
        <v>#N/A</v>
      </c>
      <c r="AV143" s="61" t="e">
        <f t="shared" si="110"/>
        <v>#N/A</v>
      </c>
      <c r="AW143" s="61" t="e">
        <f t="shared" si="111"/>
        <v>#N/A</v>
      </c>
      <c r="AX143" s="61" t="e">
        <f t="shared" si="112"/>
        <v>#N/A</v>
      </c>
    </row>
    <row r="144" spans="1:50" x14ac:dyDescent="0.3">
      <c r="A144" s="47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80">
        <v>257</v>
      </c>
      <c r="X144" s="73">
        <v>992</v>
      </c>
      <c r="Y144" s="48" t="e">
        <f t="shared" si="87"/>
        <v>#N/A</v>
      </c>
      <c r="Z144" s="61" t="e">
        <f t="shared" si="88"/>
        <v>#N/A</v>
      </c>
      <c r="AA144" s="61" t="e">
        <f t="shared" si="93"/>
        <v>#N/A</v>
      </c>
      <c r="AB144" s="61" t="e">
        <f t="shared" si="89"/>
        <v>#N/A</v>
      </c>
      <c r="AC144" s="61" t="e">
        <f t="shared" si="90"/>
        <v>#N/A</v>
      </c>
      <c r="AD144" s="61" t="e">
        <f t="shared" si="91"/>
        <v>#N/A</v>
      </c>
      <c r="AE144" s="61" t="e">
        <f t="shared" si="94"/>
        <v>#N/A</v>
      </c>
      <c r="AF144" s="61">
        <f t="shared" si="95"/>
        <v>0</v>
      </c>
      <c r="AG144" s="61" t="e">
        <f t="shared" si="96"/>
        <v>#N/A</v>
      </c>
      <c r="AH144" s="61" t="e">
        <f t="shared" si="97"/>
        <v>#N/A</v>
      </c>
      <c r="AI144" s="61" t="e">
        <f t="shared" si="98"/>
        <v>#N/A</v>
      </c>
      <c r="AJ144" s="61" t="e">
        <f t="shared" si="99"/>
        <v>#N/A</v>
      </c>
      <c r="AK144" s="61" t="e">
        <f t="shared" si="100"/>
        <v>#N/A</v>
      </c>
      <c r="AL144" s="61" t="e">
        <f t="shared" si="101"/>
        <v>#N/A</v>
      </c>
      <c r="AM144" s="61" t="e">
        <f t="shared" si="102"/>
        <v>#N/A</v>
      </c>
      <c r="AN144" s="61" t="e">
        <f t="shared" si="103"/>
        <v>#N/A</v>
      </c>
      <c r="AO144" s="61" t="e">
        <f t="shared" si="104"/>
        <v>#N/A</v>
      </c>
      <c r="AP144" s="61" t="e">
        <f t="shared" si="105"/>
        <v>#N/A</v>
      </c>
      <c r="AQ144" s="61" t="e">
        <f t="shared" si="106"/>
        <v>#N/A</v>
      </c>
      <c r="AR144" s="61" t="e">
        <f t="shared" si="107"/>
        <v>#N/A</v>
      </c>
      <c r="AS144" s="61" t="e">
        <f t="shared" ca="1" si="108"/>
        <v>#N/A</v>
      </c>
      <c r="AT144" s="61" t="e">
        <f t="shared" ca="1" si="109"/>
        <v>#N/A</v>
      </c>
      <c r="AU144" s="61" t="e">
        <f t="shared" si="92"/>
        <v>#N/A</v>
      </c>
      <c r="AV144" s="61" t="e">
        <f t="shared" si="110"/>
        <v>#N/A</v>
      </c>
      <c r="AW144" s="61" t="e">
        <f t="shared" si="111"/>
        <v>#N/A</v>
      </c>
      <c r="AX144" s="61" t="e">
        <f t="shared" si="112"/>
        <v>#N/A</v>
      </c>
    </row>
    <row r="145" spans="1:50" x14ac:dyDescent="0.3">
      <c r="A145" s="47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80">
        <v>258</v>
      </c>
      <c r="X145" s="73">
        <v>1006</v>
      </c>
      <c r="Y145" s="48" t="e">
        <f t="shared" si="87"/>
        <v>#N/A</v>
      </c>
      <c r="Z145" s="61" t="e">
        <f t="shared" si="88"/>
        <v>#N/A</v>
      </c>
      <c r="AA145" s="61" t="e">
        <f t="shared" si="93"/>
        <v>#N/A</v>
      </c>
      <c r="AB145" s="61" t="e">
        <f t="shared" si="89"/>
        <v>#N/A</v>
      </c>
      <c r="AC145" s="61" t="e">
        <f t="shared" si="90"/>
        <v>#N/A</v>
      </c>
      <c r="AD145" s="61" t="e">
        <f t="shared" si="91"/>
        <v>#N/A</v>
      </c>
      <c r="AE145" s="61" t="e">
        <f t="shared" si="94"/>
        <v>#N/A</v>
      </c>
      <c r="AF145" s="61">
        <f t="shared" si="95"/>
        <v>0</v>
      </c>
      <c r="AG145" s="61" t="e">
        <f t="shared" si="96"/>
        <v>#N/A</v>
      </c>
      <c r="AH145" s="61" t="e">
        <f t="shared" si="97"/>
        <v>#N/A</v>
      </c>
      <c r="AI145" s="61" t="e">
        <f t="shared" si="98"/>
        <v>#N/A</v>
      </c>
      <c r="AJ145" s="61" t="e">
        <f t="shared" si="99"/>
        <v>#N/A</v>
      </c>
      <c r="AK145" s="61" t="e">
        <f t="shared" si="100"/>
        <v>#N/A</v>
      </c>
      <c r="AL145" s="61" t="e">
        <f t="shared" si="101"/>
        <v>#N/A</v>
      </c>
      <c r="AM145" s="61" t="e">
        <f t="shared" si="102"/>
        <v>#N/A</v>
      </c>
      <c r="AN145" s="61" t="e">
        <f t="shared" si="103"/>
        <v>#N/A</v>
      </c>
      <c r="AO145" s="61" t="e">
        <f t="shared" si="104"/>
        <v>#N/A</v>
      </c>
      <c r="AP145" s="61" t="e">
        <f t="shared" si="105"/>
        <v>#N/A</v>
      </c>
      <c r="AQ145" s="61" t="e">
        <f t="shared" si="106"/>
        <v>#N/A</v>
      </c>
      <c r="AR145" s="61" t="e">
        <f t="shared" si="107"/>
        <v>#N/A</v>
      </c>
      <c r="AS145" s="61" t="e">
        <f t="shared" ca="1" si="108"/>
        <v>#N/A</v>
      </c>
      <c r="AT145" s="61" t="e">
        <f t="shared" ca="1" si="109"/>
        <v>#N/A</v>
      </c>
      <c r="AU145" s="61" t="e">
        <f t="shared" si="92"/>
        <v>#N/A</v>
      </c>
      <c r="AV145" s="61" t="e">
        <f t="shared" si="110"/>
        <v>#N/A</v>
      </c>
      <c r="AW145" s="61" t="e">
        <f t="shared" si="111"/>
        <v>#N/A</v>
      </c>
      <c r="AX145" s="61" t="e">
        <f t="shared" si="112"/>
        <v>#N/A</v>
      </c>
    </row>
    <row r="146" spans="1:50" x14ac:dyDescent="0.3">
      <c r="A146" s="47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80">
        <v>259</v>
      </c>
      <c r="X146" s="73">
        <v>1020</v>
      </c>
      <c r="Y146" s="48" t="e">
        <f t="shared" si="87"/>
        <v>#N/A</v>
      </c>
      <c r="Z146" s="61" t="e">
        <f t="shared" si="88"/>
        <v>#N/A</v>
      </c>
      <c r="AA146" s="61" t="e">
        <f t="shared" si="93"/>
        <v>#N/A</v>
      </c>
      <c r="AB146" s="61" t="e">
        <f t="shared" si="89"/>
        <v>#N/A</v>
      </c>
      <c r="AC146" s="61" t="e">
        <f t="shared" si="90"/>
        <v>#N/A</v>
      </c>
      <c r="AD146" s="61" t="e">
        <f t="shared" si="91"/>
        <v>#N/A</v>
      </c>
      <c r="AE146" s="61" t="e">
        <f t="shared" si="94"/>
        <v>#N/A</v>
      </c>
      <c r="AF146" s="61">
        <f t="shared" si="95"/>
        <v>0</v>
      </c>
      <c r="AG146" s="61" t="e">
        <f t="shared" si="96"/>
        <v>#N/A</v>
      </c>
      <c r="AH146" s="61" t="e">
        <f t="shared" si="97"/>
        <v>#N/A</v>
      </c>
      <c r="AI146" s="61" t="e">
        <f t="shared" si="98"/>
        <v>#N/A</v>
      </c>
      <c r="AJ146" s="61" t="e">
        <f t="shared" si="99"/>
        <v>#N/A</v>
      </c>
      <c r="AK146" s="61" t="e">
        <f t="shared" si="100"/>
        <v>#N/A</v>
      </c>
      <c r="AL146" s="61" t="e">
        <f t="shared" si="101"/>
        <v>#N/A</v>
      </c>
      <c r="AM146" s="61" t="e">
        <f t="shared" si="102"/>
        <v>#N/A</v>
      </c>
      <c r="AN146" s="61" t="e">
        <f t="shared" si="103"/>
        <v>#N/A</v>
      </c>
      <c r="AO146" s="61" t="e">
        <f t="shared" si="104"/>
        <v>#N/A</v>
      </c>
      <c r="AP146" s="61" t="e">
        <f t="shared" si="105"/>
        <v>#N/A</v>
      </c>
      <c r="AQ146" s="61" t="e">
        <f t="shared" si="106"/>
        <v>#N/A</v>
      </c>
      <c r="AR146" s="61" t="e">
        <f t="shared" si="107"/>
        <v>#N/A</v>
      </c>
      <c r="AS146" s="61" t="e">
        <f t="shared" ca="1" si="108"/>
        <v>#N/A</v>
      </c>
      <c r="AT146" s="61" t="e">
        <f t="shared" ca="1" si="109"/>
        <v>#N/A</v>
      </c>
      <c r="AU146" s="61" t="e">
        <f t="shared" si="92"/>
        <v>#N/A</v>
      </c>
      <c r="AV146" s="61" t="e">
        <f t="shared" si="110"/>
        <v>#N/A</v>
      </c>
      <c r="AW146" s="61" t="e">
        <f t="shared" si="111"/>
        <v>#N/A</v>
      </c>
      <c r="AX146" s="61" t="e">
        <f t="shared" si="112"/>
        <v>#N/A</v>
      </c>
    </row>
    <row r="147" spans="1:50" x14ac:dyDescent="0.3">
      <c r="A147" s="47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80">
        <v>260</v>
      </c>
      <c r="X147" s="73">
        <v>1035</v>
      </c>
      <c r="Y147" s="48" t="e">
        <f t="shared" si="87"/>
        <v>#N/A</v>
      </c>
      <c r="Z147" s="61" t="e">
        <f t="shared" si="88"/>
        <v>#N/A</v>
      </c>
      <c r="AA147" s="61" t="e">
        <f t="shared" si="93"/>
        <v>#N/A</v>
      </c>
      <c r="AB147" s="61" t="e">
        <f t="shared" si="89"/>
        <v>#N/A</v>
      </c>
      <c r="AC147" s="61" t="e">
        <f t="shared" si="90"/>
        <v>#N/A</v>
      </c>
      <c r="AD147" s="61" t="e">
        <f t="shared" si="91"/>
        <v>#N/A</v>
      </c>
      <c r="AE147" s="61" t="e">
        <f t="shared" si="94"/>
        <v>#N/A</v>
      </c>
      <c r="AF147" s="61">
        <f t="shared" si="95"/>
        <v>0</v>
      </c>
      <c r="AG147" s="61" t="e">
        <f t="shared" si="96"/>
        <v>#N/A</v>
      </c>
      <c r="AH147" s="61" t="e">
        <f t="shared" si="97"/>
        <v>#N/A</v>
      </c>
      <c r="AI147" s="61" t="e">
        <f t="shared" si="98"/>
        <v>#N/A</v>
      </c>
      <c r="AJ147" s="61" t="e">
        <f t="shared" si="99"/>
        <v>#N/A</v>
      </c>
      <c r="AK147" s="61" t="e">
        <f t="shared" si="100"/>
        <v>#N/A</v>
      </c>
      <c r="AL147" s="61" t="e">
        <f t="shared" si="101"/>
        <v>#N/A</v>
      </c>
      <c r="AM147" s="61" t="e">
        <f t="shared" si="102"/>
        <v>#N/A</v>
      </c>
      <c r="AN147" s="61" t="e">
        <f t="shared" si="103"/>
        <v>#N/A</v>
      </c>
      <c r="AO147" s="61" t="e">
        <f t="shared" si="104"/>
        <v>#N/A</v>
      </c>
      <c r="AP147" s="61" t="e">
        <f t="shared" si="105"/>
        <v>#N/A</v>
      </c>
      <c r="AQ147" s="61" t="e">
        <f t="shared" si="106"/>
        <v>#N/A</v>
      </c>
      <c r="AR147" s="61" t="e">
        <f t="shared" si="107"/>
        <v>#N/A</v>
      </c>
      <c r="AS147" s="61" t="e">
        <f t="shared" ca="1" si="108"/>
        <v>#N/A</v>
      </c>
      <c r="AT147" s="61" t="e">
        <f t="shared" ca="1" si="109"/>
        <v>#N/A</v>
      </c>
      <c r="AU147" s="61" t="e">
        <f t="shared" si="92"/>
        <v>#N/A</v>
      </c>
      <c r="AV147" s="61" t="e">
        <f t="shared" si="110"/>
        <v>#N/A</v>
      </c>
      <c r="AW147" s="61" t="e">
        <f t="shared" si="111"/>
        <v>#N/A</v>
      </c>
      <c r="AX147" s="61" t="e">
        <f t="shared" si="112"/>
        <v>#N/A</v>
      </c>
    </row>
    <row r="148" spans="1:50" x14ac:dyDescent="0.3">
      <c r="A148" s="47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80">
        <v>261</v>
      </c>
      <c r="X148" s="73">
        <v>1050</v>
      </c>
      <c r="Y148" s="48" t="e">
        <f t="shared" si="87"/>
        <v>#N/A</v>
      </c>
      <c r="Z148" s="61" t="e">
        <f t="shared" si="88"/>
        <v>#N/A</v>
      </c>
      <c r="AA148" s="61" t="e">
        <f t="shared" si="93"/>
        <v>#N/A</v>
      </c>
      <c r="AB148" s="61" t="e">
        <f t="shared" si="89"/>
        <v>#N/A</v>
      </c>
      <c r="AC148" s="61" t="e">
        <f t="shared" si="90"/>
        <v>#N/A</v>
      </c>
      <c r="AD148" s="61" t="e">
        <f t="shared" si="91"/>
        <v>#N/A</v>
      </c>
      <c r="AE148" s="61" t="e">
        <f t="shared" si="94"/>
        <v>#N/A</v>
      </c>
      <c r="AF148" s="61">
        <f t="shared" si="95"/>
        <v>0</v>
      </c>
      <c r="AG148" s="61" t="e">
        <f t="shared" si="96"/>
        <v>#N/A</v>
      </c>
      <c r="AH148" s="61" t="e">
        <f t="shared" si="97"/>
        <v>#N/A</v>
      </c>
      <c r="AI148" s="61" t="e">
        <f t="shared" si="98"/>
        <v>#N/A</v>
      </c>
      <c r="AJ148" s="61" t="e">
        <f t="shared" si="99"/>
        <v>#N/A</v>
      </c>
      <c r="AK148" s="61" t="e">
        <f t="shared" si="100"/>
        <v>#N/A</v>
      </c>
      <c r="AL148" s="61" t="e">
        <f t="shared" si="101"/>
        <v>#N/A</v>
      </c>
      <c r="AM148" s="61" t="e">
        <f t="shared" si="102"/>
        <v>#N/A</v>
      </c>
      <c r="AN148" s="61" t="e">
        <f t="shared" si="103"/>
        <v>#N/A</v>
      </c>
      <c r="AO148" s="61" t="e">
        <f t="shared" si="104"/>
        <v>#N/A</v>
      </c>
      <c r="AP148" s="61" t="e">
        <f t="shared" si="105"/>
        <v>#N/A</v>
      </c>
      <c r="AQ148" s="61" t="e">
        <f t="shared" si="106"/>
        <v>#N/A</v>
      </c>
      <c r="AR148" s="61" t="e">
        <f t="shared" si="107"/>
        <v>#N/A</v>
      </c>
      <c r="AS148" s="61" t="e">
        <f t="shared" ca="1" si="108"/>
        <v>#N/A</v>
      </c>
      <c r="AT148" s="61" t="e">
        <f t="shared" ca="1" si="109"/>
        <v>#N/A</v>
      </c>
      <c r="AU148" s="61" t="e">
        <f t="shared" si="92"/>
        <v>#N/A</v>
      </c>
      <c r="AV148" s="61" t="e">
        <f t="shared" si="110"/>
        <v>#N/A</v>
      </c>
      <c r="AW148" s="61" t="e">
        <f t="shared" si="111"/>
        <v>#N/A</v>
      </c>
      <c r="AX148" s="61" t="e">
        <f t="shared" si="112"/>
        <v>#N/A</v>
      </c>
    </row>
    <row r="149" spans="1:50" x14ac:dyDescent="0.3">
      <c r="A149" s="47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80">
        <v>262</v>
      </c>
      <c r="X149" s="73">
        <v>1065</v>
      </c>
      <c r="Y149" s="48" t="e">
        <f t="shared" si="87"/>
        <v>#N/A</v>
      </c>
      <c r="Z149" s="61" t="e">
        <f t="shared" si="88"/>
        <v>#N/A</v>
      </c>
      <c r="AA149" s="61" t="e">
        <f t="shared" si="93"/>
        <v>#N/A</v>
      </c>
      <c r="AB149" s="61" t="e">
        <f t="shared" si="89"/>
        <v>#N/A</v>
      </c>
      <c r="AC149" s="61" t="e">
        <f t="shared" si="90"/>
        <v>#N/A</v>
      </c>
      <c r="AD149" s="61" t="e">
        <f t="shared" si="91"/>
        <v>#N/A</v>
      </c>
      <c r="AE149" s="61" t="e">
        <f t="shared" si="94"/>
        <v>#N/A</v>
      </c>
      <c r="AF149" s="61">
        <f t="shared" si="95"/>
        <v>0</v>
      </c>
      <c r="AG149" s="61" t="e">
        <f t="shared" si="96"/>
        <v>#N/A</v>
      </c>
      <c r="AH149" s="61" t="e">
        <f t="shared" si="97"/>
        <v>#N/A</v>
      </c>
      <c r="AI149" s="61" t="e">
        <f t="shared" si="98"/>
        <v>#N/A</v>
      </c>
      <c r="AJ149" s="61" t="e">
        <f t="shared" si="99"/>
        <v>#N/A</v>
      </c>
      <c r="AK149" s="61" t="e">
        <f t="shared" si="100"/>
        <v>#N/A</v>
      </c>
      <c r="AL149" s="61" t="e">
        <f t="shared" si="101"/>
        <v>#N/A</v>
      </c>
      <c r="AM149" s="61" t="e">
        <f t="shared" si="102"/>
        <v>#N/A</v>
      </c>
      <c r="AN149" s="61" t="e">
        <f t="shared" si="103"/>
        <v>#N/A</v>
      </c>
      <c r="AO149" s="61" t="e">
        <f t="shared" si="104"/>
        <v>#N/A</v>
      </c>
      <c r="AP149" s="61" t="e">
        <f t="shared" si="105"/>
        <v>#N/A</v>
      </c>
      <c r="AQ149" s="61" t="e">
        <f t="shared" si="106"/>
        <v>#N/A</v>
      </c>
      <c r="AR149" s="61" t="e">
        <f t="shared" si="107"/>
        <v>#N/A</v>
      </c>
      <c r="AS149" s="61" t="e">
        <f t="shared" ca="1" si="108"/>
        <v>#N/A</v>
      </c>
      <c r="AT149" s="61" t="e">
        <f t="shared" ca="1" si="109"/>
        <v>#N/A</v>
      </c>
      <c r="AU149" s="61" t="e">
        <f t="shared" si="92"/>
        <v>#N/A</v>
      </c>
      <c r="AV149" s="61" t="e">
        <f t="shared" si="110"/>
        <v>#N/A</v>
      </c>
      <c r="AW149" s="61" t="e">
        <f t="shared" si="111"/>
        <v>#N/A</v>
      </c>
      <c r="AX149" s="61" t="e">
        <f t="shared" si="112"/>
        <v>#N/A</v>
      </c>
    </row>
    <row r="150" spans="1:50" x14ac:dyDescent="0.3">
      <c r="A150" s="47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80">
        <v>263</v>
      </c>
      <c r="X150" s="73">
        <v>1080</v>
      </c>
      <c r="Y150" s="48" t="e">
        <f t="shared" si="87"/>
        <v>#N/A</v>
      </c>
      <c r="Z150" s="61" t="e">
        <f t="shared" si="88"/>
        <v>#N/A</v>
      </c>
      <c r="AA150" s="61" t="e">
        <f t="shared" si="93"/>
        <v>#N/A</v>
      </c>
      <c r="AB150" s="61" t="e">
        <f t="shared" si="89"/>
        <v>#N/A</v>
      </c>
      <c r="AC150" s="61" t="e">
        <f t="shared" si="90"/>
        <v>#N/A</v>
      </c>
      <c r="AD150" s="61" t="e">
        <f t="shared" si="91"/>
        <v>#N/A</v>
      </c>
      <c r="AE150" s="61" t="e">
        <f t="shared" si="94"/>
        <v>#N/A</v>
      </c>
      <c r="AF150" s="61">
        <f t="shared" si="95"/>
        <v>0</v>
      </c>
      <c r="AG150" s="61" t="e">
        <f t="shared" si="96"/>
        <v>#N/A</v>
      </c>
      <c r="AH150" s="61" t="e">
        <f t="shared" si="97"/>
        <v>#N/A</v>
      </c>
      <c r="AI150" s="61" t="e">
        <f t="shared" si="98"/>
        <v>#N/A</v>
      </c>
      <c r="AJ150" s="61" t="e">
        <f t="shared" si="99"/>
        <v>#N/A</v>
      </c>
      <c r="AK150" s="61" t="e">
        <f t="shared" si="100"/>
        <v>#N/A</v>
      </c>
      <c r="AL150" s="61" t="e">
        <f t="shared" si="101"/>
        <v>#N/A</v>
      </c>
      <c r="AM150" s="61" t="e">
        <f t="shared" si="102"/>
        <v>#N/A</v>
      </c>
      <c r="AN150" s="61" t="e">
        <f t="shared" si="103"/>
        <v>#N/A</v>
      </c>
      <c r="AO150" s="61" t="e">
        <f t="shared" si="104"/>
        <v>#N/A</v>
      </c>
      <c r="AP150" s="61" t="e">
        <f t="shared" si="105"/>
        <v>#N/A</v>
      </c>
      <c r="AQ150" s="61" t="e">
        <f t="shared" si="106"/>
        <v>#N/A</v>
      </c>
      <c r="AR150" s="61" t="e">
        <f t="shared" si="107"/>
        <v>#N/A</v>
      </c>
      <c r="AS150" s="61" t="e">
        <f t="shared" ca="1" si="108"/>
        <v>#N/A</v>
      </c>
      <c r="AT150" s="61" t="e">
        <f t="shared" ca="1" si="109"/>
        <v>#N/A</v>
      </c>
      <c r="AU150" s="61" t="e">
        <f t="shared" si="92"/>
        <v>#N/A</v>
      </c>
      <c r="AV150" s="61" t="e">
        <f t="shared" si="110"/>
        <v>#N/A</v>
      </c>
      <c r="AW150" s="61" t="e">
        <f t="shared" si="111"/>
        <v>#N/A</v>
      </c>
      <c r="AX150" s="61" t="e">
        <f t="shared" si="112"/>
        <v>#N/A</v>
      </c>
    </row>
    <row r="151" spans="1:50" x14ac:dyDescent="0.3">
      <c r="A151" s="47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80">
        <v>264</v>
      </c>
      <c r="X151" s="73">
        <v>1095</v>
      </c>
      <c r="Y151" s="48" t="e">
        <f t="shared" si="87"/>
        <v>#N/A</v>
      </c>
      <c r="Z151" s="61" t="e">
        <f t="shared" si="88"/>
        <v>#N/A</v>
      </c>
      <c r="AA151" s="61" t="e">
        <f t="shared" si="93"/>
        <v>#N/A</v>
      </c>
      <c r="AB151" s="61" t="e">
        <f t="shared" si="89"/>
        <v>#N/A</v>
      </c>
      <c r="AC151" s="61" t="e">
        <f t="shared" si="90"/>
        <v>#N/A</v>
      </c>
      <c r="AD151" s="61" t="e">
        <f t="shared" si="91"/>
        <v>#N/A</v>
      </c>
      <c r="AE151" s="61" t="e">
        <f t="shared" si="94"/>
        <v>#N/A</v>
      </c>
      <c r="AF151" s="61">
        <f t="shared" si="95"/>
        <v>0</v>
      </c>
      <c r="AG151" s="61" t="e">
        <f t="shared" si="96"/>
        <v>#N/A</v>
      </c>
      <c r="AH151" s="61" t="e">
        <f t="shared" si="97"/>
        <v>#N/A</v>
      </c>
      <c r="AI151" s="61" t="e">
        <f t="shared" si="98"/>
        <v>#N/A</v>
      </c>
      <c r="AJ151" s="61" t="e">
        <f t="shared" si="99"/>
        <v>#N/A</v>
      </c>
      <c r="AK151" s="61" t="e">
        <f t="shared" si="100"/>
        <v>#N/A</v>
      </c>
      <c r="AL151" s="61" t="e">
        <f t="shared" si="101"/>
        <v>#N/A</v>
      </c>
      <c r="AM151" s="61" t="e">
        <f t="shared" si="102"/>
        <v>#N/A</v>
      </c>
      <c r="AN151" s="61" t="e">
        <f t="shared" si="103"/>
        <v>#N/A</v>
      </c>
      <c r="AO151" s="61" t="e">
        <f t="shared" si="104"/>
        <v>#N/A</v>
      </c>
      <c r="AP151" s="61" t="e">
        <f t="shared" si="105"/>
        <v>#N/A</v>
      </c>
      <c r="AQ151" s="61" t="e">
        <f t="shared" si="106"/>
        <v>#N/A</v>
      </c>
      <c r="AR151" s="61" t="e">
        <f t="shared" si="107"/>
        <v>#N/A</v>
      </c>
      <c r="AS151" s="61" t="e">
        <f t="shared" ca="1" si="108"/>
        <v>#N/A</v>
      </c>
      <c r="AT151" s="61" t="e">
        <f t="shared" ca="1" si="109"/>
        <v>#N/A</v>
      </c>
      <c r="AU151" s="61" t="e">
        <f t="shared" si="92"/>
        <v>#N/A</v>
      </c>
      <c r="AV151" s="61" t="e">
        <f t="shared" si="110"/>
        <v>#N/A</v>
      </c>
      <c r="AW151" s="61" t="e">
        <f t="shared" si="111"/>
        <v>#N/A</v>
      </c>
      <c r="AX151" s="61" t="e">
        <f t="shared" si="112"/>
        <v>#N/A</v>
      </c>
    </row>
    <row r="152" spans="1:50" x14ac:dyDescent="0.3">
      <c r="A152" s="47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80">
        <v>265</v>
      </c>
      <c r="X152" s="73">
        <v>1110</v>
      </c>
      <c r="Y152" s="48" t="e">
        <f t="shared" si="87"/>
        <v>#N/A</v>
      </c>
      <c r="Z152" s="61" t="e">
        <f t="shared" si="88"/>
        <v>#N/A</v>
      </c>
      <c r="AA152" s="61" t="e">
        <f t="shared" si="93"/>
        <v>#N/A</v>
      </c>
      <c r="AB152" s="61" t="e">
        <f t="shared" si="89"/>
        <v>#N/A</v>
      </c>
      <c r="AC152" s="61" t="e">
        <f t="shared" si="90"/>
        <v>#N/A</v>
      </c>
      <c r="AD152" s="61" t="e">
        <f t="shared" si="91"/>
        <v>#N/A</v>
      </c>
      <c r="AE152" s="61" t="e">
        <f t="shared" si="94"/>
        <v>#N/A</v>
      </c>
      <c r="AF152" s="61">
        <f t="shared" si="95"/>
        <v>0</v>
      </c>
      <c r="AG152" s="61" t="e">
        <f t="shared" si="96"/>
        <v>#N/A</v>
      </c>
      <c r="AH152" s="61" t="e">
        <f t="shared" si="97"/>
        <v>#N/A</v>
      </c>
      <c r="AI152" s="61" t="e">
        <f t="shared" si="98"/>
        <v>#N/A</v>
      </c>
      <c r="AJ152" s="61" t="e">
        <f t="shared" si="99"/>
        <v>#N/A</v>
      </c>
      <c r="AK152" s="61" t="e">
        <f t="shared" si="100"/>
        <v>#N/A</v>
      </c>
      <c r="AL152" s="61" t="e">
        <f t="shared" si="101"/>
        <v>#N/A</v>
      </c>
      <c r="AM152" s="61" t="e">
        <f t="shared" si="102"/>
        <v>#N/A</v>
      </c>
      <c r="AN152" s="61" t="e">
        <f t="shared" si="103"/>
        <v>#N/A</v>
      </c>
      <c r="AO152" s="61" t="e">
        <f t="shared" si="104"/>
        <v>#N/A</v>
      </c>
      <c r="AP152" s="61" t="e">
        <f t="shared" si="105"/>
        <v>#N/A</v>
      </c>
      <c r="AQ152" s="61" t="e">
        <f t="shared" si="106"/>
        <v>#N/A</v>
      </c>
      <c r="AR152" s="61" t="e">
        <f t="shared" si="107"/>
        <v>#N/A</v>
      </c>
      <c r="AS152" s="61" t="e">
        <f t="shared" ca="1" si="108"/>
        <v>#N/A</v>
      </c>
      <c r="AT152" s="61" t="e">
        <f t="shared" ca="1" si="109"/>
        <v>#N/A</v>
      </c>
      <c r="AU152" s="61" t="e">
        <f t="shared" si="92"/>
        <v>#N/A</v>
      </c>
      <c r="AV152" s="61" t="e">
        <f t="shared" si="110"/>
        <v>#N/A</v>
      </c>
      <c r="AW152" s="61" t="e">
        <f t="shared" si="111"/>
        <v>#N/A</v>
      </c>
      <c r="AX152" s="61" t="e">
        <f t="shared" si="112"/>
        <v>#N/A</v>
      </c>
    </row>
    <row r="153" spans="1:50" x14ac:dyDescent="0.3">
      <c r="A153" s="47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80">
        <v>266</v>
      </c>
      <c r="X153" s="73">
        <v>1125</v>
      </c>
      <c r="Y153" s="48" t="e">
        <f t="shared" si="87"/>
        <v>#N/A</v>
      </c>
      <c r="Z153" s="61" t="e">
        <f t="shared" si="88"/>
        <v>#N/A</v>
      </c>
      <c r="AA153" s="61" t="e">
        <f t="shared" si="93"/>
        <v>#N/A</v>
      </c>
      <c r="AB153" s="61" t="e">
        <f t="shared" si="89"/>
        <v>#N/A</v>
      </c>
      <c r="AC153" s="61" t="e">
        <f t="shared" si="90"/>
        <v>#N/A</v>
      </c>
      <c r="AD153" s="61" t="e">
        <f t="shared" si="91"/>
        <v>#N/A</v>
      </c>
      <c r="AE153" s="61" t="e">
        <f t="shared" si="94"/>
        <v>#N/A</v>
      </c>
      <c r="AF153" s="61">
        <f t="shared" si="95"/>
        <v>0</v>
      </c>
      <c r="AG153" s="61" t="e">
        <f t="shared" si="96"/>
        <v>#N/A</v>
      </c>
      <c r="AH153" s="61" t="e">
        <f t="shared" si="97"/>
        <v>#N/A</v>
      </c>
      <c r="AI153" s="61" t="e">
        <f t="shared" si="98"/>
        <v>#N/A</v>
      </c>
      <c r="AJ153" s="61" t="e">
        <f t="shared" si="99"/>
        <v>#N/A</v>
      </c>
      <c r="AK153" s="61" t="e">
        <f t="shared" si="100"/>
        <v>#N/A</v>
      </c>
      <c r="AL153" s="61" t="e">
        <f t="shared" si="101"/>
        <v>#N/A</v>
      </c>
      <c r="AM153" s="61" t="e">
        <f t="shared" si="102"/>
        <v>#N/A</v>
      </c>
      <c r="AN153" s="61" t="e">
        <f t="shared" si="103"/>
        <v>#N/A</v>
      </c>
      <c r="AO153" s="61" t="e">
        <f t="shared" si="104"/>
        <v>#N/A</v>
      </c>
      <c r="AP153" s="61" t="e">
        <f t="shared" si="105"/>
        <v>#N/A</v>
      </c>
      <c r="AQ153" s="61" t="e">
        <f t="shared" si="106"/>
        <v>#N/A</v>
      </c>
      <c r="AR153" s="61" t="e">
        <f t="shared" si="107"/>
        <v>#N/A</v>
      </c>
      <c r="AS153" s="61" t="e">
        <f t="shared" ca="1" si="108"/>
        <v>#N/A</v>
      </c>
      <c r="AT153" s="61" t="e">
        <f t="shared" ca="1" si="109"/>
        <v>#N/A</v>
      </c>
      <c r="AU153" s="61" t="e">
        <f t="shared" si="92"/>
        <v>#N/A</v>
      </c>
      <c r="AV153" s="61" t="e">
        <f t="shared" si="110"/>
        <v>#N/A</v>
      </c>
      <c r="AW153" s="61" t="e">
        <f t="shared" si="111"/>
        <v>#N/A</v>
      </c>
      <c r="AX153" s="61" t="e">
        <f t="shared" si="112"/>
        <v>#N/A</v>
      </c>
    </row>
    <row r="154" spans="1:50" x14ac:dyDescent="0.3">
      <c r="A154" s="47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80">
        <v>267</v>
      </c>
      <c r="X154" s="73">
        <v>1140</v>
      </c>
      <c r="Y154" s="48" t="e">
        <f t="shared" si="87"/>
        <v>#N/A</v>
      </c>
      <c r="Z154" s="61" t="e">
        <f t="shared" si="88"/>
        <v>#N/A</v>
      </c>
      <c r="AA154" s="61" t="e">
        <f t="shared" si="93"/>
        <v>#N/A</v>
      </c>
      <c r="AB154" s="61" t="e">
        <f t="shared" si="89"/>
        <v>#N/A</v>
      </c>
      <c r="AC154" s="61" t="e">
        <f t="shared" si="90"/>
        <v>#N/A</v>
      </c>
      <c r="AD154" s="61" t="e">
        <f t="shared" si="91"/>
        <v>#N/A</v>
      </c>
      <c r="AE154" s="61" t="e">
        <f t="shared" si="94"/>
        <v>#N/A</v>
      </c>
      <c r="AF154" s="61">
        <f t="shared" si="95"/>
        <v>0</v>
      </c>
      <c r="AG154" s="61" t="e">
        <f t="shared" si="96"/>
        <v>#N/A</v>
      </c>
      <c r="AH154" s="61" t="e">
        <f t="shared" si="97"/>
        <v>#N/A</v>
      </c>
      <c r="AI154" s="61" t="e">
        <f t="shared" si="98"/>
        <v>#N/A</v>
      </c>
      <c r="AJ154" s="61" t="e">
        <f t="shared" si="99"/>
        <v>#N/A</v>
      </c>
      <c r="AK154" s="61" t="e">
        <f t="shared" si="100"/>
        <v>#N/A</v>
      </c>
      <c r="AL154" s="61" t="e">
        <f t="shared" si="101"/>
        <v>#N/A</v>
      </c>
      <c r="AM154" s="61" t="e">
        <f t="shared" si="102"/>
        <v>#N/A</v>
      </c>
      <c r="AN154" s="61" t="e">
        <f t="shared" si="103"/>
        <v>#N/A</v>
      </c>
      <c r="AO154" s="61" t="e">
        <f t="shared" si="104"/>
        <v>#N/A</v>
      </c>
      <c r="AP154" s="61" t="e">
        <f t="shared" si="105"/>
        <v>#N/A</v>
      </c>
      <c r="AQ154" s="61" t="e">
        <f t="shared" si="106"/>
        <v>#N/A</v>
      </c>
      <c r="AR154" s="61" t="e">
        <f t="shared" si="107"/>
        <v>#N/A</v>
      </c>
      <c r="AS154" s="61" t="e">
        <f t="shared" ca="1" si="108"/>
        <v>#N/A</v>
      </c>
      <c r="AT154" s="61" t="e">
        <f t="shared" ca="1" si="109"/>
        <v>#N/A</v>
      </c>
      <c r="AU154" s="61" t="e">
        <f t="shared" si="92"/>
        <v>#N/A</v>
      </c>
      <c r="AV154" s="61" t="e">
        <f t="shared" si="110"/>
        <v>#N/A</v>
      </c>
      <c r="AW154" s="61" t="e">
        <f t="shared" si="111"/>
        <v>#N/A</v>
      </c>
      <c r="AX154" s="61" t="e">
        <f t="shared" si="112"/>
        <v>#N/A</v>
      </c>
    </row>
    <row r="155" spans="1:50" x14ac:dyDescent="0.3">
      <c r="A155" s="47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80">
        <v>268</v>
      </c>
      <c r="X155" s="73">
        <v>1155</v>
      </c>
      <c r="Y155" s="48" t="e">
        <f t="shared" si="87"/>
        <v>#N/A</v>
      </c>
      <c r="Z155" s="61" t="e">
        <f t="shared" si="88"/>
        <v>#N/A</v>
      </c>
      <c r="AA155" s="61" t="e">
        <f t="shared" si="93"/>
        <v>#N/A</v>
      </c>
      <c r="AB155" s="61" t="e">
        <f t="shared" si="89"/>
        <v>#N/A</v>
      </c>
      <c r="AC155" s="61" t="e">
        <f t="shared" si="90"/>
        <v>#N/A</v>
      </c>
      <c r="AD155" s="61" t="e">
        <f t="shared" si="91"/>
        <v>#N/A</v>
      </c>
      <c r="AE155" s="61" t="e">
        <f t="shared" si="94"/>
        <v>#N/A</v>
      </c>
      <c r="AF155" s="61">
        <f t="shared" si="95"/>
        <v>0</v>
      </c>
      <c r="AG155" s="61" t="e">
        <f t="shared" si="96"/>
        <v>#N/A</v>
      </c>
      <c r="AH155" s="61" t="e">
        <f t="shared" si="97"/>
        <v>#N/A</v>
      </c>
      <c r="AI155" s="61" t="e">
        <f t="shared" si="98"/>
        <v>#N/A</v>
      </c>
      <c r="AJ155" s="61" t="e">
        <f t="shared" si="99"/>
        <v>#N/A</v>
      </c>
      <c r="AK155" s="61" t="e">
        <f t="shared" si="100"/>
        <v>#N/A</v>
      </c>
      <c r="AL155" s="61" t="e">
        <f t="shared" si="101"/>
        <v>#N/A</v>
      </c>
      <c r="AM155" s="61" t="e">
        <f t="shared" si="102"/>
        <v>#N/A</v>
      </c>
      <c r="AN155" s="61" t="e">
        <f t="shared" si="103"/>
        <v>#N/A</v>
      </c>
      <c r="AO155" s="61" t="e">
        <f t="shared" si="104"/>
        <v>#N/A</v>
      </c>
      <c r="AP155" s="61" t="e">
        <f t="shared" si="105"/>
        <v>#N/A</v>
      </c>
      <c r="AQ155" s="61" t="e">
        <f t="shared" si="106"/>
        <v>#N/A</v>
      </c>
      <c r="AR155" s="61" t="e">
        <f t="shared" si="107"/>
        <v>#N/A</v>
      </c>
      <c r="AS155" s="61" t="e">
        <f t="shared" ca="1" si="108"/>
        <v>#N/A</v>
      </c>
      <c r="AT155" s="61" t="e">
        <f t="shared" ca="1" si="109"/>
        <v>#N/A</v>
      </c>
      <c r="AU155" s="61" t="e">
        <f t="shared" si="92"/>
        <v>#N/A</v>
      </c>
      <c r="AV155" s="61" t="e">
        <f t="shared" si="110"/>
        <v>#N/A</v>
      </c>
      <c r="AW155" s="61" t="e">
        <f t="shared" si="111"/>
        <v>#N/A</v>
      </c>
      <c r="AX155" s="61" t="e">
        <f t="shared" si="112"/>
        <v>#N/A</v>
      </c>
    </row>
    <row r="156" spans="1:50" x14ac:dyDescent="0.3">
      <c r="A156" s="47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80">
        <v>269</v>
      </c>
      <c r="X156" s="73">
        <v>1170</v>
      </c>
      <c r="Y156" s="48" t="e">
        <f t="shared" si="87"/>
        <v>#N/A</v>
      </c>
      <c r="Z156" s="61" t="e">
        <f t="shared" si="88"/>
        <v>#N/A</v>
      </c>
      <c r="AA156" s="61" t="e">
        <f t="shared" si="93"/>
        <v>#N/A</v>
      </c>
      <c r="AB156" s="61" t="e">
        <f t="shared" si="89"/>
        <v>#N/A</v>
      </c>
      <c r="AC156" s="61" t="e">
        <f t="shared" si="90"/>
        <v>#N/A</v>
      </c>
      <c r="AD156" s="61" t="e">
        <f t="shared" si="91"/>
        <v>#N/A</v>
      </c>
      <c r="AE156" s="61" t="e">
        <f t="shared" si="94"/>
        <v>#N/A</v>
      </c>
      <c r="AF156" s="61">
        <f t="shared" si="95"/>
        <v>0</v>
      </c>
      <c r="AG156" s="61" t="e">
        <f t="shared" si="96"/>
        <v>#N/A</v>
      </c>
      <c r="AH156" s="61" t="e">
        <f t="shared" si="97"/>
        <v>#N/A</v>
      </c>
      <c r="AI156" s="61" t="e">
        <f t="shared" si="98"/>
        <v>#N/A</v>
      </c>
      <c r="AJ156" s="61" t="e">
        <f t="shared" si="99"/>
        <v>#N/A</v>
      </c>
      <c r="AK156" s="61" t="e">
        <f t="shared" si="100"/>
        <v>#N/A</v>
      </c>
      <c r="AL156" s="61" t="e">
        <f t="shared" si="101"/>
        <v>#N/A</v>
      </c>
      <c r="AM156" s="61" t="e">
        <f t="shared" si="102"/>
        <v>#N/A</v>
      </c>
      <c r="AN156" s="61" t="e">
        <f t="shared" si="103"/>
        <v>#N/A</v>
      </c>
      <c r="AO156" s="61" t="e">
        <f t="shared" si="104"/>
        <v>#N/A</v>
      </c>
      <c r="AP156" s="61" t="e">
        <f t="shared" si="105"/>
        <v>#N/A</v>
      </c>
      <c r="AQ156" s="61" t="e">
        <f t="shared" si="106"/>
        <v>#N/A</v>
      </c>
      <c r="AR156" s="61" t="e">
        <f t="shared" si="107"/>
        <v>#N/A</v>
      </c>
      <c r="AS156" s="61" t="e">
        <f t="shared" ca="1" si="108"/>
        <v>#N/A</v>
      </c>
      <c r="AT156" s="61" t="e">
        <f t="shared" ca="1" si="109"/>
        <v>#N/A</v>
      </c>
      <c r="AU156" s="61" t="e">
        <f t="shared" si="92"/>
        <v>#N/A</v>
      </c>
      <c r="AV156" s="61" t="e">
        <f t="shared" si="110"/>
        <v>#N/A</v>
      </c>
      <c r="AW156" s="61" t="e">
        <f t="shared" si="111"/>
        <v>#N/A</v>
      </c>
      <c r="AX156" s="61" t="e">
        <f t="shared" si="112"/>
        <v>#N/A</v>
      </c>
    </row>
    <row r="157" spans="1:50" x14ac:dyDescent="0.3">
      <c r="A157" s="47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80">
        <v>270</v>
      </c>
      <c r="X157" s="73">
        <v>1186</v>
      </c>
      <c r="Y157" s="48" t="e">
        <f t="shared" si="87"/>
        <v>#N/A</v>
      </c>
      <c r="Z157" s="61" t="e">
        <f t="shared" si="88"/>
        <v>#N/A</v>
      </c>
      <c r="AA157" s="61" t="e">
        <f t="shared" si="93"/>
        <v>#N/A</v>
      </c>
      <c r="AB157" s="61" t="e">
        <f t="shared" si="89"/>
        <v>#N/A</v>
      </c>
      <c r="AC157" s="61" t="e">
        <f t="shared" si="90"/>
        <v>#N/A</v>
      </c>
      <c r="AD157" s="61" t="e">
        <f t="shared" si="91"/>
        <v>#N/A</v>
      </c>
      <c r="AE157" s="61" t="e">
        <f t="shared" si="94"/>
        <v>#N/A</v>
      </c>
      <c r="AF157" s="61">
        <f t="shared" si="95"/>
        <v>0</v>
      </c>
      <c r="AG157" s="61" t="e">
        <f t="shared" si="96"/>
        <v>#N/A</v>
      </c>
      <c r="AH157" s="61" t="e">
        <f t="shared" si="97"/>
        <v>#N/A</v>
      </c>
      <c r="AI157" s="61" t="e">
        <f t="shared" si="98"/>
        <v>#N/A</v>
      </c>
      <c r="AJ157" s="61" t="e">
        <f t="shared" si="99"/>
        <v>#N/A</v>
      </c>
      <c r="AK157" s="61" t="e">
        <f t="shared" si="100"/>
        <v>#N/A</v>
      </c>
      <c r="AL157" s="61" t="e">
        <f t="shared" si="101"/>
        <v>#N/A</v>
      </c>
      <c r="AM157" s="61" t="e">
        <f t="shared" si="102"/>
        <v>#N/A</v>
      </c>
      <c r="AN157" s="61" t="e">
        <f t="shared" si="103"/>
        <v>#N/A</v>
      </c>
      <c r="AO157" s="61" t="e">
        <f t="shared" si="104"/>
        <v>#N/A</v>
      </c>
      <c r="AP157" s="61" t="e">
        <f t="shared" si="105"/>
        <v>#N/A</v>
      </c>
      <c r="AQ157" s="61" t="e">
        <f t="shared" si="106"/>
        <v>#N/A</v>
      </c>
      <c r="AR157" s="61" t="e">
        <f t="shared" si="107"/>
        <v>#N/A</v>
      </c>
      <c r="AS157" s="61" t="e">
        <f t="shared" ca="1" si="108"/>
        <v>#N/A</v>
      </c>
      <c r="AT157" s="61" t="e">
        <f t="shared" ca="1" si="109"/>
        <v>#N/A</v>
      </c>
      <c r="AU157" s="61" t="e">
        <f t="shared" si="92"/>
        <v>#N/A</v>
      </c>
      <c r="AV157" s="61" t="e">
        <f t="shared" si="110"/>
        <v>#N/A</v>
      </c>
      <c r="AW157" s="61" t="e">
        <f t="shared" si="111"/>
        <v>#N/A</v>
      </c>
      <c r="AX157" s="61" t="e">
        <f t="shared" si="112"/>
        <v>#N/A</v>
      </c>
    </row>
    <row r="158" spans="1:50" x14ac:dyDescent="0.3">
      <c r="A158" s="47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80">
        <v>271</v>
      </c>
      <c r="X158" s="73">
        <v>1202</v>
      </c>
      <c r="Y158" s="48" t="e">
        <f t="shared" si="87"/>
        <v>#N/A</v>
      </c>
      <c r="Z158" s="61" t="e">
        <f t="shared" si="88"/>
        <v>#N/A</v>
      </c>
      <c r="AA158" s="61" t="e">
        <f t="shared" si="93"/>
        <v>#N/A</v>
      </c>
      <c r="AB158" s="61" t="e">
        <f t="shared" si="89"/>
        <v>#N/A</v>
      </c>
      <c r="AC158" s="61" t="e">
        <f t="shared" si="90"/>
        <v>#N/A</v>
      </c>
      <c r="AD158" s="61" t="e">
        <f t="shared" si="91"/>
        <v>#N/A</v>
      </c>
      <c r="AE158" s="61" t="e">
        <f t="shared" si="94"/>
        <v>#N/A</v>
      </c>
      <c r="AF158" s="61">
        <f t="shared" si="95"/>
        <v>0</v>
      </c>
      <c r="AG158" s="61" t="e">
        <f t="shared" si="96"/>
        <v>#N/A</v>
      </c>
      <c r="AH158" s="61" t="e">
        <f t="shared" si="97"/>
        <v>#N/A</v>
      </c>
      <c r="AI158" s="61" t="e">
        <f t="shared" si="98"/>
        <v>#N/A</v>
      </c>
      <c r="AJ158" s="61" t="e">
        <f t="shared" si="99"/>
        <v>#N/A</v>
      </c>
      <c r="AK158" s="61" t="e">
        <f t="shared" si="100"/>
        <v>#N/A</v>
      </c>
      <c r="AL158" s="61" t="e">
        <f t="shared" si="101"/>
        <v>#N/A</v>
      </c>
      <c r="AM158" s="61" t="e">
        <f t="shared" si="102"/>
        <v>#N/A</v>
      </c>
      <c r="AN158" s="61" t="e">
        <f t="shared" si="103"/>
        <v>#N/A</v>
      </c>
      <c r="AO158" s="61" t="e">
        <f t="shared" si="104"/>
        <v>#N/A</v>
      </c>
      <c r="AP158" s="61" t="e">
        <f t="shared" si="105"/>
        <v>#N/A</v>
      </c>
      <c r="AQ158" s="61" t="e">
        <f t="shared" si="106"/>
        <v>#N/A</v>
      </c>
      <c r="AR158" s="61" t="e">
        <f t="shared" si="107"/>
        <v>#N/A</v>
      </c>
      <c r="AS158" s="61" t="e">
        <f t="shared" ca="1" si="108"/>
        <v>#N/A</v>
      </c>
      <c r="AT158" s="61" t="e">
        <f t="shared" ca="1" si="109"/>
        <v>#N/A</v>
      </c>
      <c r="AU158" s="61" t="e">
        <f t="shared" si="92"/>
        <v>#N/A</v>
      </c>
      <c r="AV158" s="61" t="e">
        <f t="shared" si="110"/>
        <v>#N/A</v>
      </c>
      <c r="AW158" s="61" t="e">
        <f t="shared" si="111"/>
        <v>#N/A</v>
      </c>
      <c r="AX158" s="61" t="e">
        <f t="shared" si="112"/>
        <v>#N/A</v>
      </c>
    </row>
    <row r="159" spans="1:50" x14ac:dyDescent="0.3">
      <c r="A159" s="47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80">
        <v>272</v>
      </c>
      <c r="X159" s="73">
        <v>1218</v>
      </c>
      <c r="Y159" s="48" t="e">
        <f t="shared" si="87"/>
        <v>#N/A</v>
      </c>
      <c r="Z159" s="61" t="e">
        <f t="shared" si="88"/>
        <v>#N/A</v>
      </c>
      <c r="AA159" s="61" t="e">
        <f t="shared" si="93"/>
        <v>#N/A</v>
      </c>
      <c r="AB159" s="61" t="e">
        <f t="shared" si="89"/>
        <v>#N/A</v>
      </c>
      <c r="AC159" s="61" t="e">
        <f t="shared" si="90"/>
        <v>#N/A</v>
      </c>
      <c r="AD159" s="61" t="e">
        <f t="shared" si="91"/>
        <v>#N/A</v>
      </c>
      <c r="AE159" s="61" t="e">
        <f t="shared" si="94"/>
        <v>#N/A</v>
      </c>
      <c r="AF159" s="61">
        <f t="shared" si="95"/>
        <v>0</v>
      </c>
      <c r="AG159" s="61" t="e">
        <f t="shared" si="96"/>
        <v>#N/A</v>
      </c>
      <c r="AH159" s="61" t="e">
        <f t="shared" si="97"/>
        <v>#N/A</v>
      </c>
      <c r="AI159" s="61" t="e">
        <f t="shared" si="98"/>
        <v>#N/A</v>
      </c>
      <c r="AJ159" s="61" t="e">
        <f t="shared" si="99"/>
        <v>#N/A</v>
      </c>
      <c r="AK159" s="61" t="e">
        <f t="shared" si="100"/>
        <v>#N/A</v>
      </c>
      <c r="AL159" s="61" t="e">
        <f t="shared" si="101"/>
        <v>#N/A</v>
      </c>
      <c r="AM159" s="61" t="e">
        <f t="shared" si="102"/>
        <v>#N/A</v>
      </c>
      <c r="AN159" s="61" t="e">
        <f t="shared" si="103"/>
        <v>#N/A</v>
      </c>
      <c r="AO159" s="61" t="e">
        <f t="shared" si="104"/>
        <v>#N/A</v>
      </c>
      <c r="AP159" s="61" t="e">
        <f t="shared" si="105"/>
        <v>#N/A</v>
      </c>
      <c r="AQ159" s="61" t="e">
        <f t="shared" si="106"/>
        <v>#N/A</v>
      </c>
      <c r="AR159" s="61" t="e">
        <f t="shared" si="107"/>
        <v>#N/A</v>
      </c>
      <c r="AS159" s="61" t="e">
        <f t="shared" ca="1" si="108"/>
        <v>#N/A</v>
      </c>
      <c r="AT159" s="61" t="e">
        <f t="shared" ca="1" si="109"/>
        <v>#N/A</v>
      </c>
      <c r="AU159" s="61" t="e">
        <f t="shared" si="92"/>
        <v>#N/A</v>
      </c>
      <c r="AV159" s="61" t="e">
        <f t="shared" si="110"/>
        <v>#N/A</v>
      </c>
      <c r="AW159" s="61" t="e">
        <f t="shared" si="111"/>
        <v>#N/A</v>
      </c>
      <c r="AX159" s="61" t="e">
        <f t="shared" si="112"/>
        <v>#N/A</v>
      </c>
    </row>
    <row r="160" spans="1:50" x14ac:dyDescent="0.3">
      <c r="A160" s="47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80">
        <v>273</v>
      </c>
      <c r="X160" s="73">
        <v>1234</v>
      </c>
      <c r="Y160" s="48" t="e">
        <f t="shared" si="87"/>
        <v>#N/A</v>
      </c>
      <c r="Z160" s="61" t="e">
        <f t="shared" si="88"/>
        <v>#N/A</v>
      </c>
      <c r="AA160" s="61" t="e">
        <f t="shared" si="93"/>
        <v>#N/A</v>
      </c>
      <c r="AB160" s="61" t="e">
        <f t="shared" si="89"/>
        <v>#N/A</v>
      </c>
      <c r="AC160" s="61" t="e">
        <f t="shared" si="90"/>
        <v>#N/A</v>
      </c>
      <c r="AD160" s="61" t="e">
        <f t="shared" si="91"/>
        <v>#N/A</v>
      </c>
      <c r="AE160" s="61" t="e">
        <f t="shared" si="94"/>
        <v>#N/A</v>
      </c>
      <c r="AF160" s="61">
        <f t="shared" si="95"/>
        <v>0</v>
      </c>
      <c r="AG160" s="61" t="e">
        <f t="shared" si="96"/>
        <v>#N/A</v>
      </c>
      <c r="AH160" s="61" t="e">
        <f t="shared" si="97"/>
        <v>#N/A</v>
      </c>
      <c r="AI160" s="61" t="e">
        <f t="shared" si="98"/>
        <v>#N/A</v>
      </c>
      <c r="AJ160" s="61" t="e">
        <f t="shared" si="99"/>
        <v>#N/A</v>
      </c>
      <c r="AK160" s="61" t="e">
        <f t="shared" si="100"/>
        <v>#N/A</v>
      </c>
      <c r="AL160" s="61" t="e">
        <f t="shared" si="101"/>
        <v>#N/A</v>
      </c>
      <c r="AM160" s="61" t="e">
        <f t="shared" si="102"/>
        <v>#N/A</v>
      </c>
      <c r="AN160" s="61" t="e">
        <f t="shared" si="103"/>
        <v>#N/A</v>
      </c>
      <c r="AO160" s="61" t="e">
        <f t="shared" si="104"/>
        <v>#N/A</v>
      </c>
      <c r="AP160" s="61" t="e">
        <f t="shared" si="105"/>
        <v>#N/A</v>
      </c>
      <c r="AQ160" s="61" t="e">
        <f t="shared" si="106"/>
        <v>#N/A</v>
      </c>
      <c r="AR160" s="61" t="e">
        <f t="shared" si="107"/>
        <v>#N/A</v>
      </c>
      <c r="AS160" s="61" t="e">
        <f t="shared" ca="1" si="108"/>
        <v>#N/A</v>
      </c>
      <c r="AT160" s="61" t="e">
        <f t="shared" ca="1" si="109"/>
        <v>#N/A</v>
      </c>
      <c r="AU160" s="61" t="e">
        <f t="shared" si="92"/>
        <v>#N/A</v>
      </c>
      <c r="AV160" s="61" t="e">
        <f t="shared" si="110"/>
        <v>#N/A</v>
      </c>
      <c r="AW160" s="61" t="e">
        <f t="shared" si="111"/>
        <v>#N/A</v>
      </c>
      <c r="AX160" s="61" t="e">
        <f t="shared" si="112"/>
        <v>#N/A</v>
      </c>
    </row>
    <row r="161" spans="1:50" x14ac:dyDescent="0.3">
      <c r="A161" s="47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80">
        <v>274</v>
      </c>
      <c r="X161" s="73">
        <v>1250</v>
      </c>
      <c r="Y161" s="48" t="e">
        <f t="shared" si="87"/>
        <v>#N/A</v>
      </c>
      <c r="Z161" s="61" t="e">
        <f t="shared" si="88"/>
        <v>#N/A</v>
      </c>
      <c r="AA161" s="61" t="e">
        <f t="shared" si="93"/>
        <v>#N/A</v>
      </c>
      <c r="AB161" s="61" t="e">
        <f t="shared" si="89"/>
        <v>#N/A</v>
      </c>
      <c r="AC161" s="61" t="e">
        <f t="shared" si="90"/>
        <v>#N/A</v>
      </c>
      <c r="AD161" s="61" t="e">
        <f t="shared" si="91"/>
        <v>#N/A</v>
      </c>
      <c r="AE161" s="61" t="e">
        <f t="shared" si="94"/>
        <v>#N/A</v>
      </c>
      <c r="AF161" s="61">
        <f t="shared" si="95"/>
        <v>0</v>
      </c>
      <c r="AG161" s="61" t="e">
        <f t="shared" si="96"/>
        <v>#N/A</v>
      </c>
      <c r="AH161" s="61" t="e">
        <f t="shared" si="97"/>
        <v>#N/A</v>
      </c>
      <c r="AI161" s="61" t="e">
        <f t="shared" si="98"/>
        <v>#N/A</v>
      </c>
      <c r="AJ161" s="61" t="e">
        <f t="shared" si="99"/>
        <v>#N/A</v>
      </c>
      <c r="AK161" s="61" t="e">
        <f t="shared" si="100"/>
        <v>#N/A</v>
      </c>
      <c r="AL161" s="61" t="e">
        <f t="shared" si="101"/>
        <v>#N/A</v>
      </c>
      <c r="AM161" s="61" t="e">
        <f t="shared" si="102"/>
        <v>#N/A</v>
      </c>
      <c r="AN161" s="61" t="e">
        <f t="shared" si="103"/>
        <v>#N/A</v>
      </c>
      <c r="AO161" s="61" t="e">
        <f t="shared" si="104"/>
        <v>#N/A</v>
      </c>
      <c r="AP161" s="61" t="e">
        <f t="shared" si="105"/>
        <v>#N/A</v>
      </c>
      <c r="AQ161" s="61" t="e">
        <f t="shared" si="106"/>
        <v>#N/A</v>
      </c>
      <c r="AR161" s="61" t="e">
        <f t="shared" si="107"/>
        <v>#N/A</v>
      </c>
      <c r="AS161" s="61" t="e">
        <f t="shared" ca="1" si="108"/>
        <v>#N/A</v>
      </c>
      <c r="AT161" s="61" t="e">
        <f t="shared" ca="1" si="109"/>
        <v>#N/A</v>
      </c>
      <c r="AU161" s="61" t="e">
        <f t="shared" si="92"/>
        <v>#N/A</v>
      </c>
      <c r="AV161" s="61" t="e">
        <f t="shared" si="110"/>
        <v>#N/A</v>
      </c>
      <c r="AW161" s="61" t="e">
        <f t="shared" si="111"/>
        <v>#N/A</v>
      </c>
      <c r="AX161" s="61" t="e">
        <f t="shared" si="112"/>
        <v>#N/A</v>
      </c>
    </row>
    <row r="162" spans="1:50" ht="17.25" thickBot="1" x14ac:dyDescent="0.35">
      <c r="A162" s="47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14">
        <v>275</v>
      </c>
      <c r="X162" s="73">
        <v>1266</v>
      </c>
      <c r="Y162" s="48" t="e">
        <f t="shared" si="87"/>
        <v>#N/A</v>
      </c>
      <c r="Z162" s="61" t="e">
        <f t="shared" si="88"/>
        <v>#N/A</v>
      </c>
      <c r="AA162" s="61" t="e">
        <f t="shared" si="93"/>
        <v>#N/A</v>
      </c>
      <c r="AB162" s="61" t="e">
        <f t="shared" si="89"/>
        <v>#N/A</v>
      </c>
      <c r="AC162" s="61" t="e">
        <f t="shared" si="90"/>
        <v>#N/A</v>
      </c>
      <c r="AD162" s="61" t="e">
        <f t="shared" si="91"/>
        <v>#N/A</v>
      </c>
      <c r="AE162" s="61" t="e">
        <f t="shared" si="94"/>
        <v>#N/A</v>
      </c>
      <c r="AF162" s="61">
        <f t="shared" si="95"/>
        <v>0</v>
      </c>
      <c r="AG162" s="61" t="e">
        <f t="shared" si="96"/>
        <v>#N/A</v>
      </c>
      <c r="AH162" s="61" t="e">
        <f t="shared" si="97"/>
        <v>#N/A</v>
      </c>
      <c r="AI162" s="61" t="e">
        <f t="shared" si="98"/>
        <v>#N/A</v>
      </c>
      <c r="AJ162" s="61" t="e">
        <f t="shared" si="99"/>
        <v>#N/A</v>
      </c>
      <c r="AK162" s="61" t="e">
        <f t="shared" si="100"/>
        <v>#N/A</v>
      </c>
      <c r="AL162" s="61" t="e">
        <f t="shared" si="101"/>
        <v>#N/A</v>
      </c>
      <c r="AM162" s="61" t="e">
        <f t="shared" si="102"/>
        <v>#N/A</v>
      </c>
      <c r="AN162" s="61" t="e">
        <f t="shared" si="103"/>
        <v>#N/A</v>
      </c>
      <c r="AO162" s="61" t="e">
        <f t="shared" si="104"/>
        <v>#N/A</v>
      </c>
      <c r="AP162" s="61" t="e">
        <f t="shared" si="105"/>
        <v>#N/A</v>
      </c>
      <c r="AQ162" s="61" t="e">
        <f t="shared" si="106"/>
        <v>#N/A</v>
      </c>
      <c r="AR162" s="61" t="e">
        <f t="shared" si="107"/>
        <v>#N/A</v>
      </c>
      <c r="AS162" s="61" t="e">
        <f t="shared" ca="1" si="108"/>
        <v>#N/A</v>
      </c>
      <c r="AT162" s="61" t="e">
        <f t="shared" ca="1" si="109"/>
        <v>#N/A</v>
      </c>
      <c r="AU162" s="61" t="e">
        <f t="shared" si="92"/>
        <v>#N/A</v>
      </c>
      <c r="AV162" s="61" t="e">
        <f t="shared" si="110"/>
        <v>#N/A</v>
      </c>
      <c r="AW162" s="61" t="e">
        <f t="shared" si="111"/>
        <v>#N/A</v>
      </c>
      <c r="AX162" s="61" t="e">
        <f t="shared" si="112"/>
        <v>#N/A</v>
      </c>
    </row>
    <row r="163" spans="1:50" x14ac:dyDescent="0.3">
      <c r="A163" s="47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Y163" s="48" t="e">
        <f t="shared" si="87"/>
        <v>#N/A</v>
      </c>
      <c r="Z163" s="61" t="e">
        <f t="shared" si="88"/>
        <v>#N/A</v>
      </c>
      <c r="AA163" s="61" t="e">
        <f t="shared" si="93"/>
        <v>#N/A</v>
      </c>
      <c r="AB163" s="61" t="e">
        <f t="shared" si="89"/>
        <v>#N/A</v>
      </c>
      <c r="AC163" s="61" t="e">
        <f t="shared" si="90"/>
        <v>#N/A</v>
      </c>
      <c r="AD163" s="61" t="e">
        <f t="shared" si="91"/>
        <v>#N/A</v>
      </c>
      <c r="AE163" s="61" t="e">
        <f t="shared" si="94"/>
        <v>#N/A</v>
      </c>
      <c r="AF163" s="61">
        <f t="shared" si="95"/>
        <v>0</v>
      </c>
      <c r="AG163" s="61" t="e">
        <f t="shared" si="96"/>
        <v>#N/A</v>
      </c>
      <c r="AH163" s="61" t="e">
        <f t="shared" si="97"/>
        <v>#N/A</v>
      </c>
      <c r="AI163" s="61" t="e">
        <f t="shared" si="98"/>
        <v>#N/A</v>
      </c>
      <c r="AJ163" s="61" t="e">
        <f t="shared" si="99"/>
        <v>#N/A</v>
      </c>
      <c r="AK163" s="61" t="e">
        <f t="shared" si="100"/>
        <v>#N/A</v>
      </c>
      <c r="AL163" s="61" t="e">
        <f t="shared" si="101"/>
        <v>#N/A</v>
      </c>
      <c r="AM163" s="61" t="e">
        <f t="shared" si="102"/>
        <v>#N/A</v>
      </c>
      <c r="AN163" s="61" t="e">
        <f t="shared" si="103"/>
        <v>#N/A</v>
      </c>
      <c r="AO163" s="61" t="e">
        <f t="shared" si="104"/>
        <v>#N/A</v>
      </c>
      <c r="AP163" s="61" t="e">
        <f t="shared" si="105"/>
        <v>#N/A</v>
      </c>
      <c r="AQ163" s="61" t="e">
        <f t="shared" si="106"/>
        <v>#N/A</v>
      </c>
      <c r="AR163" s="61" t="e">
        <f t="shared" si="107"/>
        <v>#N/A</v>
      </c>
      <c r="AS163" s="61" t="e">
        <f t="shared" ca="1" si="108"/>
        <v>#N/A</v>
      </c>
      <c r="AT163" s="61" t="e">
        <f t="shared" ca="1" si="109"/>
        <v>#N/A</v>
      </c>
      <c r="AU163" s="61" t="e">
        <f t="shared" si="92"/>
        <v>#N/A</v>
      </c>
      <c r="AV163" s="61" t="e">
        <f t="shared" si="110"/>
        <v>#N/A</v>
      </c>
      <c r="AW163" s="61" t="e">
        <f t="shared" si="111"/>
        <v>#N/A</v>
      </c>
      <c r="AX163" s="61" t="e">
        <f t="shared" si="112"/>
        <v>#N/A</v>
      </c>
    </row>
    <row r="164" spans="1:50" x14ac:dyDescent="0.3">
      <c r="A164" s="47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Y164" s="48" t="e">
        <f t="shared" si="87"/>
        <v>#N/A</v>
      </c>
      <c r="Z164" s="61" t="e">
        <f t="shared" si="88"/>
        <v>#N/A</v>
      </c>
      <c r="AA164" s="61" t="e">
        <f t="shared" si="93"/>
        <v>#N/A</v>
      </c>
      <c r="AB164" s="61" t="e">
        <f t="shared" si="89"/>
        <v>#N/A</v>
      </c>
      <c r="AC164" s="61" t="e">
        <f t="shared" si="90"/>
        <v>#N/A</v>
      </c>
      <c r="AD164" s="61" t="e">
        <f t="shared" si="91"/>
        <v>#N/A</v>
      </c>
      <c r="AE164" s="61" t="e">
        <f t="shared" si="94"/>
        <v>#N/A</v>
      </c>
      <c r="AF164" s="61">
        <f t="shared" si="95"/>
        <v>0</v>
      </c>
      <c r="AG164" s="61" t="e">
        <f t="shared" si="96"/>
        <v>#N/A</v>
      </c>
      <c r="AH164" s="61" t="e">
        <f t="shared" si="97"/>
        <v>#N/A</v>
      </c>
      <c r="AI164" s="61" t="e">
        <f t="shared" si="98"/>
        <v>#N/A</v>
      </c>
      <c r="AJ164" s="61" t="e">
        <f t="shared" si="99"/>
        <v>#N/A</v>
      </c>
      <c r="AK164" s="61" t="e">
        <f t="shared" si="100"/>
        <v>#N/A</v>
      </c>
      <c r="AL164" s="61" t="e">
        <f t="shared" si="101"/>
        <v>#N/A</v>
      </c>
      <c r="AM164" s="61" t="e">
        <f t="shared" si="102"/>
        <v>#N/A</v>
      </c>
      <c r="AN164" s="61" t="e">
        <f t="shared" si="103"/>
        <v>#N/A</v>
      </c>
      <c r="AO164" s="61" t="e">
        <f t="shared" si="104"/>
        <v>#N/A</v>
      </c>
      <c r="AP164" s="61" t="e">
        <f t="shared" si="105"/>
        <v>#N/A</v>
      </c>
      <c r="AQ164" s="61" t="e">
        <f t="shared" si="106"/>
        <v>#N/A</v>
      </c>
      <c r="AR164" s="61" t="e">
        <f t="shared" si="107"/>
        <v>#N/A</v>
      </c>
      <c r="AS164" s="61" t="e">
        <f t="shared" ca="1" si="108"/>
        <v>#N/A</v>
      </c>
      <c r="AT164" s="61" t="e">
        <f t="shared" ca="1" si="109"/>
        <v>#N/A</v>
      </c>
      <c r="AU164" s="61" t="e">
        <f t="shared" si="92"/>
        <v>#N/A</v>
      </c>
      <c r="AV164" s="61" t="e">
        <f t="shared" si="110"/>
        <v>#N/A</v>
      </c>
      <c r="AW164" s="61" t="e">
        <f t="shared" si="111"/>
        <v>#N/A</v>
      </c>
      <c r="AX164" s="61" t="e">
        <f t="shared" si="112"/>
        <v>#N/A</v>
      </c>
    </row>
    <row r="165" spans="1:50" x14ac:dyDescent="0.3">
      <c r="A165" s="47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Y165" s="48" t="e">
        <f t="shared" si="87"/>
        <v>#N/A</v>
      </c>
      <c r="Z165" s="61" t="e">
        <f t="shared" si="88"/>
        <v>#N/A</v>
      </c>
      <c r="AA165" s="61" t="e">
        <f t="shared" si="93"/>
        <v>#N/A</v>
      </c>
      <c r="AB165" s="61" t="e">
        <f t="shared" si="89"/>
        <v>#N/A</v>
      </c>
      <c r="AC165" s="61" t="e">
        <f t="shared" si="90"/>
        <v>#N/A</v>
      </c>
      <c r="AD165" s="61" t="e">
        <f t="shared" si="91"/>
        <v>#N/A</v>
      </c>
      <c r="AE165" s="61" t="e">
        <f t="shared" si="94"/>
        <v>#N/A</v>
      </c>
      <c r="AF165" s="61">
        <f t="shared" si="95"/>
        <v>0</v>
      </c>
      <c r="AG165" s="61" t="e">
        <f t="shared" si="96"/>
        <v>#N/A</v>
      </c>
      <c r="AH165" s="61" t="e">
        <f t="shared" si="97"/>
        <v>#N/A</v>
      </c>
      <c r="AI165" s="61" t="e">
        <f t="shared" si="98"/>
        <v>#N/A</v>
      </c>
      <c r="AJ165" s="61" t="e">
        <f t="shared" si="99"/>
        <v>#N/A</v>
      </c>
      <c r="AK165" s="61" t="e">
        <f t="shared" si="100"/>
        <v>#N/A</v>
      </c>
      <c r="AL165" s="61" t="e">
        <f t="shared" si="101"/>
        <v>#N/A</v>
      </c>
      <c r="AM165" s="61" t="e">
        <f t="shared" si="102"/>
        <v>#N/A</v>
      </c>
      <c r="AN165" s="61" t="e">
        <f t="shared" si="103"/>
        <v>#N/A</v>
      </c>
      <c r="AO165" s="61" t="e">
        <f t="shared" si="104"/>
        <v>#N/A</v>
      </c>
      <c r="AP165" s="61" t="e">
        <f t="shared" si="105"/>
        <v>#N/A</v>
      </c>
      <c r="AQ165" s="61" t="e">
        <f t="shared" si="106"/>
        <v>#N/A</v>
      </c>
      <c r="AR165" s="61" t="e">
        <f t="shared" si="107"/>
        <v>#N/A</v>
      </c>
      <c r="AS165" s="61" t="e">
        <f t="shared" ca="1" si="108"/>
        <v>#N/A</v>
      </c>
      <c r="AT165" s="61" t="e">
        <f t="shared" ca="1" si="109"/>
        <v>#N/A</v>
      </c>
      <c r="AU165" s="61" t="e">
        <f t="shared" si="92"/>
        <v>#N/A</v>
      </c>
      <c r="AV165" s="61" t="e">
        <f t="shared" si="110"/>
        <v>#N/A</v>
      </c>
      <c r="AW165" s="61" t="e">
        <f t="shared" si="111"/>
        <v>#N/A</v>
      </c>
      <c r="AX165" s="61" t="e">
        <f t="shared" si="112"/>
        <v>#N/A</v>
      </c>
    </row>
    <row r="166" spans="1:50" x14ac:dyDescent="0.3">
      <c r="A166" s="47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Y166" s="48" t="e">
        <f t="shared" si="87"/>
        <v>#N/A</v>
      </c>
      <c r="Z166" s="61" t="e">
        <f t="shared" si="88"/>
        <v>#N/A</v>
      </c>
      <c r="AA166" s="61" t="e">
        <f t="shared" si="93"/>
        <v>#N/A</v>
      </c>
      <c r="AB166" s="61" t="e">
        <f t="shared" si="89"/>
        <v>#N/A</v>
      </c>
      <c r="AC166" s="61" t="e">
        <f t="shared" si="90"/>
        <v>#N/A</v>
      </c>
      <c r="AD166" s="61" t="e">
        <f t="shared" si="91"/>
        <v>#N/A</v>
      </c>
      <c r="AE166" s="61" t="e">
        <f t="shared" si="94"/>
        <v>#N/A</v>
      </c>
      <c r="AF166" s="61">
        <f t="shared" si="95"/>
        <v>0</v>
      </c>
      <c r="AG166" s="61" t="e">
        <f t="shared" si="96"/>
        <v>#N/A</v>
      </c>
      <c r="AH166" s="61" t="e">
        <f t="shared" si="97"/>
        <v>#N/A</v>
      </c>
      <c r="AI166" s="61" t="e">
        <f t="shared" si="98"/>
        <v>#N/A</v>
      </c>
      <c r="AJ166" s="61" t="e">
        <f t="shared" si="99"/>
        <v>#N/A</v>
      </c>
      <c r="AK166" s="61" t="e">
        <f t="shared" si="100"/>
        <v>#N/A</v>
      </c>
      <c r="AL166" s="61" t="e">
        <f t="shared" si="101"/>
        <v>#N/A</v>
      </c>
      <c r="AM166" s="61" t="e">
        <f t="shared" si="102"/>
        <v>#N/A</v>
      </c>
      <c r="AN166" s="61" t="e">
        <f t="shared" si="103"/>
        <v>#N/A</v>
      </c>
      <c r="AO166" s="61" t="e">
        <f t="shared" si="104"/>
        <v>#N/A</v>
      </c>
      <c r="AP166" s="61" t="e">
        <f t="shared" si="105"/>
        <v>#N/A</v>
      </c>
      <c r="AQ166" s="61" t="e">
        <f t="shared" si="106"/>
        <v>#N/A</v>
      </c>
      <c r="AR166" s="61" t="e">
        <f t="shared" si="107"/>
        <v>#N/A</v>
      </c>
      <c r="AS166" s="61" t="e">
        <f t="shared" ca="1" si="108"/>
        <v>#N/A</v>
      </c>
      <c r="AT166" s="61" t="e">
        <f t="shared" ca="1" si="109"/>
        <v>#N/A</v>
      </c>
      <c r="AU166" s="61" t="e">
        <f t="shared" si="92"/>
        <v>#N/A</v>
      </c>
      <c r="AV166" s="61" t="e">
        <f t="shared" si="110"/>
        <v>#N/A</v>
      </c>
      <c r="AW166" s="61" t="e">
        <f t="shared" si="111"/>
        <v>#N/A</v>
      </c>
      <c r="AX166" s="61" t="e">
        <f t="shared" si="112"/>
        <v>#N/A</v>
      </c>
    </row>
    <row r="167" spans="1:50" x14ac:dyDescent="0.3">
      <c r="A167" s="47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Y167" s="48" t="e">
        <f t="shared" si="87"/>
        <v>#N/A</v>
      </c>
      <c r="Z167" s="61" t="e">
        <f t="shared" si="88"/>
        <v>#N/A</v>
      </c>
      <c r="AA167" s="61" t="e">
        <f t="shared" si="93"/>
        <v>#N/A</v>
      </c>
      <c r="AB167" s="61" t="e">
        <f t="shared" si="89"/>
        <v>#N/A</v>
      </c>
      <c r="AC167" s="61" t="e">
        <f t="shared" si="90"/>
        <v>#N/A</v>
      </c>
      <c r="AD167" s="61" t="e">
        <f t="shared" si="91"/>
        <v>#N/A</v>
      </c>
      <c r="AE167" s="61" t="e">
        <f t="shared" si="94"/>
        <v>#N/A</v>
      </c>
      <c r="AF167" s="61">
        <f t="shared" si="95"/>
        <v>0</v>
      </c>
      <c r="AG167" s="61" t="e">
        <f t="shared" si="96"/>
        <v>#N/A</v>
      </c>
      <c r="AH167" s="61" t="e">
        <f t="shared" si="97"/>
        <v>#N/A</v>
      </c>
      <c r="AI167" s="61" t="e">
        <f t="shared" si="98"/>
        <v>#N/A</v>
      </c>
      <c r="AJ167" s="61" t="e">
        <f t="shared" si="99"/>
        <v>#N/A</v>
      </c>
      <c r="AK167" s="61" t="e">
        <f t="shared" si="100"/>
        <v>#N/A</v>
      </c>
      <c r="AL167" s="61" t="e">
        <f t="shared" si="101"/>
        <v>#N/A</v>
      </c>
      <c r="AM167" s="61" t="e">
        <f t="shared" si="102"/>
        <v>#N/A</v>
      </c>
      <c r="AN167" s="61" t="e">
        <f t="shared" si="103"/>
        <v>#N/A</v>
      </c>
      <c r="AO167" s="61" t="e">
        <f t="shared" si="104"/>
        <v>#N/A</v>
      </c>
      <c r="AP167" s="61" t="e">
        <f t="shared" si="105"/>
        <v>#N/A</v>
      </c>
      <c r="AQ167" s="61" t="e">
        <f t="shared" si="106"/>
        <v>#N/A</v>
      </c>
      <c r="AR167" s="61" t="e">
        <f t="shared" si="107"/>
        <v>#N/A</v>
      </c>
      <c r="AS167" s="61" t="e">
        <f t="shared" ca="1" si="108"/>
        <v>#N/A</v>
      </c>
      <c r="AT167" s="61" t="e">
        <f t="shared" ca="1" si="109"/>
        <v>#N/A</v>
      </c>
      <c r="AU167" s="61" t="e">
        <f t="shared" si="92"/>
        <v>#N/A</v>
      </c>
      <c r="AV167" s="61" t="e">
        <f t="shared" si="110"/>
        <v>#N/A</v>
      </c>
      <c r="AW167" s="61" t="e">
        <f t="shared" si="111"/>
        <v>#N/A</v>
      </c>
      <c r="AX167" s="61" t="e">
        <f t="shared" si="112"/>
        <v>#N/A</v>
      </c>
    </row>
    <row r="168" spans="1:50" x14ac:dyDescent="0.3">
      <c r="A168" s="47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Y168" s="48" t="e">
        <f t="shared" si="87"/>
        <v>#N/A</v>
      </c>
      <c r="Z168" s="61" t="e">
        <f t="shared" si="88"/>
        <v>#N/A</v>
      </c>
      <c r="AA168" s="61" t="e">
        <f t="shared" si="93"/>
        <v>#N/A</v>
      </c>
      <c r="AB168" s="61" t="e">
        <f t="shared" si="89"/>
        <v>#N/A</v>
      </c>
      <c r="AC168" s="61" t="e">
        <f t="shared" si="90"/>
        <v>#N/A</v>
      </c>
      <c r="AD168" s="61" t="e">
        <f t="shared" si="91"/>
        <v>#N/A</v>
      </c>
      <c r="AE168" s="61" t="e">
        <f t="shared" si="94"/>
        <v>#N/A</v>
      </c>
      <c r="AF168" s="61">
        <f t="shared" si="95"/>
        <v>0</v>
      </c>
      <c r="AG168" s="61" t="e">
        <f t="shared" si="96"/>
        <v>#N/A</v>
      </c>
      <c r="AH168" s="61" t="e">
        <f t="shared" si="97"/>
        <v>#N/A</v>
      </c>
      <c r="AI168" s="61" t="e">
        <f t="shared" si="98"/>
        <v>#N/A</v>
      </c>
      <c r="AJ168" s="61" t="e">
        <f t="shared" si="99"/>
        <v>#N/A</v>
      </c>
      <c r="AK168" s="61" t="e">
        <f t="shared" si="100"/>
        <v>#N/A</v>
      </c>
      <c r="AL168" s="61" t="e">
        <f t="shared" si="101"/>
        <v>#N/A</v>
      </c>
      <c r="AM168" s="61" t="e">
        <f t="shared" si="102"/>
        <v>#N/A</v>
      </c>
      <c r="AN168" s="61" t="e">
        <f t="shared" si="103"/>
        <v>#N/A</v>
      </c>
      <c r="AO168" s="61" t="e">
        <f t="shared" si="104"/>
        <v>#N/A</v>
      </c>
      <c r="AP168" s="61" t="e">
        <f t="shared" si="105"/>
        <v>#N/A</v>
      </c>
      <c r="AQ168" s="61" t="e">
        <f t="shared" si="106"/>
        <v>#N/A</v>
      </c>
      <c r="AR168" s="61" t="e">
        <f t="shared" si="107"/>
        <v>#N/A</v>
      </c>
      <c r="AS168" s="61" t="e">
        <f t="shared" ca="1" si="108"/>
        <v>#N/A</v>
      </c>
      <c r="AT168" s="61" t="e">
        <f t="shared" ca="1" si="109"/>
        <v>#N/A</v>
      </c>
      <c r="AU168" s="61" t="e">
        <f t="shared" si="92"/>
        <v>#N/A</v>
      </c>
      <c r="AV168" s="61" t="e">
        <f t="shared" si="110"/>
        <v>#N/A</v>
      </c>
      <c r="AW168" s="61" t="e">
        <f t="shared" si="111"/>
        <v>#N/A</v>
      </c>
      <c r="AX168" s="61" t="e">
        <f t="shared" si="112"/>
        <v>#N/A</v>
      </c>
    </row>
    <row r="169" spans="1:50" x14ac:dyDescent="0.3">
      <c r="A169" s="47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Y169" s="48" t="e">
        <f t="shared" si="87"/>
        <v>#N/A</v>
      </c>
      <c r="Z169" s="61" t="e">
        <f t="shared" si="88"/>
        <v>#N/A</v>
      </c>
      <c r="AA169" s="61" t="e">
        <f t="shared" si="93"/>
        <v>#N/A</v>
      </c>
      <c r="AB169" s="61" t="e">
        <f t="shared" si="89"/>
        <v>#N/A</v>
      </c>
      <c r="AC169" s="61" t="e">
        <f t="shared" si="90"/>
        <v>#N/A</v>
      </c>
      <c r="AD169" s="61" t="e">
        <f t="shared" si="91"/>
        <v>#N/A</v>
      </c>
      <c r="AE169" s="61" t="e">
        <f t="shared" si="94"/>
        <v>#N/A</v>
      </c>
      <c r="AF169" s="61">
        <f t="shared" si="95"/>
        <v>0</v>
      </c>
      <c r="AG169" s="61" t="e">
        <f t="shared" si="96"/>
        <v>#N/A</v>
      </c>
      <c r="AH169" s="61" t="e">
        <f t="shared" si="97"/>
        <v>#N/A</v>
      </c>
      <c r="AI169" s="61" t="e">
        <f t="shared" si="98"/>
        <v>#N/A</v>
      </c>
      <c r="AJ169" s="61" t="e">
        <f t="shared" si="99"/>
        <v>#N/A</v>
      </c>
      <c r="AK169" s="61" t="e">
        <f t="shared" si="100"/>
        <v>#N/A</v>
      </c>
      <c r="AL169" s="61" t="e">
        <f t="shared" si="101"/>
        <v>#N/A</v>
      </c>
      <c r="AM169" s="61" t="e">
        <f t="shared" si="102"/>
        <v>#N/A</v>
      </c>
      <c r="AN169" s="61" t="e">
        <f t="shared" si="103"/>
        <v>#N/A</v>
      </c>
      <c r="AO169" s="61" t="e">
        <f t="shared" si="104"/>
        <v>#N/A</v>
      </c>
      <c r="AP169" s="61" t="e">
        <f t="shared" si="105"/>
        <v>#N/A</v>
      </c>
      <c r="AQ169" s="61" t="e">
        <f t="shared" si="106"/>
        <v>#N/A</v>
      </c>
      <c r="AR169" s="61" t="e">
        <f t="shared" si="107"/>
        <v>#N/A</v>
      </c>
      <c r="AS169" s="61" t="e">
        <f t="shared" ca="1" si="108"/>
        <v>#N/A</v>
      </c>
      <c r="AT169" s="61" t="e">
        <f t="shared" ca="1" si="109"/>
        <v>#N/A</v>
      </c>
      <c r="AU169" s="61" t="e">
        <f t="shared" si="92"/>
        <v>#N/A</v>
      </c>
      <c r="AV169" s="61" t="e">
        <f t="shared" si="110"/>
        <v>#N/A</v>
      </c>
      <c r="AW169" s="61" t="e">
        <f t="shared" si="111"/>
        <v>#N/A</v>
      </c>
      <c r="AX169" s="61" t="e">
        <f t="shared" si="112"/>
        <v>#N/A</v>
      </c>
    </row>
    <row r="170" spans="1:50" x14ac:dyDescent="0.3">
      <c r="A170" s="47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Y170" s="48" t="e">
        <f t="shared" si="87"/>
        <v>#N/A</v>
      </c>
      <c r="Z170" s="61" t="e">
        <f t="shared" si="88"/>
        <v>#N/A</v>
      </c>
      <c r="AA170" s="61" t="e">
        <f t="shared" si="93"/>
        <v>#N/A</v>
      </c>
      <c r="AB170" s="61" t="e">
        <f t="shared" si="89"/>
        <v>#N/A</v>
      </c>
      <c r="AC170" s="61" t="e">
        <f t="shared" si="90"/>
        <v>#N/A</v>
      </c>
      <c r="AD170" s="61" t="e">
        <f t="shared" si="91"/>
        <v>#N/A</v>
      </c>
      <c r="AE170" s="61" t="e">
        <f t="shared" si="94"/>
        <v>#N/A</v>
      </c>
      <c r="AF170" s="61">
        <f t="shared" si="95"/>
        <v>0</v>
      </c>
      <c r="AG170" s="61" t="e">
        <f t="shared" si="96"/>
        <v>#N/A</v>
      </c>
      <c r="AH170" s="61" t="e">
        <f t="shared" si="97"/>
        <v>#N/A</v>
      </c>
      <c r="AI170" s="61" t="e">
        <f t="shared" si="98"/>
        <v>#N/A</v>
      </c>
      <c r="AJ170" s="61" t="e">
        <f t="shared" si="99"/>
        <v>#N/A</v>
      </c>
      <c r="AK170" s="61" t="e">
        <f t="shared" si="100"/>
        <v>#N/A</v>
      </c>
      <c r="AL170" s="61" t="e">
        <f t="shared" si="101"/>
        <v>#N/A</v>
      </c>
      <c r="AM170" s="61" t="e">
        <f t="shared" si="102"/>
        <v>#N/A</v>
      </c>
      <c r="AN170" s="61" t="e">
        <f t="shared" si="103"/>
        <v>#N/A</v>
      </c>
      <c r="AO170" s="61" t="e">
        <f t="shared" si="104"/>
        <v>#N/A</v>
      </c>
      <c r="AP170" s="61" t="e">
        <f t="shared" si="105"/>
        <v>#N/A</v>
      </c>
      <c r="AQ170" s="61" t="e">
        <f t="shared" si="106"/>
        <v>#N/A</v>
      </c>
      <c r="AR170" s="61" t="e">
        <f t="shared" si="107"/>
        <v>#N/A</v>
      </c>
      <c r="AS170" s="61" t="e">
        <f t="shared" ca="1" si="108"/>
        <v>#N/A</v>
      </c>
      <c r="AT170" s="61" t="e">
        <f t="shared" ca="1" si="109"/>
        <v>#N/A</v>
      </c>
      <c r="AU170" s="61" t="e">
        <f t="shared" si="92"/>
        <v>#N/A</v>
      </c>
      <c r="AV170" s="61" t="e">
        <f t="shared" si="110"/>
        <v>#N/A</v>
      </c>
      <c r="AW170" s="61" t="e">
        <f t="shared" si="111"/>
        <v>#N/A</v>
      </c>
      <c r="AX170" s="61" t="e">
        <f t="shared" si="112"/>
        <v>#N/A</v>
      </c>
    </row>
    <row r="171" spans="1:50" x14ac:dyDescent="0.3">
      <c r="A171" s="47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Y171" s="48" t="e">
        <f t="shared" si="87"/>
        <v>#N/A</v>
      </c>
      <c r="Z171" s="61" t="e">
        <f t="shared" si="88"/>
        <v>#N/A</v>
      </c>
      <c r="AA171" s="61" t="e">
        <f t="shared" si="93"/>
        <v>#N/A</v>
      </c>
      <c r="AB171" s="61" t="e">
        <f t="shared" si="89"/>
        <v>#N/A</v>
      </c>
      <c r="AC171" s="61" t="e">
        <f t="shared" si="90"/>
        <v>#N/A</v>
      </c>
      <c r="AD171" s="61" t="e">
        <f t="shared" si="91"/>
        <v>#N/A</v>
      </c>
      <c r="AE171" s="61" t="e">
        <f t="shared" si="94"/>
        <v>#N/A</v>
      </c>
      <c r="AF171" s="61">
        <f t="shared" si="95"/>
        <v>0</v>
      </c>
      <c r="AG171" s="61" t="e">
        <f t="shared" si="96"/>
        <v>#N/A</v>
      </c>
      <c r="AH171" s="61" t="e">
        <f t="shared" si="97"/>
        <v>#N/A</v>
      </c>
      <c r="AI171" s="61" t="e">
        <f t="shared" si="98"/>
        <v>#N/A</v>
      </c>
      <c r="AJ171" s="61" t="e">
        <f t="shared" si="99"/>
        <v>#N/A</v>
      </c>
      <c r="AK171" s="61" t="e">
        <f t="shared" si="100"/>
        <v>#N/A</v>
      </c>
      <c r="AL171" s="61" t="e">
        <f t="shared" si="101"/>
        <v>#N/A</v>
      </c>
      <c r="AM171" s="61" t="e">
        <f t="shared" si="102"/>
        <v>#N/A</v>
      </c>
      <c r="AN171" s="61" t="e">
        <f t="shared" si="103"/>
        <v>#N/A</v>
      </c>
      <c r="AO171" s="61" t="e">
        <f t="shared" si="104"/>
        <v>#N/A</v>
      </c>
      <c r="AP171" s="61" t="e">
        <f t="shared" si="105"/>
        <v>#N/A</v>
      </c>
      <c r="AQ171" s="61" t="e">
        <f t="shared" si="106"/>
        <v>#N/A</v>
      </c>
      <c r="AR171" s="61" t="e">
        <f t="shared" si="107"/>
        <v>#N/A</v>
      </c>
      <c r="AS171" s="61" t="e">
        <f t="shared" ca="1" si="108"/>
        <v>#N/A</v>
      </c>
      <c r="AT171" s="61" t="e">
        <f t="shared" ca="1" si="109"/>
        <v>#N/A</v>
      </c>
      <c r="AU171" s="61" t="e">
        <f t="shared" si="92"/>
        <v>#N/A</v>
      </c>
      <c r="AV171" s="61" t="e">
        <f t="shared" si="110"/>
        <v>#N/A</v>
      </c>
      <c r="AW171" s="61" t="e">
        <f t="shared" si="111"/>
        <v>#N/A</v>
      </c>
      <c r="AX171" s="61" t="e">
        <f t="shared" si="112"/>
        <v>#N/A</v>
      </c>
    </row>
    <row r="172" spans="1:50" x14ac:dyDescent="0.3">
      <c r="A172" s="47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Y172" s="48" t="e">
        <f t="shared" si="87"/>
        <v>#N/A</v>
      </c>
      <c r="Z172" s="61" t="e">
        <f t="shared" si="88"/>
        <v>#N/A</v>
      </c>
      <c r="AA172" s="61" t="e">
        <f t="shared" si="93"/>
        <v>#N/A</v>
      </c>
      <c r="AB172" s="61" t="e">
        <f t="shared" si="89"/>
        <v>#N/A</v>
      </c>
      <c r="AC172" s="61" t="e">
        <f t="shared" si="90"/>
        <v>#N/A</v>
      </c>
      <c r="AD172" s="61" t="e">
        <f t="shared" si="91"/>
        <v>#N/A</v>
      </c>
      <c r="AE172" s="61" t="e">
        <f t="shared" si="94"/>
        <v>#N/A</v>
      </c>
      <c r="AF172" s="61">
        <f t="shared" si="95"/>
        <v>0</v>
      </c>
      <c r="AG172" s="61" t="e">
        <f t="shared" si="96"/>
        <v>#N/A</v>
      </c>
      <c r="AH172" s="61" t="e">
        <f t="shared" si="97"/>
        <v>#N/A</v>
      </c>
      <c r="AI172" s="61" t="e">
        <f t="shared" si="98"/>
        <v>#N/A</v>
      </c>
      <c r="AJ172" s="61" t="e">
        <f t="shared" si="99"/>
        <v>#N/A</v>
      </c>
      <c r="AK172" s="61" t="e">
        <f t="shared" si="100"/>
        <v>#N/A</v>
      </c>
      <c r="AL172" s="61" t="e">
        <f t="shared" si="101"/>
        <v>#N/A</v>
      </c>
      <c r="AM172" s="61" t="e">
        <f t="shared" si="102"/>
        <v>#N/A</v>
      </c>
      <c r="AN172" s="61" t="e">
        <f t="shared" si="103"/>
        <v>#N/A</v>
      </c>
      <c r="AO172" s="61" t="e">
        <f t="shared" si="104"/>
        <v>#N/A</v>
      </c>
      <c r="AP172" s="61" t="e">
        <f t="shared" si="105"/>
        <v>#N/A</v>
      </c>
      <c r="AQ172" s="61" t="e">
        <f t="shared" si="106"/>
        <v>#N/A</v>
      </c>
      <c r="AR172" s="61" t="e">
        <f t="shared" si="107"/>
        <v>#N/A</v>
      </c>
      <c r="AS172" s="61" t="e">
        <f t="shared" ca="1" si="108"/>
        <v>#N/A</v>
      </c>
      <c r="AT172" s="61" t="e">
        <f t="shared" ca="1" si="109"/>
        <v>#N/A</v>
      </c>
      <c r="AU172" s="61" t="e">
        <f t="shared" si="92"/>
        <v>#N/A</v>
      </c>
      <c r="AV172" s="61" t="e">
        <f t="shared" si="110"/>
        <v>#N/A</v>
      </c>
      <c r="AW172" s="61" t="e">
        <f t="shared" si="111"/>
        <v>#N/A</v>
      </c>
      <c r="AX172" s="61" t="e">
        <f t="shared" si="112"/>
        <v>#N/A</v>
      </c>
    </row>
    <row r="173" spans="1:50" x14ac:dyDescent="0.3">
      <c r="A173" s="47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Y173" s="48" t="e">
        <f t="shared" ref="Y173:Y236" si="114">IF(OR(AF172=0,AM172=0),0,(4*(ROUNDDOWN((AS172+5)*(1+$V$58),)+$V$59)+$V$60)/(4*(ROUNDDOWN(AS172*(1+$V$58),)+$V$59)+$V$60)-1)</f>
        <v>#N/A</v>
      </c>
      <c r="Z173" s="61" t="e">
        <f t="shared" ref="Z173:Z236" si="115">IF(OR(AF172=0,AN172=0),0,ROUNDDOWN((AT172+1)*(1+공마퍼),)/ROUNDDOWN(AT172*(1+공마퍼),)-1)</f>
        <v>#N/A</v>
      </c>
      <c r="AA173" s="61" t="e">
        <f t="shared" si="93"/>
        <v>#N/A</v>
      </c>
      <c r="AB173" s="61" t="e">
        <f t="shared" ref="AB173:AB236" si="116">IF(OR(AF172=0,AP172=0),0,(MIN(1,AV172+0.01)*(1.35+AU172+IF(크리인=1,0.01*크리인뎀,))+1-MIN(1,AV172))/(MIN(1,AV172)*(1.35+AU172)+1-MIN(1,AV172))-1)</f>
        <v>#N/A</v>
      </c>
      <c r="AC173" s="61" t="e">
        <f t="shared" ref="AC173:AC236" si="117">IF(OR(AF172=0,AQ172=0),0,(1+데미지+AW172+IF(보스=0,0,0.01))/(1+데미지+AW172)-1)</f>
        <v>#N/A</v>
      </c>
      <c r="AD173" s="61" t="e">
        <f t="shared" ref="AD173:AD236" si="118">IF(OR(AF172=0,AR172=0),0,IF($V$61*(1-AX172)&gt;1,2,(1-$V$61*(1-AX172)/(1-AL172*0.01)*(1-(AL172+1)*0.01))/(1-$V$61*(1-AX172)))-1)</f>
        <v>#N/A</v>
      </c>
      <c r="AE173" s="61" t="e">
        <f t="shared" si="94"/>
        <v>#N/A</v>
      </c>
      <c r="AF173" s="61">
        <f t="shared" si="95"/>
        <v>0</v>
      </c>
      <c r="AG173" s="61" t="e">
        <f t="shared" si="96"/>
        <v>#N/A</v>
      </c>
      <c r="AH173" s="61" t="e">
        <f t="shared" si="97"/>
        <v>#N/A</v>
      </c>
      <c r="AI173" s="61" t="e">
        <f t="shared" si="98"/>
        <v>#N/A</v>
      </c>
      <c r="AJ173" s="61" t="e">
        <f t="shared" si="99"/>
        <v>#N/A</v>
      </c>
      <c r="AK173" s="61" t="e">
        <f t="shared" si="100"/>
        <v>#N/A</v>
      </c>
      <c r="AL173" s="61" t="e">
        <f t="shared" si="101"/>
        <v>#N/A</v>
      </c>
      <c r="AM173" s="61" t="e">
        <f t="shared" si="102"/>
        <v>#N/A</v>
      </c>
      <c r="AN173" s="61" t="e">
        <f t="shared" si="103"/>
        <v>#N/A</v>
      </c>
      <c r="AO173" s="61" t="e">
        <f t="shared" si="104"/>
        <v>#N/A</v>
      </c>
      <c r="AP173" s="61" t="e">
        <f t="shared" si="105"/>
        <v>#N/A</v>
      </c>
      <c r="AQ173" s="61" t="e">
        <f t="shared" si="106"/>
        <v>#N/A</v>
      </c>
      <c r="AR173" s="61" t="e">
        <f t="shared" si="107"/>
        <v>#N/A</v>
      </c>
      <c r="AS173" s="61" t="e">
        <f t="shared" ca="1" si="108"/>
        <v>#N/A</v>
      </c>
      <c r="AT173" s="61" t="e">
        <f t="shared" ca="1" si="109"/>
        <v>#N/A</v>
      </c>
      <c r="AU173" s="61" t="e">
        <f t="shared" ref="AU173:AU236" si="119">AU172+IF(AE173=3,0.005,0)+IF(AE173=4,IF(크리인=1,0.01*크리인뎀,),0)</f>
        <v>#N/A</v>
      </c>
      <c r="AV173" s="61" t="e">
        <f t="shared" si="110"/>
        <v>#N/A</v>
      </c>
      <c r="AW173" s="61" t="e">
        <f t="shared" si="111"/>
        <v>#N/A</v>
      </c>
      <c r="AX173" s="61" t="e">
        <f t="shared" si="112"/>
        <v>#N/A</v>
      </c>
    </row>
    <row r="174" spans="1:50" x14ac:dyDescent="0.3">
      <c r="A174" s="47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Y174" s="48" t="e">
        <f t="shared" si="114"/>
        <v>#N/A</v>
      </c>
      <c r="Z174" s="61" t="e">
        <f t="shared" si="115"/>
        <v>#N/A</v>
      </c>
      <c r="AA174" s="61" t="e">
        <f t="shared" ref="AA174:AA237" si="120">IF(OR(AF173=0,AO173=0),0,(AV173*(1.35+AU173+0.01)+1-AV173)/(AV173*(1.35+AU173)+1-AV173)-1)</f>
        <v>#N/A</v>
      </c>
      <c r="AB174" s="61" t="e">
        <f t="shared" si="116"/>
        <v>#N/A</v>
      </c>
      <c r="AC174" s="61" t="e">
        <f t="shared" si="117"/>
        <v>#N/A</v>
      </c>
      <c r="AD174" s="61" t="e">
        <f t="shared" si="118"/>
        <v>#N/A</v>
      </c>
      <c r="AE174" s="61" t="e">
        <f t="shared" ref="AE174:AE237" si="121">IF(SUM(Y174:AD174)=0,0,MATCH(MAX(Y174:AD174),Y174:AD174,0))</f>
        <v>#N/A</v>
      </c>
      <c r="AF174" s="61">
        <f t="shared" ref="AF174:AF237" si="122">MAX(0,AF173-1)</f>
        <v>0</v>
      </c>
      <c r="AG174" s="61" t="e">
        <f t="shared" ref="AG174:AG237" si="123">IF(AE174=1,AG173+1,AG173)</f>
        <v>#N/A</v>
      </c>
      <c r="AH174" s="61" t="e">
        <f t="shared" ref="AH174:AH237" si="124">IF(AE174=2,AH173+1,AH173)</f>
        <v>#N/A</v>
      </c>
      <c r="AI174" s="61" t="e">
        <f t="shared" ref="AI174:AI237" si="125">IF(AE174=3,AI173+1,AI173)</f>
        <v>#N/A</v>
      </c>
      <c r="AJ174" s="61" t="e">
        <f t="shared" ref="AJ174:AJ237" si="126">IF(AE174=4,AJ173+1,AJ173)</f>
        <v>#N/A</v>
      </c>
      <c r="AK174" s="61" t="e">
        <f t="shared" ref="AK174:AK237" si="127">IF(AE174=5,AK173+1,AK173)</f>
        <v>#N/A</v>
      </c>
      <c r="AL174" s="61" t="e">
        <f t="shared" ref="AL174:AL237" si="128">IF(AE174=6,AL173+1,AL173)</f>
        <v>#N/A</v>
      </c>
      <c r="AM174" s="61" t="e">
        <f t="shared" ref="AM174:AM237" si="129">IF(AE174=1,AM173-1,AM173)</f>
        <v>#N/A</v>
      </c>
      <c r="AN174" s="61" t="e">
        <f t="shared" ref="AN174:AN237" si="130">IF(AE174=2,AN173-1,AN173)</f>
        <v>#N/A</v>
      </c>
      <c r="AO174" s="61" t="e">
        <f t="shared" ref="AO174:AO237" si="131">IF(AE174=3,AO173-1,AO173)</f>
        <v>#N/A</v>
      </c>
      <c r="AP174" s="61" t="e">
        <f t="shared" ref="AP174:AP237" si="132">IF(AE174=4,AP173-1,AP173)</f>
        <v>#N/A</v>
      </c>
      <c r="AQ174" s="61" t="e">
        <f t="shared" ref="AQ174:AQ237" si="133">IF(AE174=5,AQ173-1,AQ173)</f>
        <v>#N/A</v>
      </c>
      <c r="AR174" s="61" t="e">
        <f t="shared" ref="AR174:AR237" si="134">IF(AE174=6,AR173-1,AR173)</f>
        <v>#N/A</v>
      </c>
      <c r="AS174" s="61" t="e">
        <f t="shared" ref="AS174:AS237" ca="1" si="135">AS173+IF(AE174=1,5,0)</f>
        <v>#N/A</v>
      </c>
      <c r="AT174" s="61" t="e">
        <f t="shared" ref="AT174:AT237" ca="1" si="136">AT173+IF(AE174=2,1,0)</f>
        <v>#N/A</v>
      </c>
      <c r="AU174" s="61" t="e">
        <f t="shared" si="119"/>
        <v>#N/A</v>
      </c>
      <c r="AV174" s="61" t="e">
        <f t="shared" ref="AV174:AV237" si="137">MIN(1,AV173+IF(AE174=4,0.01,0))</f>
        <v>#N/A</v>
      </c>
      <c r="AW174" s="61" t="e">
        <f t="shared" ref="AW174:AW237" si="138">AW173+IF(AE174=5,0.01,0)</f>
        <v>#N/A</v>
      </c>
      <c r="AX174" s="61" t="e">
        <f t="shared" ref="AX174:AX237" si="139">IF(AE174=6,1-(1-AX173)/(1-AL173*0.01)*(1-AL174*0.01),AX173)</f>
        <v>#N/A</v>
      </c>
    </row>
    <row r="175" spans="1:50" x14ac:dyDescent="0.3">
      <c r="A175" s="47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Y175" s="48" t="e">
        <f t="shared" si="114"/>
        <v>#N/A</v>
      </c>
      <c r="Z175" s="61" t="e">
        <f t="shared" si="115"/>
        <v>#N/A</v>
      </c>
      <c r="AA175" s="61" t="e">
        <f t="shared" si="120"/>
        <v>#N/A</v>
      </c>
      <c r="AB175" s="61" t="e">
        <f t="shared" si="116"/>
        <v>#N/A</v>
      </c>
      <c r="AC175" s="61" t="e">
        <f t="shared" si="117"/>
        <v>#N/A</v>
      </c>
      <c r="AD175" s="61" t="e">
        <f t="shared" si="118"/>
        <v>#N/A</v>
      </c>
      <c r="AE175" s="61" t="e">
        <f t="shared" si="121"/>
        <v>#N/A</v>
      </c>
      <c r="AF175" s="61">
        <f t="shared" si="122"/>
        <v>0</v>
      </c>
      <c r="AG175" s="61" t="e">
        <f t="shared" si="123"/>
        <v>#N/A</v>
      </c>
      <c r="AH175" s="61" t="e">
        <f t="shared" si="124"/>
        <v>#N/A</v>
      </c>
      <c r="AI175" s="61" t="e">
        <f t="shared" si="125"/>
        <v>#N/A</v>
      </c>
      <c r="AJ175" s="61" t="e">
        <f t="shared" si="126"/>
        <v>#N/A</v>
      </c>
      <c r="AK175" s="61" t="e">
        <f t="shared" si="127"/>
        <v>#N/A</v>
      </c>
      <c r="AL175" s="61" t="e">
        <f t="shared" si="128"/>
        <v>#N/A</v>
      </c>
      <c r="AM175" s="61" t="e">
        <f t="shared" si="129"/>
        <v>#N/A</v>
      </c>
      <c r="AN175" s="61" t="e">
        <f t="shared" si="130"/>
        <v>#N/A</v>
      </c>
      <c r="AO175" s="61" t="e">
        <f t="shared" si="131"/>
        <v>#N/A</v>
      </c>
      <c r="AP175" s="61" t="e">
        <f t="shared" si="132"/>
        <v>#N/A</v>
      </c>
      <c r="AQ175" s="61" t="e">
        <f t="shared" si="133"/>
        <v>#N/A</v>
      </c>
      <c r="AR175" s="61" t="e">
        <f t="shared" si="134"/>
        <v>#N/A</v>
      </c>
      <c r="AS175" s="61" t="e">
        <f t="shared" ca="1" si="135"/>
        <v>#N/A</v>
      </c>
      <c r="AT175" s="61" t="e">
        <f t="shared" ca="1" si="136"/>
        <v>#N/A</v>
      </c>
      <c r="AU175" s="61" t="e">
        <f t="shared" si="119"/>
        <v>#N/A</v>
      </c>
      <c r="AV175" s="61" t="e">
        <f t="shared" si="137"/>
        <v>#N/A</v>
      </c>
      <c r="AW175" s="61" t="e">
        <f t="shared" si="138"/>
        <v>#N/A</v>
      </c>
      <c r="AX175" s="61" t="e">
        <f t="shared" si="139"/>
        <v>#N/A</v>
      </c>
    </row>
    <row r="176" spans="1:50" x14ac:dyDescent="0.3">
      <c r="A176" s="47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Y176" s="48" t="e">
        <f t="shared" si="114"/>
        <v>#N/A</v>
      </c>
      <c r="Z176" s="61" t="e">
        <f t="shared" si="115"/>
        <v>#N/A</v>
      </c>
      <c r="AA176" s="61" t="e">
        <f t="shared" si="120"/>
        <v>#N/A</v>
      </c>
      <c r="AB176" s="61" t="e">
        <f t="shared" si="116"/>
        <v>#N/A</v>
      </c>
      <c r="AC176" s="61" t="e">
        <f t="shared" si="117"/>
        <v>#N/A</v>
      </c>
      <c r="AD176" s="61" t="e">
        <f t="shared" si="118"/>
        <v>#N/A</v>
      </c>
      <c r="AE176" s="61" t="e">
        <f t="shared" si="121"/>
        <v>#N/A</v>
      </c>
      <c r="AF176" s="61">
        <f t="shared" si="122"/>
        <v>0</v>
      </c>
      <c r="AG176" s="61" t="e">
        <f t="shared" si="123"/>
        <v>#N/A</v>
      </c>
      <c r="AH176" s="61" t="e">
        <f t="shared" si="124"/>
        <v>#N/A</v>
      </c>
      <c r="AI176" s="61" t="e">
        <f t="shared" si="125"/>
        <v>#N/A</v>
      </c>
      <c r="AJ176" s="61" t="e">
        <f t="shared" si="126"/>
        <v>#N/A</v>
      </c>
      <c r="AK176" s="61" t="e">
        <f t="shared" si="127"/>
        <v>#N/A</v>
      </c>
      <c r="AL176" s="61" t="e">
        <f t="shared" si="128"/>
        <v>#N/A</v>
      </c>
      <c r="AM176" s="61" t="e">
        <f t="shared" si="129"/>
        <v>#N/A</v>
      </c>
      <c r="AN176" s="61" t="e">
        <f t="shared" si="130"/>
        <v>#N/A</v>
      </c>
      <c r="AO176" s="61" t="e">
        <f t="shared" si="131"/>
        <v>#N/A</v>
      </c>
      <c r="AP176" s="61" t="e">
        <f t="shared" si="132"/>
        <v>#N/A</v>
      </c>
      <c r="AQ176" s="61" t="e">
        <f t="shared" si="133"/>
        <v>#N/A</v>
      </c>
      <c r="AR176" s="61" t="e">
        <f t="shared" si="134"/>
        <v>#N/A</v>
      </c>
      <c r="AS176" s="61" t="e">
        <f t="shared" ca="1" si="135"/>
        <v>#N/A</v>
      </c>
      <c r="AT176" s="61" t="e">
        <f t="shared" ca="1" si="136"/>
        <v>#N/A</v>
      </c>
      <c r="AU176" s="61" t="e">
        <f t="shared" si="119"/>
        <v>#N/A</v>
      </c>
      <c r="AV176" s="61" t="e">
        <f t="shared" si="137"/>
        <v>#N/A</v>
      </c>
      <c r="AW176" s="61" t="e">
        <f t="shared" si="138"/>
        <v>#N/A</v>
      </c>
      <c r="AX176" s="61" t="e">
        <f t="shared" si="139"/>
        <v>#N/A</v>
      </c>
    </row>
    <row r="177" spans="1:50" x14ac:dyDescent="0.3">
      <c r="A177" s="47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Y177" s="48" t="e">
        <f t="shared" si="114"/>
        <v>#N/A</v>
      </c>
      <c r="Z177" s="61" t="e">
        <f t="shared" si="115"/>
        <v>#N/A</v>
      </c>
      <c r="AA177" s="61" t="e">
        <f t="shared" si="120"/>
        <v>#N/A</v>
      </c>
      <c r="AB177" s="61" t="e">
        <f t="shared" si="116"/>
        <v>#N/A</v>
      </c>
      <c r="AC177" s="61" t="e">
        <f t="shared" si="117"/>
        <v>#N/A</v>
      </c>
      <c r="AD177" s="61" t="e">
        <f t="shared" si="118"/>
        <v>#N/A</v>
      </c>
      <c r="AE177" s="61" t="e">
        <f t="shared" si="121"/>
        <v>#N/A</v>
      </c>
      <c r="AF177" s="61">
        <f t="shared" si="122"/>
        <v>0</v>
      </c>
      <c r="AG177" s="61" t="e">
        <f t="shared" si="123"/>
        <v>#N/A</v>
      </c>
      <c r="AH177" s="61" t="e">
        <f t="shared" si="124"/>
        <v>#N/A</v>
      </c>
      <c r="AI177" s="61" t="e">
        <f t="shared" si="125"/>
        <v>#N/A</v>
      </c>
      <c r="AJ177" s="61" t="e">
        <f t="shared" si="126"/>
        <v>#N/A</v>
      </c>
      <c r="AK177" s="61" t="e">
        <f t="shared" si="127"/>
        <v>#N/A</v>
      </c>
      <c r="AL177" s="61" t="e">
        <f t="shared" si="128"/>
        <v>#N/A</v>
      </c>
      <c r="AM177" s="61" t="e">
        <f t="shared" si="129"/>
        <v>#N/A</v>
      </c>
      <c r="AN177" s="61" t="e">
        <f t="shared" si="130"/>
        <v>#N/A</v>
      </c>
      <c r="AO177" s="61" t="e">
        <f t="shared" si="131"/>
        <v>#N/A</v>
      </c>
      <c r="AP177" s="61" t="e">
        <f t="shared" si="132"/>
        <v>#N/A</v>
      </c>
      <c r="AQ177" s="61" t="e">
        <f t="shared" si="133"/>
        <v>#N/A</v>
      </c>
      <c r="AR177" s="61" t="e">
        <f t="shared" si="134"/>
        <v>#N/A</v>
      </c>
      <c r="AS177" s="61" t="e">
        <f t="shared" ca="1" si="135"/>
        <v>#N/A</v>
      </c>
      <c r="AT177" s="61" t="e">
        <f t="shared" ca="1" si="136"/>
        <v>#N/A</v>
      </c>
      <c r="AU177" s="61" t="e">
        <f t="shared" si="119"/>
        <v>#N/A</v>
      </c>
      <c r="AV177" s="61" t="e">
        <f t="shared" si="137"/>
        <v>#N/A</v>
      </c>
      <c r="AW177" s="61" t="e">
        <f t="shared" si="138"/>
        <v>#N/A</v>
      </c>
      <c r="AX177" s="61" t="e">
        <f t="shared" si="139"/>
        <v>#N/A</v>
      </c>
    </row>
    <row r="178" spans="1:50" x14ac:dyDescent="0.3">
      <c r="A178" s="47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Y178" s="48" t="e">
        <f t="shared" si="114"/>
        <v>#N/A</v>
      </c>
      <c r="Z178" s="61" t="e">
        <f t="shared" si="115"/>
        <v>#N/A</v>
      </c>
      <c r="AA178" s="61" t="e">
        <f t="shared" si="120"/>
        <v>#N/A</v>
      </c>
      <c r="AB178" s="61" t="e">
        <f t="shared" si="116"/>
        <v>#N/A</v>
      </c>
      <c r="AC178" s="61" t="e">
        <f t="shared" si="117"/>
        <v>#N/A</v>
      </c>
      <c r="AD178" s="61" t="e">
        <f t="shared" si="118"/>
        <v>#N/A</v>
      </c>
      <c r="AE178" s="61" t="e">
        <f t="shared" si="121"/>
        <v>#N/A</v>
      </c>
      <c r="AF178" s="61">
        <f t="shared" si="122"/>
        <v>0</v>
      </c>
      <c r="AG178" s="61" t="e">
        <f t="shared" si="123"/>
        <v>#N/A</v>
      </c>
      <c r="AH178" s="61" t="e">
        <f t="shared" si="124"/>
        <v>#N/A</v>
      </c>
      <c r="AI178" s="61" t="e">
        <f t="shared" si="125"/>
        <v>#N/A</v>
      </c>
      <c r="AJ178" s="61" t="e">
        <f t="shared" si="126"/>
        <v>#N/A</v>
      </c>
      <c r="AK178" s="61" t="e">
        <f t="shared" si="127"/>
        <v>#N/A</v>
      </c>
      <c r="AL178" s="61" t="e">
        <f t="shared" si="128"/>
        <v>#N/A</v>
      </c>
      <c r="AM178" s="61" t="e">
        <f t="shared" si="129"/>
        <v>#N/A</v>
      </c>
      <c r="AN178" s="61" t="e">
        <f t="shared" si="130"/>
        <v>#N/A</v>
      </c>
      <c r="AO178" s="61" t="e">
        <f t="shared" si="131"/>
        <v>#N/A</v>
      </c>
      <c r="AP178" s="61" t="e">
        <f t="shared" si="132"/>
        <v>#N/A</v>
      </c>
      <c r="AQ178" s="61" t="e">
        <f t="shared" si="133"/>
        <v>#N/A</v>
      </c>
      <c r="AR178" s="61" t="e">
        <f t="shared" si="134"/>
        <v>#N/A</v>
      </c>
      <c r="AS178" s="61" t="e">
        <f t="shared" ca="1" si="135"/>
        <v>#N/A</v>
      </c>
      <c r="AT178" s="61" t="e">
        <f t="shared" ca="1" si="136"/>
        <v>#N/A</v>
      </c>
      <c r="AU178" s="61" t="e">
        <f t="shared" si="119"/>
        <v>#N/A</v>
      </c>
      <c r="AV178" s="61" t="e">
        <f t="shared" si="137"/>
        <v>#N/A</v>
      </c>
      <c r="AW178" s="61" t="e">
        <f t="shared" si="138"/>
        <v>#N/A</v>
      </c>
      <c r="AX178" s="61" t="e">
        <f t="shared" si="139"/>
        <v>#N/A</v>
      </c>
    </row>
    <row r="179" spans="1:50" x14ac:dyDescent="0.3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Y179" s="48" t="e">
        <f t="shared" si="114"/>
        <v>#N/A</v>
      </c>
      <c r="Z179" s="61" t="e">
        <f t="shared" si="115"/>
        <v>#N/A</v>
      </c>
      <c r="AA179" s="61" t="e">
        <f t="shared" si="120"/>
        <v>#N/A</v>
      </c>
      <c r="AB179" s="61" t="e">
        <f t="shared" si="116"/>
        <v>#N/A</v>
      </c>
      <c r="AC179" s="61" t="e">
        <f t="shared" si="117"/>
        <v>#N/A</v>
      </c>
      <c r="AD179" s="61" t="e">
        <f t="shared" si="118"/>
        <v>#N/A</v>
      </c>
      <c r="AE179" s="61" t="e">
        <f t="shared" si="121"/>
        <v>#N/A</v>
      </c>
      <c r="AF179" s="61">
        <f t="shared" si="122"/>
        <v>0</v>
      </c>
      <c r="AG179" s="61" t="e">
        <f t="shared" si="123"/>
        <v>#N/A</v>
      </c>
      <c r="AH179" s="61" t="e">
        <f t="shared" si="124"/>
        <v>#N/A</v>
      </c>
      <c r="AI179" s="61" t="e">
        <f t="shared" si="125"/>
        <v>#N/A</v>
      </c>
      <c r="AJ179" s="61" t="e">
        <f t="shared" si="126"/>
        <v>#N/A</v>
      </c>
      <c r="AK179" s="61" t="e">
        <f t="shared" si="127"/>
        <v>#N/A</v>
      </c>
      <c r="AL179" s="61" t="e">
        <f t="shared" si="128"/>
        <v>#N/A</v>
      </c>
      <c r="AM179" s="61" t="e">
        <f t="shared" si="129"/>
        <v>#N/A</v>
      </c>
      <c r="AN179" s="61" t="e">
        <f t="shared" si="130"/>
        <v>#N/A</v>
      </c>
      <c r="AO179" s="61" t="e">
        <f t="shared" si="131"/>
        <v>#N/A</v>
      </c>
      <c r="AP179" s="61" t="e">
        <f t="shared" si="132"/>
        <v>#N/A</v>
      </c>
      <c r="AQ179" s="61" t="e">
        <f t="shared" si="133"/>
        <v>#N/A</v>
      </c>
      <c r="AR179" s="61" t="e">
        <f t="shared" si="134"/>
        <v>#N/A</v>
      </c>
      <c r="AS179" s="61" t="e">
        <f t="shared" ca="1" si="135"/>
        <v>#N/A</v>
      </c>
      <c r="AT179" s="61" t="e">
        <f t="shared" ca="1" si="136"/>
        <v>#N/A</v>
      </c>
      <c r="AU179" s="61" t="e">
        <f t="shared" si="119"/>
        <v>#N/A</v>
      </c>
      <c r="AV179" s="61" t="e">
        <f t="shared" si="137"/>
        <v>#N/A</v>
      </c>
      <c r="AW179" s="61" t="e">
        <f t="shared" si="138"/>
        <v>#N/A</v>
      </c>
      <c r="AX179" s="61" t="e">
        <f t="shared" si="139"/>
        <v>#N/A</v>
      </c>
    </row>
    <row r="180" spans="1:50" x14ac:dyDescent="0.3">
      <c r="A180" s="47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Y180" s="48" t="e">
        <f t="shared" si="114"/>
        <v>#N/A</v>
      </c>
      <c r="Z180" s="61" t="e">
        <f t="shared" si="115"/>
        <v>#N/A</v>
      </c>
      <c r="AA180" s="61" t="e">
        <f t="shared" si="120"/>
        <v>#N/A</v>
      </c>
      <c r="AB180" s="61" t="e">
        <f t="shared" si="116"/>
        <v>#N/A</v>
      </c>
      <c r="AC180" s="61" t="e">
        <f t="shared" si="117"/>
        <v>#N/A</v>
      </c>
      <c r="AD180" s="61" t="e">
        <f t="shared" si="118"/>
        <v>#N/A</v>
      </c>
      <c r="AE180" s="61" t="e">
        <f t="shared" si="121"/>
        <v>#N/A</v>
      </c>
      <c r="AF180" s="61">
        <f t="shared" si="122"/>
        <v>0</v>
      </c>
      <c r="AG180" s="61" t="e">
        <f t="shared" si="123"/>
        <v>#N/A</v>
      </c>
      <c r="AH180" s="61" t="e">
        <f t="shared" si="124"/>
        <v>#N/A</v>
      </c>
      <c r="AI180" s="61" t="e">
        <f t="shared" si="125"/>
        <v>#N/A</v>
      </c>
      <c r="AJ180" s="61" t="e">
        <f t="shared" si="126"/>
        <v>#N/A</v>
      </c>
      <c r="AK180" s="61" t="e">
        <f t="shared" si="127"/>
        <v>#N/A</v>
      </c>
      <c r="AL180" s="61" t="e">
        <f t="shared" si="128"/>
        <v>#N/A</v>
      </c>
      <c r="AM180" s="61" t="e">
        <f t="shared" si="129"/>
        <v>#N/A</v>
      </c>
      <c r="AN180" s="61" t="e">
        <f t="shared" si="130"/>
        <v>#N/A</v>
      </c>
      <c r="AO180" s="61" t="e">
        <f t="shared" si="131"/>
        <v>#N/A</v>
      </c>
      <c r="AP180" s="61" t="e">
        <f t="shared" si="132"/>
        <v>#N/A</v>
      </c>
      <c r="AQ180" s="61" t="e">
        <f t="shared" si="133"/>
        <v>#N/A</v>
      </c>
      <c r="AR180" s="61" t="e">
        <f t="shared" si="134"/>
        <v>#N/A</v>
      </c>
      <c r="AS180" s="61" t="e">
        <f t="shared" ca="1" si="135"/>
        <v>#N/A</v>
      </c>
      <c r="AT180" s="61" t="e">
        <f t="shared" ca="1" si="136"/>
        <v>#N/A</v>
      </c>
      <c r="AU180" s="61" t="e">
        <f t="shared" si="119"/>
        <v>#N/A</v>
      </c>
      <c r="AV180" s="61" t="e">
        <f t="shared" si="137"/>
        <v>#N/A</v>
      </c>
      <c r="AW180" s="61" t="e">
        <f t="shared" si="138"/>
        <v>#N/A</v>
      </c>
      <c r="AX180" s="61" t="e">
        <f t="shared" si="139"/>
        <v>#N/A</v>
      </c>
    </row>
    <row r="181" spans="1:50" x14ac:dyDescent="0.3">
      <c r="A181" s="47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Y181" s="48" t="e">
        <f t="shared" si="114"/>
        <v>#N/A</v>
      </c>
      <c r="Z181" s="61" t="e">
        <f t="shared" si="115"/>
        <v>#N/A</v>
      </c>
      <c r="AA181" s="61" t="e">
        <f t="shared" si="120"/>
        <v>#N/A</v>
      </c>
      <c r="AB181" s="61" t="e">
        <f t="shared" si="116"/>
        <v>#N/A</v>
      </c>
      <c r="AC181" s="61" t="e">
        <f t="shared" si="117"/>
        <v>#N/A</v>
      </c>
      <c r="AD181" s="61" t="e">
        <f t="shared" si="118"/>
        <v>#N/A</v>
      </c>
      <c r="AE181" s="61" t="e">
        <f t="shared" si="121"/>
        <v>#N/A</v>
      </c>
      <c r="AF181" s="61">
        <f t="shared" si="122"/>
        <v>0</v>
      </c>
      <c r="AG181" s="61" t="e">
        <f t="shared" si="123"/>
        <v>#N/A</v>
      </c>
      <c r="AH181" s="61" t="e">
        <f t="shared" si="124"/>
        <v>#N/A</v>
      </c>
      <c r="AI181" s="61" t="e">
        <f t="shared" si="125"/>
        <v>#N/A</v>
      </c>
      <c r="AJ181" s="61" t="e">
        <f t="shared" si="126"/>
        <v>#N/A</v>
      </c>
      <c r="AK181" s="61" t="e">
        <f t="shared" si="127"/>
        <v>#N/A</v>
      </c>
      <c r="AL181" s="61" t="e">
        <f t="shared" si="128"/>
        <v>#N/A</v>
      </c>
      <c r="AM181" s="61" t="e">
        <f t="shared" si="129"/>
        <v>#N/A</v>
      </c>
      <c r="AN181" s="61" t="e">
        <f t="shared" si="130"/>
        <v>#N/A</v>
      </c>
      <c r="AO181" s="61" t="e">
        <f t="shared" si="131"/>
        <v>#N/A</v>
      </c>
      <c r="AP181" s="61" t="e">
        <f t="shared" si="132"/>
        <v>#N/A</v>
      </c>
      <c r="AQ181" s="61" t="e">
        <f t="shared" si="133"/>
        <v>#N/A</v>
      </c>
      <c r="AR181" s="61" t="e">
        <f t="shared" si="134"/>
        <v>#N/A</v>
      </c>
      <c r="AS181" s="61" t="e">
        <f t="shared" ca="1" si="135"/>
        <v>#N/A</v>
      </c>
      <c r="AT181" s="61" t="e">
        <f t="shared" ca="1" si="136"/>
        <v>#N/A</v>
      </c>
      <c r="AU181" s="61" t="e">
        <f t="shared" si="119"/>
        <v>#N/A</v>
      </c>
      <c r="AV181" s="61" t="e">
        <f t="shared" si="137"/>
        <v>#N/A</v>
      </c>
      <c r="AW181" s="61" t="e">
        <f t="shared" si="138"/>
        <v>#N/A</v>
      </c>
      <c r="AX181" s="61" t="e">
        <f t="shared" si="139"/>
        <v>#N/A</v>
      </c>
    </row>
    <row r="182" spans="1:50" x14ac:dyDescent="0.3">
      <c r="A182" s="47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Y182" s="48" t="e">
        <f t="shared" si="114"/>
        <v>#N/A</v>
      </c>
      <c r="Z182" s="61" t="e">
        <f t="shared" si="115"/>
        <v>#N/A</v>
      </c>
      <c r="AA182" s="61" t="e">
        <f t="shared" si="120"/>
        <v>#N/A</v>
      </c>
      <c r="AB182" s="61" t="e">
        <f t="shared" si="116"/>
        <v>#N/A</v>
      </c>
      <c r="AC182" s="61" t="e">
        <f t="shared" si="117"/>
        <v>#N/A</v>
      </c>
      <c r="AD182" s="61" t="e">
        <f t="shared" si="118"/>
        <v>#N/A</v>
      </c>
      <c r="AE182" s="61" t="e">
        <f t="shared" si="121"/>
        <v>#N/A</v>
      </c>
      <c r="AF182" s="61">
        <f t="shared" si="122"/>
        <v>0</v>
      </c>
      <c r="AG182" s="61" t="e">
        <f t="shared" si="123"/>
        <v>#N/A</v>
      </c>
      <c r="AH182" s="61" t="e">
        <f t="shared" si="124"/>
        <v>#N/A</v>
      </c>
      <c r="AI182" s="61" t="e">
        <f t="shared" si="125"/>
        <v>#N/A</v>
      </c>
      <c r="AJ182" s="61" t="e">
        <f t="shared" si="126"/>
        <v>#N/A</v>
      </c>
      <c r="AK182" s="61" t="e">
        <f t="shared" si="127"/>
        <v>#N/A</v>
      </c>
      <c r="AL182" s="61" t="e">
        <f t="shared" si="128"/>
        <v>#N/A</v>
      </c>
      <c r="AM182" s="61" t="e">
        <f t="shared" si="129"/>
        <v>#N/A</v>
      </c>
      <c r="AN182" s="61" t="e">
        <f t="shared" si="130"/>
        <v>#N/A</v>
      </c>
      <c r="AO182" s="61" t="e">
        <f t="shared" si="131"/>
        <v>#N/A</v>
      </c>
      <c r="AP182" s="61" t="e">
        <f t="shared" si="132"/>
        <v>#N/A</v>
      </c>
      <c r="AQ182" s="61" t="e">
        <f t="shared" si="133"/>
        <v>#N/A</v>
      </c>
      <c r="AR182" s="61" t="e">
        <f t="shared" si="134"/>
        <v>#N/A</v>
      </c>
      <c r="AS182" s="61" t="e">
        <f t="shared" ca="1" si="135"/>
        <v>#N/A</v>
      </c>
      <c r="AT182" s="61" t="e">
        <f t="shared" ca="1" si="136"/>
        <v>#N/A</v>
      </c>
      <c r="AU182" s="61" t="e">
        <f t="shared" si="119"/>
        <v>#N/A</v>
      </c>
      <c r="AV182" s="61" t="e">
        <f t="shared" si="137"/>
        <v>#N/A</v>
      </c>
      <c r="AW182" s="61" t="e">
        <f t="shared" si="138"/>
        <v>#N/A</v>
      </c>
      <c r="AX182" s="61" t="e">
        <f t="shared" si="139"/>
        <v>#N/A</v>
      </c>
    </row>
    <row r="183" spans="1:50" x14ac:dyDescent="0.3">
      <c r="A183" s="47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Y183" s="48" t="e">
        <f t="shared" si="114"/>
        <v>#N/A</v>
      </c>
      <c r="Z183" s="61" t="e">
        <f t="shared" si="115"/>
        <v>#N/A</v>
      </c>
      <c r="AA183" s="61" t="e">
        <f t="shared" si="120"/>
        <v>#N/A</v>
      </c>
      <c r="AB183" s="61" t="e">
        <f t="shared" si="116"/>
        <v>#N/A</v>
      </c>
      <c r="AC183" s="61" t="e">
        <f t="shared" si="117"/>
        <v>#N/A</v>
      </c>
      <c r="AD183" s="61" t="e">
        <f t="shared" si="118"/>
        <v>#N/A</v>
      </c>
      <c r="AE183" s="61" t="e">
        <f t="shared" si="121"/>
        <v>#N/A</v>
      </c>
      <c r="AF183" s="61">
        <f t="shared" si="122"/>
        <v>0</v>
      </c>
      <c r="AG183" s="61" t="e">
        <f t="shared" si="123"/>
        <v>#N/A</v>
      </c>
      <c r="AH183" s="61" t="e">
        <f t="shared" si="124"/>
        <v>#N/A</v>
      </c>
      <c r="AI183" s="61" t="e">
        <f t="shared" si="125"/>
        <v>#N/A</v>
      </c>
      <c r="AJ183" s="61" t="e">
        <f t="shared" si="126"/>
        <v>#N/A</v>
      </c>
      <c r="AK183" s="61" t="e">
        <f t="shared" si="127"/>
        <v>#N/A</v>
      </c>
      <c r="AL183" s="61" t="e">
        <f t="shared" si="128"/>
        <v>#N/A</v>
      </c>
      <c r="AM183" s="61" t="e">
        <f t="shared" si="129"/>
        <v>#N/A</v>
      </c>
      <c r="AN183" s="61" t="e">
        <f t="shared" si="130"/>
        <v>#N/A</v>
      </c>
      <c r="AO183" s="61" t="e">
        <f t="shared" si="131"/>
        <v>#N/A</v>
      </c>
      <c r="AP183" s="61" t="e">
        <f t="shared" si="132"/>
        <v>#N/A</v>
      </c>
      <c r="AQ183" s="61" t="e">
        <f t="shared" si="133"/>
        <v>#N/A</v>
      </c>
      <c r="AR183" s="61" t="e">
        <f t="shared" si="134"/>
        <v>#N/A</v>
      </c>
      <c r="AS183" s="61" t="e">
        <f t="shared" ca="1" si="135"/>
        <v>#N/A</v>
      </c>
      <c r="AT183" s="61" t="e">
        <f t="shared" ca="1" si="136"/>
        <v>#N/A</v>
      </c>
      <c r="AU183" s="61" t="e">
        <f t="shared" si="119"/>
        <v>#N/A</v>
      </c>
      <c r="AV183" s="61" t="e">
        <f t="shared" si="137"/>
        <v>#N/A</v>
      </c>
      <c r="AW183" s="61" t="e">
        <f t="shared" si="138"/>
        <v>#N/A</v>
      </c>
      <c r="AX183" s="61" t="e">
        <f t="shared" si="139"/>
        <v>#N/A</v>
      </c>
    </row>
    <row r="184" spans="1:50" x14ac:dyDescent="0.3">
      <c r="A184" s="47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Y184" s="48" t="e">
        <f t="shared" si="114"/>
        <v>#N/A</v>
      </c>
      <c r="Z184" s="61" t="e">
        <f t="shared" si="115"/>
        <v>#N/A</v>
      </c>
      <c r="AA184" s="61" t="e">
        <f t="shared" si="120"/>
        <v>#N/A</v>
      </c>
      <c r="AB184" s="61" t="e">
        <f t="shared" si="116"/>
        <v>#N/A</v>
      </c>
      <c r="AC184" s="61" t="e">
        <f t="shared" si="117"/>
        <v>#N/A</v>
      </c>
      <c r="AD184" s="61" t="e">
        <f t="shared" si="118"/>
        <v>#N/A</v>
      </c>
      <c r="AE184" s="61" t="e">
        <f t="shared" si="121"/>
        <v>#N/A</v>
      </c>
      <c r="AF184" s="61">
        <f t="shared" si="122"/>
        <v>0</v>
      </c>
      <c r="AG184" s="61" t="e">
        <f t="shared" si="123"/>
        <v>#N/A</v>
      </c>
      <c r="AH184" s="61" t="e">
        <f t="shared" si="124"/>
        <v>#N/A</v>
      </c>
      <c r="AI184" s="61" t="e">
        <f t="shared" si="125"/>
        <v>#N/A</v>
      </c>
      <c r="AJ184" s="61" t="e">
        <f t="shared" si="126"/>
        <v>#N/A</v>
      </c>
      <c r="AK184" s="61" t="e">
        <f t="shared" si="127"/>
        <v>#N/A</v>
      </c>
      <c r="AL184" s="61" t="e">
        <f t="shared" si="128"/>
        <v>#N/A</v>
      </c>
      <c r="AM184" s="61" t="e">
        <f t="shared" si="129"/>
        <v>#N/A</v>
      </c>
      <c r="AN184" s="61" t="e">
        <f t="shared" si="130"/>
        <v>#N/A</v>
      </c>
      <c r="AO184" s="61" t="e">
        <f t="shared" si="131"/>
        <v>#N/A</v>
      </c>
      <c r="AP184" s="61" t="e">
        <f t="shared" si="132"/>
        <v>#N/A</v>
      </c>
      <c r="AQ184" s="61" t="e">
        <f t="shared" si="133"/>
        <v>#N/A</v>
      </c>
      <c r="AR184" s="61" t="e">
        <f t="shared" si="134"/>
        <v>#N/A</v>
      </c>
      <c r="AS184" s="61" t="e">
        <f t="shared" ca="1" si="135"/>
        <v>#N/A</v>
      </c>
      <c r="AT184" s="61" t="e">
        <f t="shared" ca="1" si="136"/>
        <v>#N/A</v>
      </c>
      <c r="AU184" s="61" t="e">
        <f t="shared" si="119"/>
        <v>#N/A</v>
      </c>
      <c r="AV184" s="61" t="e">
        <f t="shared" si="137"/>
        <v>#N/A</v>
      </c>
      <c r="AW184" s="61" t="e">
        <f t="shared" si="138"/>
        <v>#N/A</v>
      </c>
      <c r="AX184" s="61" t="e">
        <f t="shared" si="139"/>
        <v>#N/A</v>
      </c>
    </row>
    <row r="185" spans="1:50" x14ac:dyDescent="0.3">
      <c r="A185" s="47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Y185" s="48" t="e">
        <f t="shared" si="114"/>
        <v>#N/A</v>
      </c>
      <c r="Z185" s="61" t="e">
        <f t="shared" si="115"/>
        <v>#N/A</v>
      </c>
      <c r="AA185" s="61" t="e">
        <f t="shared" si="120"/>
        <v>#N/A</v>
      </c>
      <c r="AB185" s="61" t="e">
        <f t="shared" si="116"/>
        <v>#N/A</v>
      </c>
      <c r="AC185" s="61" t="e">
        <f t="shared" si="117"/>
        <v>#N/A</v>
      </c>
      <c r="AD185" s="61" t="e">
        <f t="shared" si="118"/>
        <v>#N/A</v>
      </c>
      <c r="AE185" s="61" t="e">
        <f t="shared" si="121"/>
        <v>#N/A</v>
      </c>
      <c r="AF185" s="61">
        <f t="shared" si="122"/>
        <v>0</v>
      </c>
      <c r="AG185" s="61" t="e">
        <f t="shared" si="123"/>
        <v>#N/A</v>
      </c>
      <c r="AH185" s="61" t="e">
        <f t="shared" si="124"/>
        <v>#N/A</v>
      </c>
      <c r="AI185" s="61" t="e">
        <f t="shared" si="125"/>
        <v>#N/A</v>
      </c>
      <c r="AJ185" s="61" t="e">
        <f t="shared" si="126"/>
        <v>#N/A</v>
      </c>
      <c r="AK185" s="61" t="e">
        <f t="shared" si="127"/>
        <v>#N/A</v>
      </c>
      <c r="AL185" s="61" t="e">
        <f t="shared" si="128"/>
        <v>#N/A</v>
      </c>
      <c r="AM185" s="61" t="e">
        <f t="shared" si="129"/>
        <v>#N/A</v>
      </c>
      <c r="AN185" s="61" t="e">
        <f t="shared" si="130"/>
        <v>#N/A</v>
      </c>
      <c r="AO185" s="61" t="e">
        <f t="shared" si="131"/>
        <v>#N/A</v>
      </c>
      <c r="AP185" s="61" t="e">
        <f t="shared" si="132"/>
        <v>#N/A</v>
      </c>
      <c r="AQ185" s="61" t="e">
        <f t="shared" si="133"/>
        <v>#N/A</v>
      </c>
      <c r="AR185" s="61" t="e">
        <f t="shared" si="134"/>
        <v>#N/A</v>
      </c>
      <c r="AS185" s="61" t="e">
        <f t="shared" ca="1" si="135"/>
        <v>#N/A</v>
      </c>
      <c r="AT185" s="61" t="e">
        <f t="shared" ca="1" si="136"/>
        <v>#N/A</v>
      </c>
      <c r="AU185" s="61" t="e">
        <f t="shared" si="119"/>
        <v>#N/A</v>
      </c>
      <c r="AV185" s="61" t="e">
        <f t="shared" si="137"/>
        <v>#N/A</v>
      </c>
      <c r="AW185" s="61" t="e">
        <f t="shared" si="138"/>
        <v>#N/A</v>
      </c>
      <c r="AX185" s="61" t="e">
        <f t="shared" si="139"/>
        <v>#N/A</v>
      </c>
    </row>
    <row r="186" spans="1:50" x14ac:dyDescent="0.3">
      <c r="A186" s="47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Y186" s="48" t="e">
        <f t="shared" si="114"/>
        <v>#N/A</v>
      </c>
      <c r="Z186" s="61" t="e">
        <f t="shared" si="115"/>
        <v>#N/A</v>
      </c>
      <c r="AA186" s="61" t="e">
        <f t="shared" si="120"/>
        <v>#N/A</v>
      </c>
      <c r="AB186" s="61" t="e">
        <f t="shared" si="116"/>
        <v>#N/A</v>
      </c>
      <c r="AC186" s="61" t="e">
        <f t="shared" si="117"/>
        <v>#N/A</v>
      </c>
      <c r="AD186" s="61" t="e">
        <f t="shared" si="118"/>
        <v>#N/A</v>
      </c>
      <c r="AE186" s="61" t="e">
        <f t="shared" si="121"/>
        <v>#N/A</v>
      </c>
      <c r="AF186" s="61">
        <f t="shared" si="122"/>
        <v>0</v>
      </c>
      <c r="AG186" s="61" t="e">
        <f t="shared" si="123"/>
        <v>#N/A</v>
      </c>
      <c r="AH186" s="61" t="e">
        <f t="shared" si="124"/>
        <v>#N/A</v>
      </c>
      <c r="AI186" s="61" t="e">
        <f t="shared" si="125"/>
        <v>#N/A</v>
      </c>
      <c r="AJ186" s="61" t="e">
        <f t="shared" si="126"/>
        <v>#N/A</v>
      </c>
      <c r="AK186" s="61" t="e">
        <f t="shared" si="127"/>
        <v>#N/A</v>
      </c>
      <c r="AL186" s="61" t="e">
        <f t="shared" si="128"/>
        <v>#N/A</v>
      </c>
      <c r="AM186" s="61" t="e">
        <f t="shared" si="129"/>
        <v>#N/A</v>
      </c>
      <c r="AN186" s="61" t="e">
        <f t="shared" si="130"/>
        <v>#N/A</v>
      </c>
      <c r="AO186" s="61" t="e">
        <f t="shared" si="131"/>
        <v>#N/A</v>
      </c>
      <c r="AP186" s="61" t="e">
        <f t="shared" si="132"/>
        <v>#N/A</v>
      </c>
      <c r="AQ186" s="61" t="e">
        <f t="shared" si="133"/>
        <v>#N/A</v>
      </c>
      <c r="AR186" s="61" t="e">
        <f t="shared" si="134"/>
        <v>#N/A</v>
      </c>
      <c r="AS186" s="61" t="e">
        <f t="shared" ca="1" si="135"/>
        <v>#N/A</v>
      </c>
      <c r="AT186" s="61" t="e">
        <f t="shared" ca="1" si="136"/>
        <v>#N/A</v>
      </c>
      <c r="AU186" s="61" t="e">
        <f t="shared" si="119"/>
        <v>#N/A</v>
      </c>
      <c r="AV186" s="61" t="e">
        <f t="shared" si="137"/>
        <v>#N/A</v>
      </c>
      <c r="AW186" s="61" t="e">
        <f t="shared" si="138"/>
        <v>#N/A</v>
      </c>
      <c r="AX186" s="61" t="e">
        <f t="shared" si="139"/>
        <v>#N/A</v>
      </c>
    </row>
    <row r="187" spans="1:50" x14ac:dyDescent="0.3">
      <c r="A187" s="47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Y187" s="48" t="e">
        <f t="shared" si="114"/>
        <v>#N/A</v>
      </c>
      <c r="Z187" s="61" t="e">
        <f t="shared" si="115"/>
        <v>#N/A</v>
      </c>
      <c r="AA187" s="61" t="e">
        <f t="shared" si="120"/>
        <v>#N/A</v>
      </c>
      <c r="AB187" s="61" t="e">
        <f t="shared" si="116"/>
        <v>#N/A</v>
      </c>
      <c r="AC187" s="61" t="e">
        <f t="shared" si="117"/>
        <v>#N/A</v>
      </c>
      <c r="AD187" s="61" t="e">
        <f t="shared" si="118"/>
        <v>#N/A</v>
      </c>
      <c r="AE187" s="61" t="e">
        <f t="shared" si="121"/>
        <v>#N/A</v>
      </c>
      <c r="AF187" s="61">
        <f t="shared" si="122"/>
        <v>0</v>
      </c>
      <c r="AG187" s="61" t="e">
        <f t="shared" si="123"/>
        <v>#N/A</v>
      </c>
      <c r="AH187" s="61" t="e">
        <f t="shared" si="124"/>
        <v>#N/A</v>
      </c>
      <c r="AI187" s="61" t="e">
        <f t="shared" si="125"/>
        <v>#N/A</v>
      </c>
      <c r="AJ187" s="61" t="e">
        <f t="shared" si="126"/>
        <v>#N/A</v>
      </c>
      <c r="AK187" s="61" t="e">
        <f t="shared" si="127"/>
        <v>#N/A</v>
      </c>
      <c r="AL187" s="61" t="e">
        <f t="shared" si="128"/>
        <v>#N/A</v>
      </c>
      <c r="AM187" s="61" t="e">
        <f t="shared" si="129"/>
        <v>#N/A</v>
      </c>
      <c r="AN187" s="61" t="e">
        <f t="shared" si="130"/>
        <v>#N/A</v>
      </c>
      <c r="AO187" s="61" t="e">
        <f t="shared" si="131"/>
        <v>#N/A</v>
      </c>
      <c r="AP187" s="61" t="e">
        <f t="shared" si="132"/>
        <v>#N/A</v>
      </c>
      <c r="AQ187" s="61" t="e">
        <f t="shared" si="133"/>
        <v>#N/A</v>
      </c>
      <c r="AR187" s="61" t="e">
        <f t="shared" si="134"/>
        <v>#N/A</v>
      </c>
      <c r="AS187" s="61" t="e">
        <f t="shared" ca="1" si="135"/>
        <v>#N/A</v>
      </c>
      <c r="AT187" s="61" t="e">
        <f t="shared" ca="1" si="136"/>
        <v>#N/A</v>
      </c>
      <c r="AU187" s="61" t="e">
        <f t="shared" si="119"/>
        <v>#N/A</v>
      </c>
      <c r="AV187" s="61" t="e">
        <f t="shared" si="137"/>
        <v>#N/A</v>
      </c>
      <c r="AW187" s="61" t="e">
        <f t="shared" si="138"/>
        <v>#N/A</v>
      </c>
      <c r="AX187" s="61" t="e">
        <f t="shared" si="139"/>
        <v>#N/A</v>
      </c>
    </row>
    <row r="188" spans="1:50" x14ac:dyDescent="0.3">
      <c r="A188" s="47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Y188" s="48" t="e">
        <f t="shared" si="114"/>
        <v>#N/A</v>
      </c>
      <c r="Z188" s="61" t="e">
        <f t="shared" si="115"/>
        <v>#N/A</v>
      </c>
      <c r="AA188" s="61" t="e">
        <f t="shared" si="120"/>
        <v>#N/A</v>
      </c>
      <c r="AB188" s="61" t="e">
        <f t="shared" si="116"/>
        <v>#N/A</v>
      </c>
      <c r="AC188" s="61" t="e">
        <f t="shared" si="117"/>
        <v>#N/A</v>
      </c>
      <c r="AD188" s="61" t="e">
        <f t="shared" si="118"/>
        <v>#N/A</v>
      </c>
      <c r="AE188" s="61" t="e">
        <f t="shared" si="121"/>
        <v>#N/A</v>
      </c>
      <c r="AF188" s="61">
        <f t="shared" si="122"/>
        <v>0</v>
      </c>
      <c r="AG188" s="61" t="e">
        <f t="shared" si="123"/>
        <v>#N/A</v>
      </c>
      <c r="AH188" s="61" t="e">
        <f t="shared" si="124"/>
        <v>#N/A</v>
      </c>
      <c r="AI188" s="61" t="e">
        <f t="shared" si="125"/>
        <v>#N/A</v>
      </c>
      <c r="AJ188" s="61" t="e">
        <f t="shared" si="126"/>
        <v>#N/A</v>
      </c>
      <c r="AK188" s="61" t="e">
        <f t="shared" si="127"/>
        <v>#N/A</v>
      </c>
      <c r="AL188" s="61" t="e">
        <f t="shared" si="128"/>
        <v>#N/A</v>
      </c>
      <c r="AM188" s="61" t="e">
        <f t="shared" si="129"/>
        <v>#N/A</v>
      </c>
      <c r="AN188" s="61" t="e">
        <f t="shared" si="130"/>
        <v>#N/A</v>
      </c>
      <c r="AO188" s="61" t="e">
        <f t="shared" si="131"/>
        <v>#N/A</v>
      </c>
      <c r="AP188" s="61" t="e">
        <f t="shared" si="132"/>
        <v>#N/A</v>
      </c>
      <c r="AQ188" s="61" t="e">
        <f t="shared" si="133"/>
        <v>#N/A</v>
      </c>
      <c r="AR188" s="61" t="e">
        <f t="shared" si="134"/>
        <v>#N/A</v>
      </c>
      <c r="AS188" s="61" t="e">
        <f t="shared" ca="1" si="135"/>
        <v>#N/A</v>
      </c>
      <c r="AT188" s="61" t="e">
        <f t="shared" ca="1" si="136"/>
        <v>#N/A</v>
      </c>
      <c r="AU188" s="61" t="e">
        <f t="shared" si="119"/>
        <v>#N/A</v>
      </c>
      <c r="AV188" s="61" t="e">
        <f t="shared" si="137"/>
        <v>#N/A</v>
      </c>
      <c r="AW188" s="61" t="e">
        <f t="shared" si="138"/>
        <v>#N/A</v>
      </c>
      <c r="AX188" s="61" t="e">
        <f t="shared" si="139"/>
        <v>#N/A</v>
      </c>
    </row>
    <row r="189" spans="1:50" x14ac:dyDescent="0.3">
      <c r="A189" s="47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Y189" s="48" t="e">
        <f t="shared" si="114"/>
        <v>#N/A</v>
      </c>
      <c r="Z189" s="61" t="e">
        <f t="shared" si="115"/>
        <v>#N/A</v>
      </c>
      <c r="AA189" s="61" t="e">
        <f t="shared" si="120"/>
        <v>#N/A</v>
      </c>
      <c r="AB189" s="61" t="e">
        <f t="shared" si="116"/>
        <v>#N/A</v>
      </c>
      <c r="AC189" s="61" t="e">
        <f t="shared" si="117"/>
        <v>#N/A</v>
      </c>
      <c r="AD189" s="61" t="e">
        <f t="shared" si="118"/>
        <v>#N/A</v>
      </c>
      <c r="AE189" s="61" t="e">
        <f t="shared" si="121"/>
        <v>#N/A</v>
      </c>
      <c r="AF189" s="61">
        <f t="shared" si="122"/>
        <v>0</v>
      </c>
      <c r="AG189" s="61" t="e">
        <f t="shared" si="123"/>
        <v>#N/A</v>
      </c>
      <c r="AH189" s="61" t="e">
        <f t="shared" si="124"/>
        <v>#N/A</v>
      </c>
      <c r="AI189" s="61" t="e">
        <f t="shared" si="125"/>
        <v>#N/A</v>
      </c>
      <c r="AJ189" s="61" t="e">
        <f t="shared" si="126"/>
        <v>#N/A</v>
      </c>
      <c r="AK189" s="61" t="e">
        <f t="shared" si="127"/>
        <v>#N/A</v>
      </c>
      <c r="AL189" s="61" t="e">
        <f t="shared" si="128"/>
        <v>#N/A</v>
      </c>
      <c r="AM189" s="61" t="e">
        <f t="shared" si="129"/>
        <v>#N/A</v>
      </c>
      <c r="AN189" s="61" t="e">
        <f t="shared" si="130"/>
        <v>#N/A</v>
      </c>
      <c r="AO189" s="61" t="e">
        <f t="shared" si="131"/>
        <v>#N/A</v>
      </c>
      <c r="AP189" s="61" t="e">
        <f t="shared" si="132"/>
        <v>#N/A</v>
      </c>
      <c r="AQ189" s="61" t="e">
        <f t="shared" si="133"/>
        <v>#N/A</v>
      </c>
      <c r="AR189" s="61" t="e">
        <f t="shared" si="134"/>
        <v>#N/A</v>
      </c>
      <c r="AS189" s="61" t="e">
        <f t="shared" ca="1" si="135"/>
        <v>#N/A</v>
      </c>
      <c r="AT189" s="61" t="e">
        <f t="shared" ca="1" si="136"/>
        <v>#N/A</v>
      </c>
      <c r="AU189" s="61" t="e">
        <f t="shared" si="119"/>
        <v>#N/A</v>
      </c>
      <c r="AV189" s="61" t="e">
        <f t="shared" si="137"/>
        <v>#N/A</v>
      </c>
      <c r="AW189" s="61" t="e">
        <f t="shared" si="138"/>
        <v>#N/A</v>
      </c>
      <c r="AX189" s="61" t="e">
        <f t="shared" si="139"/>
        <v>#N/A</v>
      </c>
    </row>
    <row r="190" spans="1:50" x14ac:dyDescent="0.3">
      <c r="A190" s="47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Y190" s="48" t="e">
        <f t="shared" si="114"/>
        <v>#N/A</v>
      </c>
      <c r="Z190" s="61" t="e">
        <f t="shared" si="115"/>
        <v>#N/A</v>
      </c>
      <c r="AA190" s="61" t="e">
        <f t="shared" si="120"/>
        <v>#N/A</v>
      </c>
      <c r="AB190" s="61" t="e">
        <f t="shared" si="116"/>
        <v>#N/A</v>
      </c>
      <c r="AC190" s="61" t="e">
        <f t="shared" si="117"/>
        <v>#N/A</v>
      </c>
      <c r="AD190" s="61" t="e">
        <f t="shared" si="118"/>
        <v>#N/A</v>
      </c>
      <c r="AE190" s="61" t="e">
        <f t="shared" si="121"/>
        <v>#N/A</v>
      </c>
      <c r="AF190" s="61">
        <f t="shared" si="122"/>
        <v>0</v>
      </c>
      <c r="AG190" s="61" t="e">
        <f t="shared" si="123"/>
        <v>#N/A</v>
      </c>
      <c r="AH190" s="61" t="e">
        <f t="shared" si="124"/>
        <v>#N/A</v>
      </c>
      <c r="AI190" s="61" t="e">
        <f t="shared" si="125"/>
        <v>#N/A</v>
      </c>
      <c r="AJ190" s="61" t="e">
        <f t="shared" si="126"/>
        <v>#N/A</v>
      </c>
      <c r="AK190" s="61" t="e">
        <f t="shared" si="127"/>
        <v>#N/A</v>
      </c>
      <c r="AL190" s="61" t="e">
        <f t="shared" si="128"/>
        <v>#N/A</v>
      </c>
      <c r="AM190" s="61" t="e">
        <f t="shared" si="129"/>
        <v>#N/A</v>
      </c>
      <c r="AN190" s="61" t="e">
        <f t="shared" si="130"/>
        <v>#N/A</v>
      </c>
      <c r="AO190" s="61" t="e">
        <f t="shared" si="131"/>
        <v>#N/A</v>
      </c>
      <c r="AP190" s="61" t="e">
        <f t="shared" si="132"/>
        <v>#N/A</v>
      </c>
      <c r="AQ190" s="61" t="e">
        <f t="shared" si="133"/>
        <v>#N/A</v>
      </c>
      <c r="AR190" s="61" t="e">
        <f t="shared" si="134"/>
        <v>#N/A</v>
      </c>
      <c r="AS190" s="61" t="e">
        <f t="shared" ca="1" si="135"/>
        <v>#N/A</v>
      </c>
      <c r="AT190" s="61" t="e">
        <f t="shared" ca="1" si="136"/>
        <v>#N/A</v>
      </c>
      <c r="AU190" s="61" t="e">
        <f t="shared" si="119"/>
        <v>#N/A</v>
      </c>
      <c r="AV190" s="61" t="e">
        <f t="shared" si="137"/>
        <v>#N/A</v>
      </c>
      <c r="AW190" s="61" t="e">
        <f t="shared" si="138"/>
        <v>#N/A</v>
      </c>
      <c r="AX190" s="61" t="e">
        <f t="shared" si="139"/>
        <v>#N/A</v>
      </c>
    </row>
    <row r="191" spans="1:50" x14ac:dyDescent="0.3">
      <c r="A191" s="47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Y191" s="48" t="e">
        <f t="shared" si="114"/>
        <v>#N/A</v>
      </c>
      <c r="Z191" s="61" t="e">
        <f t="shared" si="115"/>
        <v>#N/A</v>
      </c>
      <c r="AA191" s="61" t="e">
        <f t="shared" si="120"/>
        <v>#N/A</v>
      </c>
      <c r="AB191" s="61" t="e">
        <f t="shared" si="116"/>
        <v>#N/A</v>
      </c>
      <c r="AC191" s="61" t="e">
        <f t="shared" si="117"/>
        <v>#N/A</v>
      </c>
      <c r="AD191" s="61" t="e">
        <f t="shared" si="118"/>
        <v>#N/A</v>
      </c>
      <c r="AE191" s="61" t="e">
        <f t="shared" si="121"/>
        <v>#N/A</v>
      </c>
      <c r="AF191" s="61">
        <f t="shared" si="122"/>
        <v>0</v>
      </c>
      <c r="AG191" s="61" t="e">
        <f t="shared" si="123"/>
        <v>#N/A</v>
      </c>
      <c r="AH191" s="61" t="e">
        <f t="shared" si="124"/>
        <v>#N/A</v>
      </c>
      <c r="AI191" s="61" t="e">
        <f t="shared" si="125"/>
        <v>#N/A</v>
      </c>
      <c r="AJ191" s="61" t="e">
        <f t="shared" si="126"/>
        <v>#N/A</v>
      </c>
      <c r="AK191" s="61" t="e">
        <f t="shared" si="127"/>
        <v>#N/A</v>
      </c>
      <c r="AL191" s="61" t="e">
        <f t="shared" si="128"/>
        <v>#N/A</v>
      </c>
      <c r="AM191" s="61" t="e">
        <f t="shared" si="129"/>
        <v>#N/A</v>
      </c>
      <c r="AN191" s="61" t="e">
        <f t="shared" si="130"/>
        <v>#N/A</v>
      </c>
      <c r="AO191" s="61" t="e">
        <f t="shared" si="131"/>
        <v>#N/A</v>
      </c>
      <c r="AP191" s="61" t="e">
        <f t="shared" si="132"/>
        <v>#N/A</v>
      </c>
      <c r="AQ191" s="61" t="e">
        <f t="shared" si="133"/>
        <v>#N/A</v>
      </c>
      <c r="AR191" s="61" t="e">
        <f t="shared" si="134"/>
        <v>#N/A</v>
      </c>
      <c r="AS191" s="61" t="e">
        <f t="shared" ca="1" si="135"/>
        <v>#N/A</v>
      </c>
      <c r="AT191" s="61" t="e">
        <f t="shared" ca="1" si="136"/>
        <v>#N/A</v>
      </c>
      <c r="AU191" s="61" t="e">
        <f t="shared" si="119"/>
        <v>#N/A</v>
      </c>
      <c r="AV191" s="61" t="e">
        <f t="shared" si="137"/>
        <v>#N/A</v>
      </c>
      <c r="AW191" s="61" t="e">
        <f t="shared" si="138"/>
        <v>#N/A</v>
      </c>
      <c r="AX191" s="61" t="e">
        <f t="shared" si="139"/>
        <v>#N/A</v>
      </c>
    </row>
    <row r="192" spans="1:50" x14ac:dyDescent="0.3">
      <c r="A192" s="47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Y192" s="48" t="e">
        <f t="shared" si="114"/>
        <v>#N/A</v>
      </c>
      <c r="Z192" s="61" t="e">
        <f t="shared" si="115"/>
        <v>#N/A</v>
      </c>
      <c r="AA192" s="61" t="e">
        <f t="shared" si="120"/>
        <v>#N/A</v>
      </c>
      <c r="AB192" s="61" t="e">
        <f t="shared" si="116"/>
        <v>#N/A</v>
      </c>
      <c r="AC192" s="61" t="e">
        <f t="shared" si="117"/>
        <v>#N/A</v>
      </c>
      <c r="AD192" s="61" t="e">
        <f t="shared" si="118"/>
        <v>#N/A</v>
      </c>
      <c r="AE192" s="61" t="e">
        <f t="shared" si="121"/>
        <v>#N/A</v>
      </c>
      <c r="AF192" s="61">
        <f t="shared" si="122"/>
        <v>0</v>
      </c>
      <c r="AG192" s="61" t="e">
        <f t="shared" si="123"/>
        <v>#N/A</v>
      </c>
      <c r="AH192" s="61" t="e">
        <f t="shared" si="124"/>
        <v>#N/A</v>
      </c>
      <c r="AI192" s="61" t="e">
        <f t="shared" si="125"/>
        <v>#N/A</v>
      </c>
      <c r="AJ192" s="61" t="e">
        <f t="shared" si="126"/>
        <v>#N/A</v>
      </c>
      <c r="AK192" s="61" t="e">
        <f t="shared" si="127"/>
        <v>#N/A</v>
      </c>
      <c r="AL192" s="61" t="e">
        <f t="shared" si="128"/>
        <v>#N/A</v>
      </c>
      <c r="AM192" s="61" t="e">
        <f t="shared" si="129"/>
        <v>#N/A</v>
      </c>
      <c r="AN192" s="61" t="e">
        <f t="shared" si="130"/>
        <v>#N/A</v>
      </c>
      <c r="AO192" s="61" t="e">
        <f t="shared" si="131"/>
        <v>#N/A</v>
      </c>
      <c r="AP192" s="61" t="e">
        <f t="shared" si="132"/>
        <v>#N/A</v>
      </c>
      <c r="AQ192" s="61" t="e">
        <f t="shared" si="133"/>
        <v>#N/A</v>
      </c>
      <c r="AR192" s="61" t="e">
        <f t="shared" si="134"/>
        <v>#N/A</v>
      </c>
      <c r="AS192" s="61" t="e">
        <f t="shared" ca="1" si="135"/>
        <v>#N/A</v>
      </c>
      <c r="AT192" s="61" t="e">
        <f t="shared" ca="1" si="136"/>
        <v>#N/A</v>
      </c>
      <c r="AU192" s="61" t="e">
        <f t="shared" si="119"/>
        <v>#N/A</v>
      </c>
      <c r="AV192" s="61" t="e">
        <f t="shared" si="137"/>
        <v>#N/A</v>
      </c>
      <c r="AW192" s="61" t="e">
        <f t="shared" si="138"/>
        <v>#N/A</v>
      </c>
      <c r="AX192" s="61" t="e">
        <f t="shared" si="139"/>
        <v>#N/A</v>
      </c>
    </row>
    <row r="193" spans="1:50" x14ac:dyDescent="0.3">
      <c r="A193" s="47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Y193" s="48" t="e">
        <f t="shared" si="114"/>
        <v>#N/A</v>
      </c>
      <c r="Z193" s="61" t="e">
        <f t="shared" si="115"/>
        <v>#N/A</v>
      </c>
      <c r="AA193" s="61" t="e">
        <f t="shared" si="120"/>
        <v>#N/A</v>
      </c>
      <c r="AB193" s="61" t="e">
        <f t="shared" si="116"/>
        <v>#N/A</v>
      </c>
      <c r="AC193" s="61" t="e">
        <f t="shared" si="117"/>
        <v>#N/A</v>
      </c>
      <c r="AD193" s="61" t="e">
        <f t="shared" si="118"/>
        <v>#N/A</v>
      </c>
      <c r="AE193" s="61" t="e">
        <f t="shared" si="121"/>
        <v>#N/A</v>
      </c>
      <c r="AF193" s="61">
        <f t="shared" si="122"/>
        <v>0</v>
      </c>
      <c r="AG193" s="61" t="e">
        <f t="shared" si="123"/>
        <v>#N/A</v>
      </c>
      <c r="AH193" s="61" t="e">
        <f t="shared" si="124"/>
        <v>#N/A</v>
      </c>
      <c r="AI193" s="61" t="e">
        <f t="shared" si="125"/>
        <v>#N/A</v>
      </c>
      <c r="AJ193" s="61" t="e">
        <f t="shared" si="126"/>
        <v>#N/A</v>
      </c>
      <c r="AK193" s="61" t="e">
        <f t="shared" si="127"/>
        <v>#N/A</v>
      </c>
      <c r="AL193" s="61" t="e">
        <f t="shared" si="128"/>
        <v>#N/A</v>
      </c>
      <c r="AM193" s="61" t="e">
        <f t="shared" si="129"/>
        <v>#N/A</v>
      </c>
      <c r="AN193" s="61" t="e">
        <f t="shared" si="130"/>
        <v>#N/A</v>
      </c>
      <c r="AO193" s="61" t="e">
        <f t="shared" si="131"/>
        <v>#N/A</v>
      </c>
      <c r="AP193" s="61" t="e">
        <f t="shared" si="132"/>
        <v>#N/A</v>
      </c>
      <c r="AQ193" s="61" t="e">
        <f t="shared" si="133"/>
        <v>#N/A</v>
      </c>
      <c r="AR193" s="61" t="e">
        <f t="shared" si="134"/>
        <v>#N/A</v>
      </c>
      <c r="AS193" s="61" t="e">
        <f t="shared" ca="1" si="135"/>
        <v>#N/A</v>
      </c>
      <c r="AT193" s="61" t="e">
        <f t="shared" ca="1" si="136"/>
        <v>#N/A</v>
      </c>
      <c r="AU193" s="61" t="e">
        <f t="shared" si="119"/>
        <v>#N/A</v>
      </c>
      <c r="AV193" s="61" t="e">
        <f t="shared" si="137"/>
        <v>#N/A</v>
      </c>
      <c r="AW193" s="61" t="e">
        <f t="shared" si="138"/>
        <v>#N/A</v>
      </c>
      <c r="AX193" s="61" t="e">
        <f t="shared" si="139"/>
        <v>#N/A</v>
      </c>
    </row>
    <row r="194" spans="1:50" x14ac:dyDescent="0.3">
      <c r="A194" s="47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Y194" s="48" t="e">
        <f t="shared" si="114"/>
        <v>#N/A</v>
      </c>
      <c r="Z194" s="61" t="e">
        <f t="shared" si="115"/>
        <v>#N/A</v>
      </c>
      <c r="AA194" s="61" t="e">
        <f t="shared" si="120"/>
        <v>#N/A</v>
      </c>
      <c r="AB194" s="61" t="e">
        <f t="shared" si="116"/>
        <v>#N/A</v>
      </c>
      <c r="AC194" s="61" t="e">
        <f t="shared" si="117"/>
        <v>#N/A</v>
      </c>
      <c r="AD194" s="61" t="e">
        <f t="shared" si="118"/>
        <v>#N/A</v>
      </c>
      <c r="AE194" s="61" t="e">
        <f t="shared" si="121"/>
        <v>#N/A</v>
      </c>
      <c r="AF194" s="61">
        <f t="shared" si="122"/>
        <v>0</v>
      </c>
      <c r="AG194" s="61" t="e">
        <f t="shared" si="123"/>
        <v>#N/A</v>
      </c>
      <c r="AH194" s="61" t="e">
        <f t="shared" si="124"/>
        <v>#N/A</v>
      </c>
      <c r="AI194" s="61" t="e">
        <f t="shared" si="125"/>
        <v>#N/A</v>
      </c>
      <c r="AJ194" s="61" t="e">
        <f t="shared" si="126"/>
        <v>#N/A</v>
      </c>
      <c r="AK194" s="61" t="e">
        <f t="shared" si="127"/>
        <v>#N/A</v>
      </c>
      <c r="AL194" s="61" t="e">
        <f t="shared" si="128"/>
        <v>#N/A</v>
      </c>
      <c r="AM194" s="61" t="e">
        <f t="shared" si="129"/>
        <v>#N/A</v>
      </c>
      <c r="AN194" s="61" t="e">
        <f t="shared" si="130"/>
        <v>#N/A</v>
      </c>
      <c r="AO194" s="61" t="e">
        <f t="shared" si="131"/>
        <v>#N/A</v>
      </c>
      <c r="AP194" s="61" t="e">
        <f t="shared" si="132"/>
        <v>#N/A</v>
      </c>
      <c r="AQ194" s="61" t="e">
        <f t="shared" si="133"/>
        <v>#N/A</v>
      </c>
      <c r="AR194" s="61" t="e">
        <f t="shared" si="134"/>
        <v>#N/A</v>
      </c>
      <c r="AS194" s="61" t="e">
        <f t="shared" ca="1" si="135"/>
        <v>#N/A</v>
      </c>
      <c r="AT194" s="61" t="e">
        <f t="shared" ca="1" si="136"/>
        <v>#N/A</v>
      </c>
      <c r="AU194" s="61" t="e">
        <f t="shared" si="119"/>
        <v>#N/A</v>
      </c>
      <c r="AV194" s="61" t="e">
        <f t="shared" si="137"/>
        <v>#N/A</v>
      </c>
      <c r="AW194" s="61" t="e">
        <f t="shared" si="138"/>
        <v>#N/A</v>
      </c>
      <c r="AX194" s="61" t="e">
        <f t="shared" si="139"/>
        <v>#N/A</v>
      </c>
    </row>
    <row r="195" spans="1:50" x14ac:dyDescent="0.3">
      <c r="A195" s="47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Y195" s="48" t="e">
        <f t="shared" si="114"/>
        <v>#N/A</v>
      </c>
      <c r="Z195" s="61" t="e">
        <f t="shared" si="115"/>
        <v>#N/A</v>
      </c>
      <c r="AA195" s="61" t="e">
        <f t="shared" si="120"/>
        <v>#N/A</v>
      </c>
      <c r="AB195" s="61" t="e">
        <f t="shared" si="116"/>
        <v>#N/A</v>
      </c>
      <c r="AC195" s="61" t="e">
        <f t="shared" si="117"/>
        <v>#N/A</v>
      </c>
      <c r="AD195" s="61" t="e">
        <f t="shared" si="118"/>
        <v>#N/A</v>
      </c>
      <c r="AE195" s="61" t="e">
        <f t="shared" si="121"/>
        <v>#N/A</v>
      </c>
      <c r="AF195" s="61">
        <f t="shared" si="122"/>
        <v>0</v>
      </c>
      <c r="AG195" s="61" t="e">
        <f t="shared" si="123"/>
        <v>#N/A</v>
      </c>
      <c r="AH195" s="61" t="e">
        <f t="shared" si="124"/>
        <v>#N/A</v>
      </c>
      <c r="AI195" s="61" t="e">
        <f t="shared" si="125"/>
        <v>#N/A</v>
      </c>
      <c r="AJ195" s="61" t="e">
        <f t="shared" si="126"/>
        <v>#N/A</v>
      </c>
      <c r="AK195" s="61" t="e">
        <f t="shared" si="127"/>
        <v>#N/A</v>
      </c>
      <c r="AL195" s="61" t="e">
        <f t="shared" si="128"/>
        <v>#N/A</v>
      </c>
      <c r="AM195" s="61" t="e">
        <f t="shared" si="129"/>
        <v>#N/A</v>
      </c>
      <c r="AN195" s="61" t="e">
        <f t="shared" si="130"/>
        <v>#N/A</v>
      </c>
      <c r="AO195" s="61" t="e">
        <f t="shared" si="131"/>
        <v>#N/A</v>
      </c>
      <c r="AP195" s="61" t="e">
        <f t="shared" si="132"/>
        <v>#N/A</v>
      </c>
      <c r="AQ195" s="61" t="e">
        <f t="shared" si="133"/>
        <v>#N/A</v>
      </c>
      <c r="AR195" s="61" t="e">
        <f t="shared" si="134"/>
        <v>#N/A</v>
      </c>
      <c r="AS195" s="61" t="e">
        <f t="shared" ca="1" si="135"/>
        <v>#N/A</v>
      </c>
      <c r="AT195" s="61" t="e">
        <f t="shared" ca="1" si="136"/>
        <v>#N/A</v>
      </c>
      <c r="AU195" s="61" t="e">
        <f t="shared" si="119"/>
        <v>#N/A</v>
      </c>
      <c r="AV195" s="61" t="e">
        <f t="shared" si="137"/>
        <v>#N/A</v>
      </c>
      <c r="AW195" s="61" t="e">
        <f t="shared" si="138"/>
        <v>#N/A</v>
      </c>
      <c r="AX195" s="61" t="e">
        <f t="shared" si="139"/>
        <v>#N/A</v>
      </c>
    </row>
    <row r="196" spans="1:50" x14ac:dyDescent="0.3">
      <c r="A196" s="47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Y196" s="48" t="e">
        <f t="shared" si="114"/>
        <v>#N/A</v>
      </c>
      <c r="Z196" s="61" t="e">
        <f t="shared" si="115"/>
        <v>#N/A</v>
      </c>
      <c r="AA196" s="61" t="e">
        <f t="shared" si="120"/>
        <v>#N/A</v>
      </c>
      <c r="AB196" s="61" t="e">
        <f t="shared" si="116"/>
        <v>#N/A</v>
      </c>
      <c r="AC196" s="61" t="e">
        <f t="shared" si="117"/>
        <v>#N/A</v>
      </c>
      <c r="AD196" s="61" t="e">
        <f t="shared" si="118"/>
        <v>#N/A</v>
      </c>
      <c r="AE196" s="61" t="e">
        <f t="shared" si="121"/>
        <v>#N/A</v>
      </c>
      <c r="AF196" s="61">
        <f t="shared" si="122"/>
        <v>0</v>
      </c>
      <c r="AG196" s="61" t="e">
        <f t="shared" si="123"/>
        <v>#N/A</v>
      </c>
      <c r="AH196" s="61" t="e">
        <f t="shared" si="124"/>
        <v>#N/A</v>
      </c>
      <c r="AI196" s="61" t="e">
        <f t="shared" si="125"/>
        <v>#N/A</v>
      </c>
      <c r="AJ196" s="61" t="e">
        <f t="shared" si="126"/>
        <v>#N/A</v>
      </c>
      <c r="AK196" s="61" t="e">
        <f t="shared" si="127"/>
        <v>#N/A</v>
      </c>
      <c r="AL196" s="61" t="e">
        <f t="shared" si="128"/>
        <v>#N/A</v>
      </c>
      <c r="AM196" s="61" t="e">
        <f t="shared" si="129"/>
        <v>#N/A</v>
      </c>
      <c r="AN196" s="61" t="e">
        <f t="shared" si="130"/>
        <v>#N/A</v>
      </c>
      <c r="AO196" s="61" t="e">
        <f t="shared" si="131"/>
        <v>#N/A</v>
      </c>
      <c r="AP196" s="61" t="e">
        <f t="shared" si="132"/>
        <v>#N/A</v>
      </c>
      <c r="AQ196" s="61" t="e">
        <f t="shared" si="133"/>
        <v>#N/A</v>
      </c>
      <c r="AR196" s="61" t="e">
        <f t="shared" si="134"/>
        <v>#N/A</v>
      </c>
      <c r="AS196" s="61" t="e">
        <f t="shared" ca="1" si="135"/>
        <v>#N/A</v>
      </c>
      <c r="AT196" s="61" t="e">
        <f t="shared" ca="1" si="136"/>
        <v>#N/A</v>
      </c>
      <c r="AU196" s="61" t="e">
        <f t="shared" si="119"/>
        <v>#N/A</v>
      </c>
      <c r="AV196" s="61" t="e">
        <f t="shared" si="137"/>
        <v>#N/A</v>
      </c>
      <c r="AW196" s="61" t="e">
        <f t="shared" si="138"/>
        <v>#N/A</v>
      </c>
      <c r="AX196" s="61" t="e">
        <f t="shared" si="139"/>
        <v>#N/A</v>
      </c>
    </row>
    <row r="197" spans="1:50" x14ac:dyDescent="0.3">
      <c r="A197" s="47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Y197" s="48" t="e">
        <f t="shared" si="114"/>
        <v>#N/A</v>
      </c>
      <c r="Z197" s="61" t="e">
        <f t="shared" si="115"/>
        <v>#N/A</v>
      </c>
      <c r="AA197" s="61" t="e">
        <f t="shared" si="120"/>
        <v>#N/A</v>
      </c>
      <c r="AB197" s="61" t="e">
        <f t="shared" si="116"/>
        <v>#N/A</v>
      </c>
      <c r="AC197" s="61" t="e">
        <f t="shared" si="117"/>
        <v>#N/A</v>
      </c>
      <c r="AD197" s="61" t="e">
        <f t="shared" si="118"/>
        <v>#N/A</v>
      </c>
      <c r="AE197" s="61" t="e">
        <f t="shared" si="121"/>
        <v>#N/A</v>
      </c>
      <c r="AF197" s="61">
        <f t="shared" si="122"/>
        <v>0</v>
      </c>
      <c r="AG197" s="61" t="e">
        <f t="shared" si="123"/>
        <v>#N/A</v>
      </c>
      <c r="AH197" s="61" t="e">
        <f t="shared" si="124"/>
        <v>#N/A</v>
      </c>
      <c r="AI197" s="61" t="e">
        <f t="shared" si="125"/>
        <v>#N/A</v>
      </c>
      <c r="AJ197" s="61" t="e">
        <f t="shared" si="126"/>
        <v>#N/A</v>
      </c>
      <c r="AK197" s="61" t="e">
        <f t="shared" si="127"/>
        <v>#N/A</v>
      </c>
      <c r="AL197" s="61" t="e">
        <f t="shared" si="128"/>
        <v>#N/A</v>
      </c>
      <c r="AM197" s="61" t="e">
        <f t="shared" si="129"/>
        <v>#N/A</v>
      </c>
      <c r="AN197" s="61" t="e">
        <f t="shared" si="130"/>
        <v>#N/A</v>
      </c>
      <c r="AO197" s="61" t="e">
        <f t="shared" si="131"/>
        <v>#N/A</v>
      </c>
      <c r="AP197" s="61" t="e">
        <f t="shared" si="132"/>
        <v>#N/A</v>
      </c>
      <c r="AQ197" s="61" t="e">
        <f t="shared" si="133"/>
        <v>#N/A</v>
      </c>
      <c r="AR197" s="61" t="e">
        <f t="shared" si="134"/>
        <v>#N/A</v>
      </c>
      <c r="AS197" s="61" t="e">
        <f t="shared" ca="1" si="135"/>
        <v>#N/A</v>
      </c>
      <c r="AT197" s="61" t="e">
        <f t="shared" ca="1" si="136"/>
        <v>#N/A</v>
      </c>
      <c r="AU197" s="61" t="e">
        <f t="shared" si="119"/>
        <v>#N/A</v>
      </c>
      <c r="AV197" s="61" t="e">
        <f t="shared" si="137"/>
        <v>#N/A</v>
      </c>
      <c r="AW197" s="61" t="e">
        <f t="shared" si="138"/>
        <v>#N/A</v>
      </c>
      <c r="AX197" s="61" t="e">
        <f t="shared" si="139"/>
        <v>#N/A</v>
      </c>
    </row>
    <row r="198" spans="1:50" x14ac:dyDescent="0.3">
      <c r="A198" s="47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Y198" s="48" t="e">
        <f t="shared" si="114"/>
        <v>#N/A</v>
      </c>
      <c r="Z198" s="61" t="e">
        <f t="shared" si="115"/>
        <v>#N/A</v>
      </c>
      <c r="AA198" s="61" t="e">
        <f t="shared" si="120"/>
        <v>#N/A</v>
      </c>
      <c r="AB198" s="61" t="e">
        <f t="shared" si="116"/>
        <v>#N/A</v>
      </c>
      <c r="AC198" s="61" t="e">
        <f t="shared" si="117"/>
        <v>#N/A</v>
      </c>
      <c r="AD198" s="61" t="e">
        <f t="shared" si="118"/>
        <v>#N/A</v>
      </c>
      <c r="AE198" s="61" t="e">
        <f t="shared" si="121"/>
        <v>#N/A</v>
      </c>
      <c r="AF198" s="61">
        <f t="shared" si="122"/>
        <v>0</v>
      </c>
      <c r="AG198" s="61" t="e">
        <f t="shared" si="123"/>
        <v>#N/A</v>
      </c>
      <c r="AH198" s="61" t="e">
        <f t="shared" si="124"/>
        <v>#N/A</v>
      </c>
      <c r="AI198" s="61" t="e">
        <f t="shared" si="125"/>
        <v>#N/A</v>
      </c>
      <c r="AJ198" s="61" t="e">
        <f t="shared" si="126"/>
        <v>#N/A</v>
      </c>
      <c r="AK198" s="61" t="e">
        <f t="shared" si="127"/>
        <v>#N/A</v>
      </c>
      <c r="AL198" s="61" t="e">
        <f t="shared" si="128"/>
        <v>#N/A</v>
      </c>
      <c r="AM198" s="61" t="e">
        <f t="shared" si="129"/>
        <v>#N/A</v>
      </c>
      <c r="AN198" s="61" t="e">
        <f t="shared" si="130"/>
        <v>#N/A</v>
      </c>
      <c r="AO198" s="61" t="e">
        <f t="shared" si="131"/>
        <v>#N/A</v>
      </c>
      <c r="AP198" s="61" t="e">
        <f t="shared" si="132"/>
        <v>#N/A</v>
      </c>
      <c r="AQ198" s="61" t="e">
        <f t="shared" si="133"/>
        <v>#N/A</v>
      </c>
      <c r="AR198" s="61" t="e">
        <f t="shared" si="134"/>
        <v>#N/A</v>
      </c>
      <c r="AS198" s="61" t="e">
        <f t="shared" ca="1" si="135"/>
        <v>#N/A</v>
      </c>
      <c r="AT198" s="61" t="e">
        <f t="shared" ca="1" si="136"/>
        <v>#N/A</v>
      </c>
      <c r="AU198" s="61" t="e">
        <f t="shared" si="119"/>
        <v>#N/A</v>
      </c>
      <c r="AV198" s="61" t="e">
        <f t="shared" si="137"/>
        <v>#N/A</v>
      </c>
      <c r="AW198" s="61" t="e">
        <f t="shared" si="138"/>
        <v>#N/A</v>
      </c>
      <c r="AX198" s="61" t="e">
        <f t="shared" si="139"/>
        <v>#N/A</v>
      </c>
    </row>
    <row r="199" spans="1:50" x14ac:dyDescent="0.3">
      <c r="A199" s="47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Y199" s="48" t="e">
        <f t="shared" si="114"/>
        <v>#N/A</v>
      </c>
      <c r="Z199" s="61" t="e">
        <f t="shared" si="115"/>
        <v>#N/A</v>
      </c>
      <c r="AA199" s="61" t="e">
        <f t="shared" si="120"/>
        <v>#N/A</v>
      </c>
      <c r="AB199" s="61" t="e">
        <f t="shared" si="116"/>
        <v>#N/A</v>
      </c>
      <c r="AC199" s="61" t="e">
        <f t="shared" si="117"/>
        <v>#N/A</v>
      </c>
      <c r="AD199" s="61" t="e">
        <f t="shared" si="118"/>
        <v>#N/A</v>
      </c>
      <c r="AE199" s="61" t="e">
        <f t="shared" si="121"/>
        <v>#N/A</v>
      </c>
      <c r="AF199" s="61">
        <f t="shared" si="122"/>
        <v>0</v>
      </c>
      <c r="AG199" s="61" t="e">
        <f t="shared" si="123"/>
        <v>#N/A</v>
      </c>
      <c r="AH199" s="61" t="e">
        <f t="shared" si="124"/>
        <v>#N/A</v>
      </c>
      <c r="AI199" s="61" t="e">
        <f t="shared" si="125"/>
        <v>#N/A</v>
      </c>
      <c r="AJ199" s="61" t="e">
        <f t="shared" si="126"/>
        <v>#N/A</v>
      </c>
      <c r="AK199" s="61" t="e">
        <f t="shared" si="127"/>
        <v>#N/A</v>
      </c>
      <c r="AL199" s="61" t="e">
        <f t="shared" si="128"/>
        <v>#N/A</v>
      </c>
      <c r="AM199" s="61" t="e">
        <f t="shared" si="129"/>
        <v>#N/A</v>
      </c>
      <c r="AN199" s="61" t="e">
        <f t="shared" si="130"/>
        <v>#N/A</v>
      </c>
      <c r="AO199" s="61" t="e">
        <f t="shared" si="131"/>
        <v>#N/A</v>
      </c>
      <c r="AP199" s="61" t="e">
        <f t="shared" si="132"/>
        <v>#N/A</v>
      </c>
      <c r="AQ199" s="61" t="e">
        <f t="shared" si="133"/>
        <v>#N/A</v>
      </c>
      <c r="AR199" s="61" t="e">
        <f t="shared" si="134"/>
        <v>#N/A</v>
      </c>
      <c r="AS199" s="61" t="e">
        <f t="shared" ca="1" si="135"/>
        <v>#N/A</v>
      </c>
      <c r="AT199" s="61" t="e">
        <f t="shared" ca="1" si="136"/>
        <v>#N/A</v>
      </c>
      <c r="AU199" s="61" t="e">
        <f t="shared" si="119"/>
        <v>#N/A</v>
      </c>
      <c r="AV199" s="61" t="e">
        <f t="shared" si="137"/>
        <v>#N/A</v>
      </c>
      <c r="AW199" s="61" t="e">
        <f t="shared" si="138"/>
        <v>#N/A</v>
      </c>
      <c r="AX199" s="61" t="e">
        <f t="shared" si="139"/>
        <v>#N/A</v>
      </c>
    </row>
    <row r="200" spans="1:50" x14ac:dyDescent="0.3">
      <c r="A200" s="47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Y200" s="48" t="e">
        <f t="shared" si="114"/>
        <v>#N/A</v>
      </c>
      <c r="Z200" s="61" t="e">
        <f t="shared" si="115"/>
        <v>#N/A</v>
      </c>
      <c r="AA200" s="61" t="e">
        <f t="shared" si="120"/>
        <v>#N/A</v>
      </c>
      <c r="AB200" s="61" t="e">
        <f t="shared" si="116"/>
        <v>#N/A</v>
      </c>
      <c r="AC200" s="61" t="e">
        <f t="shared" si="117"/>
        <v>#N/A</v>
      </c>
      <c r="AD200" s="61" t="e">
        <f t="shared" si="118"/>
        <v>#N/A</v>
      </c>
      <c r="AE200" s="61" t="e">
        <f t="shared" si="121"/>
        <v>#N/A</v>
      </c>
      <c r="AF200" s="61">
        <f t="shared" si="122"/>
        <v>0</v>
      </c>
      <c r="AG200" s="61" t="e">
        <f t="shared" si="123"/>
        <v>#N/A</v>
      </c>
      <c r="AH200" s="61" t="e">
        <f t="shared" si="124"/>
        <v>#N/A</v>
      </c>
      <c r="AI200" s="61" t="e">
        <f t="shared" si="125"/>
        <v>#N/A</v>
      </c>
      <c r="AJ200" s="61" t="e">
        <f t="shared" si="126"/>
        <v>#N/A</v>
      </c>
      <c r="AK200" s="61" t="e">
        <f t="shared" si="127"/>
        <v>#N/A</v>
      </c>
      <c r="AL200" s="61" t="e">
        <f t="shared" si="128"/>
        <v>#N/A</v>
      </c>
      <c r="AM200" s="61" t="e">
        <f t="shared" si="129"/>
        <v>#N/A</v>
      </c>
      <c r="AN200" s="61" t="e">
        <f t="shared" si="130"/>
        <v>#N/A</v>
      </c>
      <c r="AO200" s="61" t="e">
        <f t="shared" si="131"/>
        <v>#N/A</v>
      </c>
      <c r="AP200" s="61" t="e">
        <f t="shared" si="132"/>
        <v>#N/A</v>
      </c>
      <c r="AQ200" s="61" t="e">
        <f t="shared" si="133"/>
        <v>#N/A</v>
      </c>
      <c r="AR200" s="61" t="e">
        <f t="shared" si="134"/>
        <v>#N/A</v>
      </c>
      <c r="AS200" s="61" t="e">
        <f t="shared" ca="1" si="135"/>
        <v>#N/A</v>
      </c>
      <c r="AT200" s="61" t="e">
        <f t="shared" ca="1" si="136"/>
        <v>#N/A</v>
      </c>
      <c r="AU200" s="61" t="e">
        <f t="shared" si="119"/>
        <v>#N/A</v>
      </c>
      <c r="AV200" s="61" t="e">
        <f t="shared" si="137"/>
        <v>#N/A</v>
      </c>
      <c r="AW200" s="61" t="e">
        <f t="shared" si="138"/>
        <v>#N/A</v>
      </c>
      <c r="AX200" s="61" t="e">
        <f t="shared" si="139"/>
        <v>#N/A</v>
      </c>
    </row>
    <row r="201" spans="1:50" x14ac:dyDescent="0.3">
      <c r="A201" s="47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Y201" s="48" t="e">
        <f t="shared" si="114"/>
        <v>#N/A</v>
      </c>
      <c r="Z201" s="61" t="e">
        <f t="shared" si="115"/>
        <v>#N/A</v>
      </c>
      <c r="AA201" s="61" t="e">
        <f t="shared" si="120"/>
        <v>#N/A</v>
      </c>
      <c r="AB201" s="61" t="e">
        <f t="shared" si="116"/>
        <v>#N/A</v>
      </c>
      <c r="AC201" s="61" t="e">
        <f t="shared" si="117"/>
        <v>#N/A</v>
      </c>
      <c r="AD201" s="61" t="e">
        <f t="shared" si="118"/>
        <v>#N/A</v>
      </c>
      <c r="AE201" s="61" t="e">
        <f t="shared" si="121"/>
        <v>#N/A</v>
      </c>
      <c r="AF201" s="61">
        <f t="shared" si="122"/>
        <v>0</v>
      </c>
      <c r="AG201" s="61" t="e">
        <f t="shared" si="123"/>
        <v>#N/A</v>
      </c>
      <c r="AH201" s="61" t="e">
        <f t="shared" si="124"/>
        <v>#N/A</v>
      </c>
      <c r="AI201" s="61" t="e">
        <f t="shared" si="125"/>
        <v>#N/A</v>
      </c>
      <c r="AJ201" s="61" t="e">
        <f t="shared" si="126"/>
        <v>#N/A</v>
      </c>
      <c r="AK201" s="61" t="e">
        <f t="shared" si="127"/>
        <v>#N/A</v>
      </c>
      <c r="AL201" s="61" t="e">
        <f t="shared" si="128"/>
        <v>#N/A</v>
      </c>
      <c r="AM201" s="61" t="e">
        <f t="shared" si="129"/>
        <v>#N/A</v>
      </c>
      <c r="AN201" s="61" t="e">
        <f t="shared" si="130"/>
        <v>#N/A</v>
      </c>
      <c r="AO201" s="61" t="e">
        <f t="shared" si="131"/>
        <v>#N/A</v>
      </c>
      <c r="AP201" s="61" t="e">
        <f t="shared" si="132"/>
        <v>#N/A</v>
      </c>
      <c r="AQ201" s="61" t="e">
        <f t="shared" si="133"/>
        <v>#N/A</v>
      </c>
      <c r="AR201" s="61" t="e">
        <f t="shared" si="134"/>
        <v>#N/A</v>
      </c>
      <c r="AS201" s="61" t="e">
        <f t="shared" ca="1" si="135"/>
        <v>#N/A</v>
      </c>
      <c r="AT201" s="61" t="e">
        <f t="shared" ca="1" si="136"/>
        <v>#N/A</v>
      </c>
      <c r="AU201" s="61" t="e">
        <f t="shared" si="119"/>
        <v>#N/A</v>
      </c>
      <c r="AV201" s="61" t="e">
        <f t="shared" si="137"/>
        <v>#N/A</v>
      </c>
      <c r="AW201" s="61" t="e">
        <f t="shared" si="138"/>
        <v>#N/A</v>
      </c>
      <c r="AX201" s="61" t="e">
        <f t="shared" si="139"/>
        <v>#N/A</v>
      </c>
    </row>
    <row r="202" spans="1:50" x14ac:dyDescent="0.3">
      <c r="A202" s="47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Y202" s="48" t="e">
        <f t="shared" si="114"/>
        <v>#N/A</v>
      </c>
      <c r="Z202" s="61" t="e">
        <f t="shared" si="115"/>
        <v>#N/A</v>
      </c>
      <c r="AA202" s="61" t="e">
        <f t="shared" si="120"/>
        <v>#N/A</v>
      </c>
      <c r="AB202" s="61" t="e">
        <f t="shared" si="116"/>
        <v>#N/A</v>
      </c>
      <c r="AC202" s="61" t="e">
        <f t="shared" si="117"/>
        <v>#N/A</v>
      </c>
      <c r="AD202" s="61" t="e">
        <f t="shared" si="118"/>
        <v>#N/A</v>
      </c>
      <c r="AE202" s="61" t="e">
        <f t="shared" si="121"/>
        <v>#N/A</v>
      </c>
      <c r="AF202" s="61">
        <f t="shared" si="122"/>
        <v>0</v>
      </c>
      <c r="AG202" s="61" t="e">
        <f t="shared" si="123"/>
        <v>#N/A</v>
      </c>
      <c r="AH202" s="61" t="e">
        <f t="shared" si="124"/>
        <v>#N/A</v>
      </c>
      <c r="AI202" s="61" t="e">
        <f t="shared" si="125"/>
        <v>#N/A</v>
      </c>
      <c r="AJ202" s="61" t="e">
        <f t="shared" si="126"/>
        <v>#N/A</v>
      </c>
      <c r="AK202" s="61" t="e">
        <f t="shared" si="127"/>
        <v>#N/A</v>
      </c>
      <c r="AL202" s="61" t="e">
        <f t="shared" si="128"/>
        <v>#N/A</v>
      </c>
      <c r="AM202" s="61" t="e">
        <f t="shared" si="129"/>
        <v>#N/A</v>
      </c>
      <c r="AN202" s="61" t="e">
        <f t="shared" si="130"/>
        <v>#N/A</v>
      </c>
      <c r="AO202" s="61" t="e">
        <f t="shared" si="131"/>
        <v>#N/A</v>
      </c>
      <c r="AP202" s="61" t="e">
        <f t="shared" si="132"/>
        <v>#N/A</v>
      </c>
      <c r="AQ202" s="61" t="e">
        <f t="shared" si="133"/>
        <v>#N/A</v>
      </c>
      <c r="AR202" s="61" t="e">
        <f t="shared" si="134"/>
        <v>#N/A</v>
      </c>
      <c r="AS202" s="61" t="e">
        <f t="shared" ca="1" si="135"/>
        <v>#N/A</v>
      </c>
      <c r="AT202" s="61" t="e">
        <f t="shared" ca="1" si="136"/>
        <v>#N/A</v>
      </c>
      <c r="AU202" s="61" t="e">
        <f t="shared" si="119"/>
        <v>#N/A</v>
      </c>
      <c r="AV202" s="61" t="e">
        <f t="shared" si="137"/>
        <v>#N/A</v>
      </c>
      <c r="AW202" s="61" t="e">
        <f t="shared" si="138"/>
        <v>#N/A</v>
      </c>
      <c r="AX202" s="61" t="e">
        <f t="shared" si="139"/>
        <v>#N/A</v>
      </c>
    </row>
    <row r="203" spans="1:50" x14ac:dyDescent="0.3">
      <c r="A203" s="47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Y203" s="48" t="e">
        <f t="shared" si="114"/>
        <v>#N/A</v>
      </c>
      <c r="Z203" s="61" t="e">
        <f t="shared" si="115"/>
        <v>#N/A</v>
      </c>
      <c r="AA203" s="61" t="e">
        <f t="shared" si="120"/>
        <v>#N/A</v>
      </c>
      <c r="AB203" s="61" t="e">
        <f t="shared" si="116"/>
        <v>#N/A</v>
      </c>
      <c r="AC203" s="61" t="e">
        <f t="shared" si="117"/>
        <v>#N/A</v>
      </c>
      <c r="AD203" s="61" t="e">
        <f t="shared" si="118"/>
        <v>#N/A</v>
      </c>
      <c r="AE203" s="61" t="e">
        <f t="shared" si="121"/>
        <v>#N/A</v>
      </c>
      <c r="AF203" s="61">
        <f t="shared" si="122"/>
        <v>0</v>
      </c>
      <c r="AG203" s="61" t="e">
        <f t="shared" si="123"/>
        <v>#N/A</v>
      </c>
      <c r="AH203" s="61" t="e">
        <f t="shared" si="124"/>
        <v>#N/A</v>
      </c>
      <c r="AI203" s="61" t="e">
        <f t="shared" si="125"/>
        <v>#N/A</v>
      </c>
      <c r="AJ203" s="61" t="e">
        <f t="shared" si="126"/>
        <v>#N/A</v>
      </c>
      <c r="AK203" s="61" t="e">
        <f t="shared" si="127"/>
        <v>#N/A</v>
      </c>
      <c r="AL203" s="61" t="e">
        <f t="shared" si="128"/>
        <v>#N/A</v>
      </c>
      <c r="AM203" s="61" t="e">
        <f t="shared" si="129"/>
        <v>#N/A</v>
      </c>
      <c r="AN203" s="61" t="e">
        <f t="shared" si="130"/>
        <v>#N/A</v>
      </c>
      <c r="AO203" s="61" t="e">
        <f t="shared" si="131"/>
        <v>#N/A</v>
      </c>
      <c r="AP203" s="61" t="e">
        <f t="shared" si="132"/>
        <v>#N/A</v>
      </c>
      <c r="AQ203" s="61" t="e">
        <f t="shared" si="133"/>
        <v>#N/A</v>
      </c>
      <c r="AR203" s="61" t="e">
        <f t="shared" si="134"/>
        <v>#N/A</v>
      </c>
      <c r="AS203" s="61" t="e">
        <f t="shared" ca="1" si="135"/>
        <v>#N/A</v>
      </c>
      <c r="AT203" s="61" t="e">
        <f t="shared" ca="1" si="136"/>
        <v>#N/A</v>
      </c>
      <c r="AU203" s="61" t="e">
        <f t="shared" si="119"/>
        <v>#N/A</v>
      </c>
      <c r="AV203" s="61" t="e">
        <f t="shared" si="137"/>
        <v>#N/A</v>
      </c>
      <c r="AW203" s="61" t="e">
        <f t="shared" si="138"/>
        <v>#N/A</v>
      </c>
      <c r="AX203" s="61" t="e">
        <f t="shared" si="139"/>
        <v>#N/A</v>
      </c>
    </row>
    <row r="204" spans="1:50" x14ac:dyDescent="0.3">
      <c r="A204" s="47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Y204" s="48" t="e">
        <f t="shared" si="114"/>
        <v>#N/A</v>
      </c>
      <c r="Z204" s="61" t="e">
        <f t="shared" si="115"/>
        <v>#N/A</v>
      </c>
      <c r="AA204" s="61" t="e">
        <f t="shared" si="120"/>
        <v>#N/A</v>
      </c>
      <c r="AB204" s="61" t="e">
        <f t="shared" si="116"/>
        <v>#N/A</v>
      </c>
      <c r="AC204" s="61" t="e">
        <f t="shared" si="117"/>
        <v>#N/A</v>
      </c>
      <c r="AD204" s="61" t="e">
        <f t="shared" si="118"/>
        <v>#N/A</v>
      </c>
      <c r="AE204" s="61" t="e">
        <f t="shared" si="121"/>
        <v>#N/A</v>
      </c>
      <c r="AF204" s="61">
        <f t="shared" si="122"/>
        <v>0</v>
      </c>
      <c r="AG204" s="61" t="e">
        <f t="shared" si="123"/>
        <v>#N/A</v>
      </c>
      <c r="AH204" s="61" t="e">
        <f t="shared" si="124"/>
        <v>#N/A</v>
      </c>
      <c r="AI204" s="61" t="e">
        <f t="shared" si="125"/>
        <v>#N/A</v>
      </c>
      <c r="AJ204" s="61" t="e">
        <f t="shared" si="126"/>
        <v>#N/A</v>
      </c>
      <c r="AK204" s="61" t="e">
        <f t="shared" si="127"/>
        <v>#N/A</v>
      </c>
      <c r="AL204" s="61" t="e">
        <f t="shared" si="128"/>
        <v>#N/A</v>
      </c>
      <c r="AM204" s="61" t="e">
        <f t="shared" si="129"/>
        <v>#N/A</v>
      </c>
      <c r="AN204" s="61" t="e">
        <f t="shared" si="130"/>
        <v>#N/A</v>
      </c>
      <c r="AO204" s="61" t="e">
        <f t="shared" si="131"/>
        <v>#N/A</v>
      </c>
      <c r="AP204" s="61" t="e">
        <f t="shared" si="132"/>
        <v>#N/A</v>
      </c>
      <c r="AQ204" s="61" t="e">
        <f t="shared" si="133"/>
        <v>#N/A</v>
      </c>
      <c r="AR204" s="61" t="e">
        <f t="shared" si="134"/>
        <v>#N/A</v>
      </c>
      <c r="AS204" s="61" t="e">
        <f t="shared" ca="1" si="135"/>
        <v>#N/A</v>
      </c>
      <c r="AT204" s="61" t="e">
        <f t="shared" ca="1" si="136"/>
        <v>#N/A</v>
      </c>
      <c r="AU204" s="61" t="e">
        <f t="shared" si="119"/>
        <v>#N/A</v>
      </c>
      <c r="AV204" s="61" t="e">
        <f t="shared" si="137"/>
        <v>#N/A</v>
      </c>
      <c r="AW204" s="61" t="e">
        <f t="shared" si="138"/>
        <v>#N/A</v>
      </c>
      <c r="AX204" s="61" t="e">
        <f t="shared" si="139"/>
        <v>#N/A</v>
      </c>
    </row>
    <row r="205" spans="1:50" x14ac:dyDescent="0.3">
      <c r="A205" s="47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Y205" s="48" t="e">
        <f t="shared" si="114"/>
        <v>#N/A</v>
      </c>
      <c r="Z205" s="61" t="e">
        <f t="shared" si="115"/>
        <v>#N/A</v>
      </c>
      <c r="AA205" s="61" t="e">
        <f t="shared" si="120"/>
        <v>#N/A</v>
      </c>
      <c r="AB205" s="61" t="e">
        <f t="shared" si="116"/>
        <v>#N/A</v>
      </c>
      <c r="AC205" s="61" t="e">
        <f t="shared" si="117"/>
        <v>#N/A</v>
      </c>
      <c r="AD205" s="61" t="e">
        <f t="shared" si="118"/>
        <v>#N/A</v>
      </c>
      <c r="AE205" s="61" t="e">
        <f t="shared" si="121"/>
        <v>#N/A</v>
      </c>
      <c r="AF205" s="61">
        <f t="shared" si="122"/>
        <v>0</v>
      </c>
      <c r="AG205" s="61" t="e">
        <f t="shared" si="123"/>
        <v>#N/A</v>
      </c>
      <c r="AH205" s="61" t="e">
        <f t="shared" si="124"/>
        <v>#N/A</v>
      </c>
      <c r="AI205" s="61" t="e">
        <f t="shared" si="125"/>
        <v>#N/A</v>
      </c>
      <c r="AJ205" s="61" t="e">
        <f t="shared" si="126"/>
        <v>#N/A</v>
      </c>
      <c r="AK205" s="61" t="e">
        <f t="shared" si="127"/>
        <v>#N/A</v>
      </c>
      <c r="AL205" s="61" t="e">
        <f t="shared" si="128"/>
        <v>#N/A</v>
      </c>
      <c r="AM205" s="61" t="e">
        <f t="shared" si="129"/>
        <v>#N/A</v>
      </c>
      <c r="AN205" s="61" t="e">
        <f t="shared" si="130"/>
        <v>#N/A</v>
      </c>
      <c r="AO205" s="61" t="e">
        <f t="shared" si="131"/>
        <v>#N/A</v>
      </c>
      <c r="AP205" s="61" t="e">
        <f t="shared" si="132"/>
        <v>#N/A</v>
      </c>
      <c r="AQ205" s="61" t="e">
        <f t="shared" si="133"/>
        <v>#N/A</v>
      </c>
      <c r="AR205" s="61" t="e">
        <f t="shared" si="134"/>
        <v>#N/A</v>
      </c>
      <c r="AS205" s="61" t="e">
        <f t="shared" ca="1" si="135"/>
        <v>#N/A</v>
      </c>
      <c r="AT205" s="61" t="e">
        <f t="shared" ca="1" si="136"/>
        <v>#N/A</v>
      </c>
      <c r="AU205" s="61" t="e">
        <f t="shared" si="119"/>
        <v>#N/A</v>
      </c>
      <c r="AV205" s="61" t="e">
        <f t="shared" si="137"/>
        <v>#N/A</v>
      </c>
      <c r="AW205" s="61" t="e">
        <f t="shared" si="138"/>
        <v>#N/A</v>
      </c>
      <c r="AX205" s="61" t="e">
        <f t="shared" si="139"/>
        <v>#N/A</v>
      </c>
    </row>
    <row r="206" spans="1:50" x14ac:dyDescent="0.3">
      <c r="A206" s="47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Y206" s="48" t="e">
        <f t="shared" si="114"/>
        <v>#N/A</v>
      </c>
      <c r="Z206" s="61" t="e">
        <f t="shared" si="115"/>
        <v>#N/A</v>
      </c>
      <c r="AA206" s="61" t="e">
        <f t="shared" si="120"/>
        <v>#N/A</v>
      </c>
      <c r="AB206" s="61" t="e">
        <f t="shared" si="116"/>
        <v>#N/A</v>
      </c>
      <c r="AC206" s="61" t="e">
        <f t="shared" si="117"/>
        <v>#N/A</v>
      </c>
      <c r="AD206" s="61" t="e">
        <f t="shared" si="118"/>
        <v>#N/A</v>
      </c>
      <c r="AE206" s="61" t="e">
        <f t="shared" si="121"/>
        <v>#N/A</v>
      </c>
      <c r="AF206" s="61">
        <f t="shared" si="122"/>
        <v>0</v>
      </c>
      <c r="AG206" s="61" t="e">
        <f t="shared" si="123"/>
        <v>#N/A</v>
      </c>
      <c r="AH206" s="61" t="e">
        <f t="shared" si="124"/>
        <v>#N/A</v>
      </c>
      <c r="AI206" s="61" t="e">
        <f t="shared" si="125"/>
        <v>#N/A</v>
      </c>
      <c r="AJ206" s="61" t="e">
        <f t="shared" si="126"/>
        <v>#N/A</v>
      </c>
      <c r="AK206" s="61" t="e">
        <f t="shared" si="127"/>
        <v>#N/A</v>
      </c>
      <c r="AL206" s="61" t="e">
        <f t="shared" si="128"/>
        <v>#N/A</v>
      </c>
      <c r="AM206" s="61" t="e">
        <f t="shared" si="129"/>
        <v>#N/A</v>
      </c>
      <c r="AN206" s="61" t="e">
        <f t="shared" si="130"/>
        <v>#N/A</v>
      </c>
      <c r="AO206" s="61" t="e">
        <f t="shared" si="131"/>
        <v>#N/A</v>
      </c>
      <c r="AP206" s="61" t="e">
        <f t="shared" si="132"/>
        <v>#N/A</v>
      </c>
      <c r="AQ206" s="61" t="e">
        <f t="shared" si="133"/>
        <v>#N/A</v>
      </c>
      <c r="AR206" s="61" t="e">
        <f t="shared" si="134"/>
        <v>#N/A</v>
      </c>
      <c r="AS206" s="61" t="e">
        <f t="shared" ca="1" si="135"/>
        <v>#N/A</v>
      </c>
      <c r="AT206" s="61" t="e">
        <f t="shared" ca="1" si="136"/>
        <v>#N/A</v>
      </c>
      <c r="AU206" s="61" t="e">
        <f t="shared" si="119"/>
        <v>#N/A</v>
      </c>
      <c r="AV206" s="61" t="e">
        <f t="shared" si="137"/>
        <v>#N/A</v>
      </c>
      <c r="AW206" s="61" t="e">
        <f t="shared" si="138"/>
        <v>#N/A</v>
      </c>
      <c r="AX206" s="61" t="e">
        <f t="shared" si="139"/>
        <v>#N/A</v>
      </c>
    </row>
    <row r="207" spans="1:50" x14ac:dyDescent="0.3">
      <c r="A207" s="47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Y207" s="48" t="e">
        <f t="shared" si="114"/>
        <v>#N/A</v>
      </c>
      <c r="Z207" s="61" t="e">
        <f t="shared" si="115"/>
        <v>#N/A</v>
      </c>
      <c r="AA207" s="61" t="e">
        <f t="shared" si="120"/>
        <v>#N/A</v>
      </c>
      <c r="AB207" s="61" t="e">
        <f t="shared" si="116"/>
        <v>#N/A</v>
      </c>
      <c r="AC207" s="61" t="e">
        <f t="shared" si="117"/>
        <v>#N/A</v>
      </c>
      <c r="AD207" s="61" t="e">
        <f t="shared" si="118"/>
        <v>#N/A</v>
      </c>
      <c r="AE207" s="61" t="e">
        <f t="shared" si="121"/>
        <v>#N/A</v>
      </c>
      <c r="AF207" s="61">
        <f t="shared" si="122"/>
        <v>0</v>
      </c>
      <c r="AG207" s="61" t="e">
        <f t="shared" si="123"/>
        <v>#N/A</v>
      </c>
      <c r="AH207" s="61" t="e">
        <f t="shared" si="124"/>
        <v>#N/A</v>
      </c>
      <c r="AI207" s="61" t="e">
        <f t="shared" si="125"/>
        <v>#N/A</v>
      </c>
      <c r="AJ207" s="61" t="e">
        <f t="shared" si="126"/>
        <v>#N/A</v>
      </c>
      <c r="AK207" s="61" t="e">
        <f t="shared" si="127"/>
        <v>#N/A</v>
      </c>
      <c r="AL207" s="61" t="e">
        <f t="shared" si="128"/>
        <v>#N/A</v>
      </c>
      <c r="AM207" s="61" t="e">
        <f t="shared" si="129"/>
        <v>#N/A</v>
      </c>
      <c r="AN207" s="61" t="e">
        <f t="shared" si="130"/>
        <v>#N/A</v>
      </c>
      <c r="AO207" s="61" t="e">
        <f t="shared" si="131"/>
        <v>#N/A</v>
      </c>
      <c r="AP207" s="61" t="e">
        <f t="shared" si="132"/>
        <v>#N/A</v>
      </c>
      <c r="AQ207" s="61" t="e">
        <f t="shared" si="133"/>
        <v>#N/A</v>
      </c>
      <c r="AR207" s="61" t="e">
        <f t="shared" si="134"/>
        <v>#N/A</v>
      </c>
      <c r="AS207" s="61" t="e">
        <f t="shared" ca="1" si="135"/>
        <v>#N/A</v>
      </c>
      <c r="AT207" s="61" t="e">
        <f t="shared" ca="1" si="136"/>
        <v>#N/A</v>
      </c>
      <c r="AU207" s="61" t="e">
        <f t="shared" si="119"/>
        <v>#N/A</v>
      </c>
      <c r="AV207" s="61" t="e">
        <f t="shared" si="137"/>
        <v>#N/A</v>
      </c>
      <c r="AW207" s="61" t="e">
        <f t="shared" si="138"/>
        <v>#N/A</v>
      </c>
      <c r="AX207" s="61" t="e">
        <f t="shared" si="139"/>
        <v>#N/A</v>
      </c>
    </row>
    <row r="208" spans="1:50" x14ac:dyDescent="0.3">
      <c r="A208" s="47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Y208" s="48" t="e">
        <f t="shared" si="114"/>
        <v>#N/A</v>
      </c>
      <c r="Z208" s="61" t="e">
        <f t="shared" si="115"/>
        <v>#N/A</v>
      </c>
      <c r="AA208" s="61" t="e">
        <f t="shared" si="120"/>
        <v>#N/A</v>
      </c>
      <c r="AB208" s="61" t="e">
        <f t="shared" si="116"/>
        <v>#N/A</v>
      </c>
      <c r="AC208" s="61" t="e">
        <f t="shared" si="117"/>
        <v>#N/A</v>
      </c>
      <c r="AD208" s="61" t="e">
        <f t="shared" si="118"/>
        <v>#N/A</v>
      </c>
      <c r="AE208" s="61" t="e">
        <f t="shared" si="121"/>
        <v>#N/A</v>
      </c>
      <c r="AF208" s="61">
        <f t="shared" si="122"/>
        <v>0</v>
      </c>
      <c r="AG208" s="61" t="e">
        <f t="shared" si="123"/>
        <v>#N/A</v>
      </c>
      <c r="AH208" s="61" t="e">
        <f t="shared" si="124"/>
        <v>#N/A</v>
      </c>
      <c r="AI208" s="61" t="e">
        <f t="shared" si="125"/>
        <v>#N/A</v>
      </c>
      <c r="AJ208" s="61" t="e">
        <f t="shared" si="126"/>
        <v>#N/A</v>
      </c>
      <c r="AK208" s="61" t="e">
        <f t="shared" si="127"/>
        <v>#N/A</v>
      </c>
      <c r="AL208" s="61" t="e">
        <f t="shared" si="128"/>
        <v>#N/A</v>
      </c>
      <c r="AM208" s="61" t="e">
        <f t="shared" si="129"/>
        <v>#N/A</v>
      </c>
      <c r="AN208" s="61" t="e">
        <f t="shared" si="130"/>
        <v>#N/A</v>
      </c>
      <c r="AO208" s="61" t="e">
        <f t="shared" si="131"/>
        <v>#N/A</v>
      </c>
      <c r="AP208" s="61" t="e">
        <f t="shared" si="132"/>
        <v>#N/A</v>
      </c>
      <c r="AQ208" s="61" t="e">
        <f t="shared" si="133"/>
        <v>#N/A</v>
      </c>
      <c r="AR208" s="61" t="e">
        <f t="shared" si="134"/>
        <v>#N/A</v>
      </c>
      <c r="AS208" s="61" t="e">
        <f t="shared" ca="1" si="135"/>
        <v>#N/A</v>
      </c>
      <c r="AT208" s="61" t="e">
        <f t="shared" ca="1" si="136"/>
        <v>#N/A</v>
      </c>
      <c r="AU208" s="61" t="e">
        <f t="shared" si="119"/>
        <v>#N/A</v>
      </c>
      <c r="AV208" s="61" t="e">
        <f t="shared" si="137"/>
        <v>#N/A</v>
      </c>
      <c r="AW208" s="61" t="e">
        <f t="shared" si="138"/>
        <v>#N/A</v>
      </c>
      <c r="AX208" s="61" t="e">
        <f t="shared" si="139"/>
        <v>#N/A</v>
      </c>
    </row>
    <row r="209" spans="1:50" x14ac:dyDescent="0.3">
      <c r="A209" s="47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Y209" s="48" t="e">
        <f t="shared" si="114"/>
        <v>#N/A</v>
      </c>
      <c r="Z209" s="61" t="e">
        <f t="shared" si="115"/>
        <v>#N/A</v>
      </c>
      <c r="AA209" s="61" t="e">
        <f t="shared" si="120"/>
        <v>#N/A</v>
      </c>
      <c r="AB209" s="61" t="e">
        <f t="shared" si="116"/>
        <v>#N/A</v>
      </c>
      <c r="AC209" s="61" t="e">
        <f t="shared" si="117"/>
        <v>#N/A</v>
      </c>
      <c r="AD209" s="61" t="e">
        <f t="shared" si="118"/>
        <v>#N/A</v>
      </c>
      <c r="AE209" s="61" t="e">
        <f t="shared" si="121"/>
        <v>#N/A</v>
      </c>
      <c r="AF209" s="61">
        <f t="shared" si="122"/>
        <v>0</v>
      </c>
      <c r="AG209" s="61" t="e">
        <f t="shared" si="123"/>
        <v>#N/A</v>
      </c>
      <c r="AH209" s="61" t="e">
        <f t="shared" si="124"/>
        <v>#N/A</v>
      </c>
      <c r="AI209" s="61" t="e">
        <f t="shared" si="125"/>
        <v>#N/A</v>
      </c>
      <c r="AJ209" s="61" t="e">
        <f t="shared" si="126"/>
        <v>#N/A</v>
      </c>
      <c r="AK209" s="61" t="e">
        <f t="shared" si="127"/>
        <v>#N/A</v>
      </c>
      <c r="AL209" s="61" t="e">
        <f t="shared" si="128"/>
        <v>#N/A</v>
      </c>
      <c r="AM209" s="61" t="e">
        <f t="shared" si="129"/>
        <v>#N/A</v>
      </c>
      <c r="AN209" s="61" t="e">
        <f t="shared" si="130"/>
        <v>#N/A</v>
      </c>
      <c r="AO209" s="61" t="e">
        <f t="shared" si="131"/>
        <v>#N/A</v>
      </c>
      <c r="AP209" s="61" t="e">
        <f t="shared" si="132"/>
        <v>#N/A</v>
      </c>
      <c r="AQ209" s="61" t="e">
        <f t="shared" si="133"/>
        <v>#N/A</v>
      </c>
      <c r="AR209" s="61" t="e">
        <f t="shared" si="134"/>
        <v>#N/A</v>
      </c>
      <c r="AS209" s="61" t="e">
        <f t="shared" ca="1" si="135"/>
        <v>#N/A</v>
      </c>
      <c r="AT209" s="61" t="e">
        <f t="shared" ca="1" si="136"/>
        <v>#N/A</v>
      </c>
      <c r="AU209" s="61" t="e">
        <f t="shared" si="119"/>
        <v>#N/A</v>
      </c>
      <c r="AV209" s="61" t="e">
        <f t="shared" si="137"/>
        <v>#N/A</v>
      </c>
      <c r="AW209" s="61" t="e">
        <f t="shared" si="138"/>
        <v>#N/A</v>
      </c>
      <c r="AX209" s="61" t="e">
        <f t="shared" si="139"/>
        <v>#N/A</v>
      </c>
    </row>
    <row r="210" spans="1:50" x14ac:dyDescent="0.3">
      <c r="A210" s="47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Y210" s="48" t="e">
        <f t="shared" si="114"/>
        <v>#N/A</v>
      </c>
      <c r="Z210" s="61" t="e">
        <f t="shared" si="115"/>
        <v>#N/A</v>
      </c>
      <c r="AA210" s="61" t="e">
        <f t="shared" si="120"/>
        <v>#N/A</v>
      </c>
      <c r="AB210" s="61" t="e">
        <f t="shared" si="116"/>
        <v>#N/A</v>
      </c>
      <c r="AC210" s="61" t="e">
        <f t="shared" si="117"/>
        <v>#N/A</v>
      </c>
      <c r="AD210" s="61" t="e">
        <f t="shared" si="118"/>
        <v>#N/A</v>
      </c>
      <c r="AE210" s="61" t="e">
        <f t="shared" si="121"/>
        <v>#N/A</v>
      </c>
      <c r="AF210" s="61">
        <f t="shared" si="122"/>
        <v>0</v>
      </c>
      <c r="AG210" s="61" t="e">
        <f t="shared" si="123"/>
        <v>#N/A</v>
      </c>
      <c r="AH210" s="61" t="e">
        <f t="shared" si="124"/>
        <v>#N/A</v>
      </c>
      <c r="AI210" s="61" t="e">
        <f t="shared" si="125"/>
        <v>#N/A</v>
      </c>
      <c r="AJ210" s="61" t="e">
        <f t="shared" si="126"/>
        <v>#N/A</v>
      </c>
      <c r="AK210" s="61" t="e">
        <f t="shared" si="127"/>
        <v>#N/A</v>
      </c>
      <c r="AL210" s="61" t="e">
        <f t="shared" si="128"/>
        <v>#N/A</v>
      </c>
      <c r="AM210" s="61" t="e">
        <f t="shared" si="129"/>
        <v>#N/A</v>
      </c>
      <c r="AN210" s="61" t="e">
        <f t="shared" si="130"/>
        <v>#N/A</v>
      </c>
      <c r="AO210" s="61" t="e">
        <f t="shared" si="131"/>
        <v>#N/A</v>
      </c>
      <c r="AP210" s="61" t="e">
        <f t="shared" si="132"/>
        <v>#N/A</v>
      </c>
      <c r="AQ210" s="61" t="e">
        <f t="shared" si="133"/>
        <v>#N/A</v>
      </c>
      <c r="AR210" s="61" t="e">
        <f t="shared" si="134"/>
        <v>#N/A</v>
      </c>
      <c r="AS210" s="61" t="e">
        <f t="shared" ca="1" si="135"/>
        <v>#N/A</v>
      </c>
      <c r="AT210" s="61" t="e">
        <f t="shared" ca="1" si="136"/>
        <v>#N/A</v>
      </c>
      <c r="AU210" s="61" t="e">
        <f t="shared" si="119"/>
        <v>#N/A</v>
      </c>
      <c r="AV210" s="61" t="e">
        <f t="shared" si="137"/>
        <v>#N/A</v>
      </c>
      <c r="AW210" s="61" t="e">
        <f t="shared" si="138"/>
        <v>#N/A</v>
      </c>
      <c r="AX210" s="61" t="e">
        <f t="shared" si="139"/>
        <v>#N/A</v>
      </c>
    </row>
    <row r="211" spans="1:50" x14ac:dyDescent="0.3">
      <c r="A211" s="47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Y211" s="48" t="e">
        <f t="shared" si="114"/>
        <v>#N/A</v>
      </c>
      <c r="Z211" s="61" t="e">
        <f t="shared" si="115"/>
        <v>#N/A</v>
      </c>
      <c r="AA211" s="61" t="e">
        <f t="shared" si="120"/>
        <v>#N/A</v>
      </c>
      <c r="AB211" s="61" t="e">
        <f t="shared" si="116"/>
        <v>#N/A</v>
      </c>
      <c r="AC211" s="61" t="e">
        <f t="shared" si="117"/>
        <v>#N/A</v>
      </c>
      <c r="AD211" s="61" t="e">
        <f t="shared" si="118"/>
        <v>#N/A</v>
      </c>
      <c r="AE211" s="61" t="e">
        <f t="shared" si="121"/>
        <v>#N/A</v>
      </c>
      <c r="AF211" s="61">
        <f t="shared" si="122"/>
        <v>0</v>
      </c>
      <c r="AG211" s="61" t="e">
        <f t="shared" si="123"/>
        <v>#N/A</v>
      </c>
      <c r="AH211" s="61" t="e">
        <f t="shared" si="124"/>
        <v>#N/A</v>
      </c>
      <c r="AI211" s="61" t="e">
        <f t="shared" si="125"/>
        <v>#N/A</v>
      </c>
      <c r="AJ211" s="61" t="e">
        <f t="shared" si="126"/>
        <v>#N/A</v>
      </c>
      <c r="AK211" s="61" t="e">
        <f t="shared" si="127"/>
        <v>#N/A</v>
      </c>
      <c r="AL211" s="61" t="e">
        <f t="shared" si="128"/>
        <v>#N/A</v>
      </c>
      <c r="AM211" s="61" t="e">
        <f t="shared" si="129"/>
        <v>#N/A</v>
      </c>
      <c r="AN211" s="61" t="e">
        <f t="shared" si="130"/>
        <v>#N/A</v>
      </c>
      <c r="AO211" s="61" t="e">
        <f t="shared" si="131"/>
        <v>#N/A</v>
      </c>
      <c r="AP211" s="61" t="e">
        <f t="shared" si="132"/>
        <v>#N/A</v>
      </c>
      <c r="AQ211" s="61" t="e">
        <f t="shared" si="133"/>
        <v>#N/A</v>
      </c>
      <c r="AR211" s="61" t="e">
        <f t="shared" si="134"/>
        <v>#N/A</v>
      </c>
      <c r="AS211" s="61" t="e">
        <f t="shared" ca="1" si="135"/>
        <v>#N/A</v>
      </c>
      <c r="AT211" s="61" t="e">
        <f t="shared" ca="1" si="136"/>
        <v>#N/A</v>
      </c>
      <c r="AU211" s="61" t="e">
        <f t="shared" si="119"/>
        <v>#N/A</v>
      </c>
      <c r="AV211" s="61" t="e">
        <f t="shared" si="137"/>
        <v>#N/A</v>
      </c>
      <c r="AW211" s="61" t="e">
        <f t="shared" si="138"/>
        <v>#N/A</v>
      </c>
      <c r="AX211" s="61" t="e">
        <f t="shared" si="139"/>
        <v>#N/A</v>
      </c>
    </row>
    <row r="212" spans="1:50" x14ac:dyDescent="0.3">
      <c r="A212" s="47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Y212" s="48" t="e">
        <f t="shared" si="114"/>
        <v>#N/A</v>
      </c>
      <c r="Z212" s="61" t="e">
        <f t="shared" si="115"/>
        <v>#N/A</v>
      </c>
      <c r="AA212" s="61" t="e">
        <f t="shared" si="120"/>
        <v>#N/A</v>
      </c>
      <c r="AB212" s="61" t="e">
        <f t="shared" si="116"/>
        <v>#N/A</v>
      </c>
      <c r="AC212" s="61" t="e">
        <f t="shared" si="117"/>
        <v>#N/A</v>
      </c>
      <c r="AD212" s="61" t="e">
        <f t="shared" si="118"/>
        <v>#N/A</v>
      </c>
      <c r="AE212" s="61" t="e">
        <f t="shared" si="121"/>
        <v>#N/A</v>
      </c>
      <c r="AF212" s="61">
        <f t="shared" si="122"/>
        <v>0</v>
      </c>
      <c r="AG212" s="61" t="e">
        <f t="shared" si="123"/>
        <v>#N/A</v>
      </c>
      <c r="AH212" s="61" t="e">
        <f t="shared" si="124"/>
        <v>#N/A</v>
      </c>
      <c r="AI212" s="61" t="e">
        <f t="shared" si="125"/>
        <v>#N/A</v>
      </c>
      <c r="AJ212" s="61" t="e">
        <f t="shared" si="126"/>
        <v>#N/A</v>
      </c>
      <c r="AK212" s="61" t="e">
        <f t="shared" si="127"/>
        <v>#N/A</v>
      </c>
      <c r="AL212" s="61" t="e">
        <f t="shared" si="128"/>
        <v>#N/A</v>
      </c>
      <c r="AM212" s="61" t="e">
        <f t="shared" si="129"/>
        <v>#N/A</v>
      </c>
      <c r="AN212" s="61" t="e">
        <f t="shared" si="130"/>
        <v>#N/A</v>
      </c>
      <c r="AO212" s="61" t="e">
        <f t="shared" si="131"/>
        <v>#N/A</v>
      </c>
      <c r="AP212" s="61" t="e">
        <f t="shared" si="132"/>
        <v>#N/A</v>
      </c>
      <c r="AQ212" s="61" t="e">
        <f t="shared" si="133"/>
        <v>#N/A</v>
      </c>
      <c r="AR212" s="61" t="e">
        <f t="shared" si="134"/>
        <v>#N/A</v>
      </c>
      <c r="AS212" s="61" t="e">
        <f t="shared" ca="1" si="135"/>
        <v>#N/A</v>
      </c>
      <c r="AT212" s="61" t="e">
        <f t="shared" ca="1" si="136"/>
        <v>#N/A</v>
      </c>
      <c r="AU212" s="61" t="e">
        <f t="shared" si="119"/>
        <v>#N/A</v>
      </c>
      <c r="AV212" s="61" t="e">
        <f t="shared" si="137"/>
        <v>#N/A</v>
      </c>
      <c r="AW212" s="61" t="e">
        <f t="shared" si="138"/>
        <v>#N/A</v>
      </c>
      <c r="AX212" s="61" t="e">
        <f t="shared" si="139"/>
        <v>#N/A</v>
      </c>
    </row>
    <row r="213" spans="1:50" x14ac:dyDescent="0.3">
      <c r="A213" s="47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Y213" s="48" t="e">
        <f t="shared" si="114"/>
        <v>#N/A</v>
      </c>
      <c r="Z213" s="61" t="e">
        <f t="shared" si="115"/>
        <v>#N/A</v>
      </c>
      <c r="AA213" s="61" t="e">
        <f t="shared" si="120"/>
        <v>#N/A</v>
      </c>
      <c r="AB213" s="61" t="e">
        <f t="shared" si="116"/>
        <v>#N/A</v>
      </c>
      <c r="AC213" s="61" t="e">
        <f t="shared" si="117"/>
        <v>#N/A</v>
      </c>
      <c r="AD213" s="61" t="e">
        <f t="shared" si="118"/>
        <v>#N/A</v>
      </c>
      <c r="AE213" s="61" t="e">
        <f t="shared" si="121"/>
        <v>#N/A</v>
      </c>
      <c r="AF213" s="61">
        <f t="shared" si="122"/>
        <v>0</v>
      </c>
      <c r="AG213" s="61" t="e">
        <f t="shared" si="123"/>
        <v>#N/A</v>
      </c>
      <c r="AH213" s="61" t="e">
        <f t="shared" si="124"/>
        <v>#N/A</v>
      </c>
      <c r="AI213" s="61" t="e">
        <f t="shared" si="125"/>
        <v>#N/A</v>
      </c>
      <c r="AJ213" s="61" t="e">
        <f t="shared" si="126"/>
        <v>#N/A</v>
      </c>
      <c r="AK213" s="61" t="e">
        <f t="shared" si="127"/>
        <v>#N/A</v>
      </c>
      <c r="AL213" s="61" t="e">
        <f t="shared" si="128"/>
        <v>#N/A</v>
      </c>
      <c r="AM213" s="61" t="e">
        <f t="shared" si="129"/>
        <v>#N/A</v>
      </c>
      <c r="AN213" s="61" t="e">
        <f t="shared" si="130"/>
        <v>#N/A</v>
      </c>
      <c r="AO213" s="61" t="e">
        <f t="shared" si="131"/>
        <v>#N/A</v>
      </c>
      <c r="AP213" s="61" t="e">
        <f t="shared" si="132"/>
        <v>#N/A</v>
      </c>
      <c r="AQ213" s="61" t="e">
        <f t="shared" si="133"/>
        <v>#N/A</v>
      </c>
      <c r="AR213" s="61" t="e">
        <f t="shared" si="134"/>
        <v>#N/A</v>
      </c>
      <c r="AS213" s="61" t="e">
        <f t="shared" ca="1" si="135"/>
        <v>#N/A</v>
      </c>
      <c r="AT213" s="61" t="e">
        <f t="shared" ca="1" si="136"/>
        <v>#N/A</v>
      </c>
      <c r="AU213" s="61" t="e">
        <f t="shared" si="119"/>
        <v>#N/A</v>
      </c>
      <c r="AV213" s="61" t="e">
        <f t="shared" si="137"/>
        <v>#N/A</v>
      </c>
      <c r="AW213" s="61" t="e">
        <f t="shared" si="138"/>
        <v>#N/A</v>
      </c>
      <c r="AX213" s="61" t="e">
        <f t="shared" si="139"/>
        <v>#N/A</v>
      </c>
    </row>
    <row r="214" spans="1:50" x14ac:dyDescent="0.3">
      <c r="A214" s="47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Y214" s="48" t="e">
        <f t="shared" si="114"/>
        <v>#N/A</v>
      </c>
      <c r="Z214" s="61" t="e">
        <f t="shared" si="115"/>
        <v>#N/A</v>
      </c>
      <c r="AA214" s="61" t="e">
        <f t="shared" si="120"/>
        <v>#N/A</v>
      </c>
      <c r="AB214" s="61" t="e">
        <f t="shared" si="116"/>
        <v>#N/A</v>
      </c>
      <c r="AC214" s="61" t="e">
        <f t="shared" si="117"/>
        <v>#N/A</v>
      </c>
      <c r="AD214" s="61" t="e">
        <f t="shared" si="118"/>
        <v>#N/A</v>
      </c>
      <c r="AE214" s="61" t="e">
        <f t="shared" si="121"/>
        <v>#N/A</v>
      </c>
      <c r="AF214" s="61">
        <f t="shared" si="122"/>
        <v>0</v>
      </c>
      <c r="AG214" s="61" t="e">
        <f t="shared" si="123"/>
        <v>#N/A</v>
      </c>
      <c r="AH214" s="61" t="e">
        <f t="shared" si="124"/>
        <v>#N/A</v>
      </c>
      <c r="AI214" s="61" t="e">
        <f t="shared" si="125"/>
        <v>#N/A</v>
      </c>
      <c r="AJ214" s="61" t="e">
        <f t="shared" si="126"/>
        <v>#N/A</v>
      </c>
      <c r="AK214" s="61" t="e">
        <f t="shared" si="127"/>
        <v>#N/A</v>
      </c>
      <c r="AL214" s="61" t="e">
        <f t="shared" si="128"/>
        <v>#N/A</v>
      </c>
      <c r="AM214" s="61" t="e">
        <f t="shared" si="129"/>
        <v>#N/A</v>
      </c>
      <c r="AN214" s="61" t="e">
        <f t="shared" si="130"/>
        <v>#N/A</v>
      </c>
      <c r="AO214" s="61" t="e">
        <f t="shared" si="131"/>
        <v>#N/A</v>
      </c>
      <c r="AP214" s="61" t="e">
        <f t="shared" si="132"/>
        <v>#N/A</v>
      </c>
      <c r="AQ214" s="61" t="e">
        <f t="shared" si="133"/>
        <v>#N/A</v>
      </c>
      <c r="AR214" s="61" t="e">
        <f t="shared" si="134"/>
        <v>#N/A</v>
      </c>
      <c r="AS214" s="61" t="e">
        <f t="shared" ca="1" si="135"/>
        <v>#N/A</v>
      </c>
      <c r="AT214" s="61" t="e">
        <f t="shared" ca="1" si="136"/>
        <v>#N/A</v>
      </c>
      <c r="AU214" s="61" t="e">
        <f t="shared" si="119"/>
        <v>#N/A</v>
      </c>
      <c r="AV214" s="61" t="e">
        <f t="shared" si="137"/>
        <v>#N/A</v>
      </c>
      <c r="AW214" s="61" t="e">
        <f t="shared" si="138"/>
        <v>#N/A</v>
      </c>
      <c r="AX214" s="61" t="e">
        <f t="shared" si="139"/>
        <v>#N/A</v>
      </c>
    </row>
    <row r="215" spans="1:50" x14ac:dyDescent="0.3">
      <c r="A215" s="47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Y215" s="48" t="e">
        <f t="shared" si="114"/>
        <v>#N/A</v>
      </c>
      <c r="Z215" s="61" t="e">
        <f t="shared" si="115"/>
        <v>#N/A</v>
      </c>
      <c r="AA215" s="61" t="e">
        <f t="shared" si="120"/>
        <v>#N/A</v>
      </c>
      <c r="AB215" s="61" t="e">
        <f t="shared" si="116"/>
        <v>#N/A</v>
      </c>
      <c r="AC215" s="61" t="e">
        <f t="shared" si="117"/>
        <v>#N/A</v>
      </c>
      <c r="AD215" s="61" t="e">
        <f t="shared" si="118"/>
        <v>#N/A</v>
      </c>
      <c r="AE215" s="61" t="e">
        <f t="shared" si="121"/>
        <v>#N/A</v>
      </c>
      <c r="AF215" s="61">
        <f t="shared" si="122"/>
        <v>0</v>
      </c>
      <c r="AG215" s="61" t="e">
        <f t="shared" si="123"/>
        <v>#N/A</v>
      </c>
      <c r="AH215" s="61" t="e">
        <f t="shared" si="124"/>
        <v>#N/A</v>
      </c>
      <c r="AI215" s="61" t="e">
        <f t="shared" si="125"/>
        <v>#N/A</v>
      </c>
      <c r="AJ215" s="61" t="e">
        <f t="shared" si="126"/>
        <v>#N/A</v>
      </c>
      <c r="AK215" s="61" t="e">
        <f t="shared" si="127"/>
        <v>#N/A</v>
      </c>
      <c r="AL215" s="61" t="e">
        <f t="shared" si="128"/>
        <v>#N/A</v>
      </c>
      <c r="AM215" s="61" t="e">
        <f t="shared" si="129"/>
        <v>#N/A</v>
      </c>
      <c r="AN215" s="61" t="e">
        <f t="shared" si="130"/>
        <v>#N/A</v>
      </c>
      <c r="AO215" s="61" t="e">
        <f t="shared" si="131"/>
        <v>#N/A</v>
      </c>
      <c r="AP215" s="61" t="e">
        <f t="shared" si="132"/>
        <v>#N/A</v>
      </c>
      <c r="AQ215" s="61" t="e">
        <f t="shared" si="133"/>
        <v>#N/A</v>
      </c>
      <c r="AR215" s="61" t="e">
        <f t="shared" si="134"/>
        <v>#N/A</v>
      </c>
      <c r="AS215" s="61" t="e">
        <f t="shared" ca="1" si="135"/>
        <v>#N/A</v>
      </c>
      <c r="AT215" s="61" t="e">
        <f t="shared" ca="1" si="136"/>
        <v>#N/A</v>
      </c>
      <c r="AU215" s="61" t="e">
        <f t="shared" si="119"/>
        <v>#N/A</v>
      </c>
      <c r="AV215" s="61" t="e">
        <f t="shared" si="137"/>
        <v>#N/A</v>
      </c>
      <c r="AW215" s="61" t="e">
        <f t="shared" si="138"/>
        <v>#N/A</v>
      </c>
      <c r="AX215" s="61" t="e">
        <f t="shared" si="139"/>
        <v>#N/A</v>
      </c>
    </row>
    <row r="216" spans="1:50" x14ac:dyDescent="0.3">
      <c r="A216" s="47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Y216" s="48" t="e">
        <f t="shared" si="114"/>
        <v>#N/A</v>
      </c>
      <c r="Z216" s="61" t="e">
        <f t="shared" si="115"/>
        <v>#N/A</v>
      </c>
      <c r="AA216" s="61" t="e">
        <f t="shared" si="120"/>
        <v>#N/A</v>
      </c>
      <c r="AB216" s="61" t="e">
        <f t="shared" si="116"/>
        <v>#N/A</v>
      </c>
      <c r="AC216" s="61" t="e">
        <f t="shared" si="117"/>
        <v>#N/A</v>
      </c>
      <c r="AD216" s="61" t="e">
        <f t="shared" si="118"/>
        <v>#N/A</v>
      </c>
      <c r="AE216" s="61" t="e">
        <f t="shared" si="121"/>
        <v>#N/A</v>
      </c>
      <c r="AF216" s="61">
        <f t="shared" si="122"/>
        <v>0</v>
      </c>
      <c r="AG216" s="61" t="e">
        <f t="shared" si="123"/>
        <v>#N/A</v>
      </c>
      <c r="AH216" s="61" t="e">
        <f t="shared" si="124"/>
        <v>#N/A</v>
      </c>
      <c r="AI216" s="61" t="e">
        <f t="shared" si="125"/>
        <v>#N/A</v>
      </c>
      <c r="AJ216" s="61" t="e">
        <f t="shared" si="126"/>
        <v>#N/A</v>
      </c>
      <c r="AK216" s="61" t="e">
        <f t="shared" si="127"/>
        <v>#N/A</v>
      </c>
      <c r="AL216" s="61" t="e">
        <f t="shared" si="128"/>
        <v>#N/A</v>
      </c>
      <c r="AM216" s="61" t="e">
        <f t="shared" si="129"/>
        <v>#N/A</v>
      </c>
      <c r="AN216" s="61" t="e">
        <f t="shared" si="130"/>
        <v>#N/A</v>
      </c>
      <c r="AO216" s="61" t="e">
        <f t="shared" si="131"/>
        <v>#N/A</v>
      </c>
      <c r="AP216" s="61" t="e">
        <f t="shared" si="132"/>
        <v>#N/A</v>
      </c>
      <c r="AQ216" s="61" t="e">
        <f t="shared" si="133"/>
        <v>#N/A</v>
      </c>
      <c r="AR216" s="61" t="e">
        <f t="shared" si="134"/>
        <v>#N/A</v>
      </c>
      <c r="AS216" s="61" t="e">
        <f t="shared" ca="1" si="135"/>
        <v>#N/A</v>
      </c>
      <c r="AT216" s="61" t="e">
        <f t="shared" ca="1" si="136"/>
        <v>#N/A</v>
      </c>
      <c r="AU216" s="61" t="e">
        <f t="shared" si="119"/>
        <v>#N/A</v>
      </c>
      <c r="AV216" s="61" t="e">
        <f t="shared" si="137"/>
        <v>#N/A</v>
      </c>
      <c r="AW216" s="61" t="e">
        <f t="shared" si="138"/>
        <v>#N/A</v>
      </c>
      <c r="AX216" s="61" t="e">
        <f t="shared" si="139"/>
        <v>#N/A</v>
      </c>
    </row>
    <row r="217" spans="1:50" x14ac:dyDescent="0.3">
      <c r="A217" s="47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Y217" s="48" t="e">
        <f t="shared" si="114"/>
        <v>#N/A</v>
      </c>
      <c r="Z217" s="61" t="e">
        <f t="shared" si="115"/>
        <v>#N/A</v>
      </c>
      <c r="AA217" s="61" t="e">
        <f t="shared" si="120"/>
        <v>#N/A</v>
      </c>
      <c r="AB217" s="61" t="e">
        <f t="shared" si="116"/>
        <v>#N/A</v>
      </c>
      <c r="AC217" s="61" t="e">
        <f t="shared" si="117"/>
        <v>#N/A</v>
      </c>
      <c r="AD217" s="61" t="e">
        <f t="shared" si="118"/>
        <v>#N/A</v>
      </c>
      <c r="AE217" s="61" t="e">
        <f t="shared" si="121"/>
        <v>#N/A</v>
      </c>
      <c r="AF217" s="61">
        <f t="shared" si="122"/>
        <v>0</v>
      </c>
      <c r="AG217" s="61" t="e">
        <f t="shared" si="123"/>
        <v>#N/A</v>
      </c>
      <c r="AH217" s="61" t="e">
        <f t="shared" si="124"/>
        <v>#N/A</v>
      </c>
      <c r="AI217" s="61" t="e">
        <f t="shared" si="125"/>
        <v>#N/A</v>
      </c>
      <c r="AJ217" s="61" t="e">
        <f t="shared" si="126"/>
        <v>#N/A</v>
      </c>
      <c r="AK217" s="61" t="e">
        <f t="shared" si="127"/>
        <v>#N/A</v>
      </c>
      <c r="AL217" s="61" t="e">
        <f t="shared" si="128"/>
        <v>#N/A</v>
      </c>
      <c r="AM217" s="61" t="e">
        <f t="shared" si="129"/>
        <v>#N/A</v>
      </c>
      <c r="AN217" s="61" t="e">
        <f t="shared" si="130"/>
        <v>#N/A</v>
      </c>
      <c r="AO217" s="61" t="e">
        <f t="shared" si="131"/>
        <v>#N/A</v>
      </c>
      <c r="AP217" s="61" t="e">
        <f t="shared" si="132"/>
        <v>#N/A</v>
      </c>
      <c r="AQ217" s="61" t="e">
        <f t="shared" si="133"/>
        <v>#N/A</v>
      </c>
      <c r="AR217" s="61" t="e">
        <f t="shared" si="134"/>
        <v>#N/A</v>
      </c>
      <c r="AS217" s="61" t="e">
        <f t="shared" ca="1" si="135"/>
        <v>#N/A</v>
      </c>
      <c r="AT217" s="61" t="e">
        <f t="shared" ca="1" si="136"/>
        <v>#N/A</v>
      </c>
      <c r="AU217" s="61" t="e">
        <f t="shared" si="119"/>
        <v>#N/A</v>
      </c>
      <c r="AV217" s="61" t="e">
        <f t="shared" si="137"/>
        <v>#N/A</v>
      </c>
      <c r="AW217" s="61" t="e">
        <f t="shared" si="138"/>
        <v>#N/A</v>
      </c>
      <c r="AX217" s="61" t="e">
        <f t="shared" si="139"/>
        <v>#N/A</v>
      </c>
    </row>
    <row r="218" spans="1:50" x14ac:dyDescent="0.3">
      <c r="A218" s="47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Y218" s="48" t="e">
        <f t="shared" si="114"/>
        <v>#N/A</v>
      </c>
      <c r="Z218" s="61" t="e">
        <f t="shared" si="115"/>
        <v>#N/A</v>
      </c>
      <c r="AA218" s="61" t="e">
        <f t="shared" si="120"/>
        <v>#N/A</v>
      </c>
      <c r="AB218" s="61" t="e">
        <f t="shared" si="116"/>
        <v>#N/A</v>
      </c>
      <c r="AC218" s="61" t="e">
        <f t="shared" si="117"/>
        <v>#N/A</v>
      </c>
      <c r="AD218" s="61" t="e">
        <f t="shared" si="118"/>
        <v>#N/A</v>
      </c>
      <c r="AE218" s="61" t="e">
        <f t="shared" si="121"/>
        <v>#N/A</v>
      </c>
      <c r="AF218" s="61">
        <f t="shared" si="122"/>
        <v>0</v>
      </c>
      <c r="AG218" s="61" t="e">
        <f t="shared" si="123"/>
        <v>#N/A</v>
      </c>
      <c r="AH218" s="61" t="e">
        <f t="shared" si="124"/>
        <v>#N/A</v>
      </c>
      <c r="AI218" s="61" t="e">
        <f t="shared" si="125"/>
        <v>#N/A</v>
      </c>
      <c r="AJ218" s="61" t="e">
        <f t="shared" si="126"/>
        <v>#N/A</v>
      </c>
      <c r="AK218" s="61" t="e">
        <f t="shared" si="127"/>
        <v>#N/A</v>
      </c>
      <c r="AL218" s="61" t="e">
        <f t="shared" si="128"/>
        <v>#N/A</v>
      </c>
      <c r="AM218" s="61" t="e">
        <f t="shared" si="129"/>
        <v>#N/A</v>
      </c>
      <c r="AN218" s="61" t="e">
        <f t="shared" si="130"/>
        <v>#N/A</v>
      </c>
      <c r="AO218" s="61" t="e">
        <f t="shared" si="131"/>
        <v>#N/A</v>
      </c>
      <c r="AP218" s="61" t="e">
        <f t="shared" si="132"/>
        <v>#N/A</v>
      </c>
      <c r="AQ218" s="61" t="e">
        <f t="shared" si="133"/>
        <v>#N/A</v>
      </c>
      <c r="AR218" s="61" t="e">
        <f t="shared" si="134"/>
        <v>#N/A</v>
      </c>
      <c r="AS218" s="61" t="e">
        <f t="shared" ca="1" si="135"/>
        <v>#N/A</v>
      </c>
      <c r="AT218" s="61" t="e">
        <f t="shared" ca="1" si="136"/>
        <v>#N/A</v>
      </c>
      <c r="AU218" s="61" t="e">
        <f t="shared" si="119"/>
        <v>#N/A</v>
      </c>
      <c r="AV218" s="61" t="e">
        <f t="shared" si="137"/>
        <v>#N/A</v>
      </c>
      <c r="AW218" s="61" t="e">
        <f t="shared" si="138"/>
        <v>#N/A</v>
      </c>
      <c r="AX218" s="61" t="e">
        <f t="shared" si="139"/>
        <v>#N/A</v>
      </c>
    </row>
    <row r="219" spans="1:50" x14ac:dyDescent="0.3">
      <c r="A219" s="47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Y219" s="48" t="e">
        <f t="shared" si="114"/>
        <v>#N/A</v>
      </c>
      <c r="Z219" s="61" t="e">
        <f t="shared" si="115"/>
        <v>#N/A</v>
      </c>
      <c r="AA219" s="61" t="e">
        <f t="shared" si="120"/>
        <v>#N/A</v>
      </c>
      <c r="AB219" s="61" t="e">
        <f t="shared" si="116"/>
        <v>#N/A</v>
      </c>
      <c r="AC219" s="61" t="e">
        <f t="shared" si="117"/>
        <v>#N/A</v>
      </c>
      <c r="AD219" s="61" t="e">
        <f t="shared" si="118"/>
        <v>#N/A</v>
      </c>
      <c r="AE219" s="61" t="e">
        <f t="shared" si="121"/>
        <v>#N/A</v>
      </c>
      <c r="AF219" s="61">
        <f t="shared" si="122"/>
        <v>0</v>
      </c>
      <c r="AG219" s="61" t="e">
        <f t="shared" si="123"/>
        <v>#N/A</v>
      </c>
      <c r="AH219" s="61" t="e">
        <f t="shared" si="124"/>
        <v>#N/A</v>
      </c>
      <c r="AI219" s="61" t="e">
        <f t="shared" si="125"/>
        <v>#N/A</v>
      </c>
      <c r="AJ219" s="61" t="e">
        <f t="shared" si="126"/>
        <v>#N/A</v>
      </c>
      <c r="AK219" s="61" t="e">
        <f t="shared" si="127"/>
        <v>#N/A</v>
      </c>
      <c r="AL219" s="61" t="e">
        <f t="shared" si="128"/>
        <v>#N/A</v>
      </c>
      <c r="AM219" s="61" t="e">
        <f t="shared" si="129"/>
        <v>#N/A</v>
      </c>
      <c r="AN219" s="61" t="e">
        <f t="shared" si="130"/>
        <v>#N/A</v>
      </c>
      <c r="AO219" s="61" t="e">
        <f t="shared" si="131"/>
        <v>#N/A</v>
      </c>
      <c r="AP219" s="61" t="e">
        <f t="shared" si="132"/>
        <v>#N/A</v>
      </c>
      <c r="AQ219" s="61" t="e">
        <f t="shared" si="133"/>
        <v>#N/A</v>
      </c>
      <c r="AR219" s="61" t="e">
        <f t="shared" si="134"/>
        <v>#N/A</v>
      </c>
      <c r="AS219" s="61" t="e">
        <f t="shared" ca="1" si="135"/>
        <v>#N/A</v>
      </c>
      <c r="AT219" s="61" t="e">
        <f t="shared" ca="1" si="136"/>
        <v>#N/A</v>
      </c>
      <c r="AU219" s="61" t="e">
        <f t="shared" si="119"/>
        <v>#N/A</v>
      </c>
      <c r="AV219" s="61" t="e">
        <f t="shared" si="137"/>
        <v>#N/A</v>
      </c>
      <c r="AW219" s="61" t="e">
        <f t="shared" si="138"/>
        <v>#N/A</v>
      </c>
      <c r="AX219" s="61" t="e">
        <f t="shared" si="139"/>
        <v>#N/A</v>
      </c>
    </row>
    <row r="220" spans="1:50" x14ac:dyDescent="0.3">
      <c r="A220" s="47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Y220" s="48" t="e">
        <f t="shared" si="114"/>
        <v>#N/A</v>
      </c>
      <c r="Z220" s="61" t="e">
        <f t="shared" si="115"/>
        <v>#N/A</v>
      </c>
      <c r="AA220" s="61" t="e">
        <f t="shared" si="120"/>
        <v>#N/A</v>
      </c>
      <c r="AB220" s="61" t="e">
        <f t="shared" si="116"/>
        <v>#N/A</v>
      </c>
      <c r="AC220" s="61" t="e">
        <f t="shared" si="117"/>
        <v>#N/A</v>
      </c>
      <c r="AD220" s="61" t="e">
        <f t="shared" si="118"/>
        <v>#N/A</v>
      </c>
      <c r="AE220" s="61" t="e">
        <f t="shared" si="121"/>
        <v>#N/A</v>
      </c>
      <c r="AF220" s="61">
        <f t="shared" si="122"/>
        <v>0</v>
      </c>
      <c r="AG220" s="61" t="e">
        <f t="shared" si="123"/>
        <v>#N/A</v>
      </c>
      <c r="AH220" s="61" t="e">
        <f t="shared" si="124"/>
        <v>#N/A</v>
      </c>
      <c r="AI220" s="61" t="e">
        <f t="shared" si="125"/>
        <v>#N/A</v>
      </c>
      <c r="AJ220" s="61" t="e">
        <f t="shared" si="126"/>
        <v>#N/A</v>
      </c>
      <c r="AK220" s="61" t="e">
        <f t="shared" si="127"/>
        <v>#N/A</v>
      </c>
      <c r="AL220" s="61" t="e">
        <f t="shared" si="128"/>
        <v>#N/A</v>
      </c>
      <c r="AM220" s="61" t="e">
        <f t="shared" si="129"/>
        <v>#N/A</v>
      </c>
      <c r="AN220" s="61" t="e">
        <f t="shared" si="130"/>
        <v>#N/A</v>
      </c>
      <c r="AO220" s="61" t="e">
        <f t="shared" si="131"/>
        <v>#N/A</v>
      </c>
      <c r="AP220" s="61" t="e">
        <f t="shared" si="132"/>
        <v>#N/A</v>
      </c>
      <c r="AQ220" s="61" t="e">
        <f t="shared" si="133"/>
        <v>#N/A</v>
      </c>
      <c r="AR220" s="61" t="e">
        <f t="shared" si="134"/>
        <v>#N/A</v>
      </c>
      <c r="AS220" s="61" t="e">
        <f t="shared" ca="1" si="135"/>
        <v>#N/A</v>
      </c>
      <c r="AT220" s="61" t="e">
        <f t="shared" ca="1" si="136"/>
        <v>#N/A</v>
      </c>
      <c r="AU220" s="61" t="e">
        <f t="shared" si="119"/>
        <v>#N/A</v>
      </c>
      <c r="AV220" s="61" t="e">
        <f t="shared" si="137"/>
        <v>#N/A</v>
      </c>
      <c r="AW220" s="61" t="e">
        <f t="shared" si="138"/>
        <v>#N/A</v>
      </c>
      <c r="AX220" s="61" t="e">
        <f t="shared" si="139"/>
        <v>#N/A</v>
      </c>
    </row>
    <row r="221" spans="1:50" x14ac:dyDescent="0.3">
      <c r="A221" s="47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Y221" s="48" t="e">
        <f t="shared" si="114"/>
        <v>#N/A</v>
      </c>
      <c r="Z221" s="61" t="e">
        <f t="shared" si="115"/>
        <v>#N/A</v>
      </c>
      <c r="AA221" s="61" t="e">
        <f t="shared" si="120"/>
        <v>#N/A</v>
      </c>
      <c r="AB221" s="61" t="e">
        <f t="shared" si="116"/>
        <v>#N/A</v>
      </c>
      <c r="AC221" s="61" t="e">
        <f t="shared" si="117"/>
        <v>#N/A</v>
      </c>
      <c r="AD221" s="61" t="e">
        <f t="shared" si="118"/>
        <v>#N/A</v>
      </c>
      <c r="AE221" s="61" t="e">
        <f t="shared" si="121"/>
        <v>#N/A</v>
      </c>
      <c r="AF221" s="61">
        <f t="shared" si="122"/>
        <v>0</v>
      </c>
      <c r="AG221" s="61" t="e">
        <f t="shared" si="123"/>
        <v>#N/A</v>
      </c>
      <c r="AH221" s="61" t="e">
        <f t="shared" si="124"/>
        <v>#N/A</v>
      </c>
      <c r="AI221" s="61" t="e">
        <f t="shared" si="125"/>
        <v>#N/A</v>
      </c>
      <c r="AJ221" s="61" t="e">
        <f t="shared" si="126"/>
        <v>#N/A</v>
      </c>
      <c r="AK221" s="61" t="e">
        <f t="shared" si="127"/>
        <v>#N/A</v>
      </c>
      <c r="AL221" s="61" t="e">
        <f t="shared" si="128"/>
        <v>#N/A</v>
      </c>
      <c r="AM221" s="61" t="e">
        <f t="shared" si="129"/>
        <v>#N/A</v>
      </c>
      <c r="AN221" s="61" t="e">
        <f t="shared" si="130"/>
        <v>#N/A</v>
      </c>
      <c r="AO221" s="61" t="e">
        <f t="shared" si="131"/>
        <v>#N/A</v>
      </c>
      <c r="AP221" s="61" t="e">
        <f t="shared" si="132"/>
        <v>#N/A</v>
      </c>
      <c r="AQ221" s="61" t="e">
        <f t="shared" si="133"/>
        <v>#N/A</v>
      </c>
      <c r="AR221" s="61" t="e">
        <f t="shared" si="134"/>
        <v>#N/A</v>
      </c>
      <c r="AS221" s="61" t="e">
        <f t="shared" ca="1" si="135"/>
        <v>#N/A</v>
      </c>
      <c r="AT221" s="61" t="e">
        <f t="shared" ca="1" si="136"/>
        <v>#N/A</v>
      </c>
      <c r="AU221" s="61" t="e">
        <f t="shared" si="119"/>
        <v>#N/A</v>
      </c>
      <c r="AV221" s="61" t="e">
        <f t="shared" si="137"/>
        <v>#N/A</v>
      </c>
      <c r="AW221" s="61" t="e">
        <f t="shared" si="138"/>
        <v>#N/A</v>
      </c>
      <c r="AX221" s="61" t="e">
        <f t="shared" si="139"/>
        <v>#N/A</v>
      </c>
    </row>
    <row r="222" spans="1:50" x14ac:dyDescent="0.3">
      <c r="A222" s="47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Y222" s="48" t="e">
        <f t="shared" si="114"/>
        <v>#N/A</v>
      </c>
      <c r="Z222" s="61" t="e">
        <f t="shared" si="115"/>
        <v>#N/A</v>
      </c>
      <c r="AA222" s="61" t="e">
        <f t="shared" si="120"/>
        <v>#N/A</v>
      </c>
      <c r="AB222" s="61" t="e">
        <f t="shared" si="116"/>
        <v>#N/A</v>
      </c>
      <c r="AC222" s="61" t="e">
        <f t="shared" si="117"/>
        <v>#N/A</v>
      </c>
      <c r="AD222" s="61" t="e">
        <f t="shared" si="118"/>
        <v>#N/A</v>
      </c>
      <c r="AE222" s="61" t="e">
        <f t="shared" si="121"/>
        <v>#N/A</v>
      </c>
      <c r="AF222" s="61">
        <f t="shared" si="122"/>
        <v>0</v>
      </c>
      <c r="AG222" s="61" t="e">
        <f t="shared" si="123"/>
        <v>#N/A</v>
      </c>
      <c r="AH222" s="61" t="e">
        <f t="shared" si="124"/>
        <v>#N/A</v>
      </c>
      <c r="AI222" s="61" t="e">
        <f t="shared" si="125"/>
        <v>#N/A</v>
      </c>
      <c r="AJ222" s="61" t="e">
        <f t="shared" si="126"/>
        <v>#N/A</v>
      </c>
      <c r="AK222" s="61" t="e">
        <f t="shared" si="127"/>
        <v>#N/A</v>
      </c>
      <c r="AL222" s="61" t="e">
        <f t="shared" si="128"/>
        <v>#N/A</v>
      </c>
      <c r="AM222" s="61" t="e">
        <f t="shared" si="129"/>
        <v>#N/A</v>
      </c>
      <c r="AN222" s="61" t="e">
        <f t="shared" si="130"/>
        <v>#N/A</v>
      </c>
      <c r="AO222" s="61" t="e">
        <f t="shared" si="131"/>
        <v>#N/A</v>
      </c>
      <c r="AP222" s="61" t="e">
        <f t="shared" si="132"/>
        <v>#N/A</v>
      </c>
      <c r="AQ222" s="61" t="e">
        <f t="shared" si="133"/>
        <v>#N/A</v>
      </c>
      <c r="AR222" s="61" t="e">
        <f t="shared" si="134"/>
        <v>#N/A</v>
      </c>
      <c r="AS222" s="61" t="e">
        <f t="shared" ca="1" si="135"/>
        <v>#N/A</v>
      </c>
      <c r="AT222" s="61" t="e">
        <f t="shared" ca="1" si="136"/>
        <v>#N/A</v>
      </c>
      <c r="AU222" s="61" t="e">
        <f t="shared" si="119"/>
        <v>#N/A</v>
      </c>
      <c r="AV222" s="61" t="e">
        <f t="shared" si="137"/>
        <v>#N/A</v>
      </c>
      <c r="AW222" s="61" t="e">
        <f t="shared" si="138"/>
        <v>#N/A</v>
      </c>
      <c r="AX222" s="61" t="e">
        <f t="shared" si="139"/>
        <v>#N/A</v>
      </c>
    </row>
    <row r="223" spans="1:50" x14ac:dyDescent="0.3">
      <c r="A223" s="47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Y223" s="48" t="e">
        <f t="shared" si="114"/>
        <v>#N/A</v>
      </c>
      <c r="Z223" s="61" t="e">
        <f t="shared" si="115"/>
        <v>#N/A</v>
      </c>
      <c r="AA223" s="61" t="e">
        <f t="shared" si="120"/>
        <v>#N/A</v>
      </c>
      <c r="AB223" s="61" t="e">
        <f t="shared" si="116"/>
        <v>#N/A</v>
      </c>
      <c r="AC223" s="61" t="e">
        <f t="shared" si="117"/>
        <v>#N/A</v>
      </c>
      <c r="AD223" s="61" t="e">
        <f t="shared" si="118"/>
        <v>#N/A</v>
      </c>
      <c r="AE223" s="61" t="e">
        <f t="shared" si="121"/>
        <v>#N/A</v>
      </c>
      <c r="AF223" s="61">
        <f t="shared" si="122"/>
        <v>0</v>
      </c>
      <c r="AG223" s="61" t="e">
        <f t="shared" si="123"/>
        <v>#N/A</v>
      </c>
      <c r="AH223" s="61" t="e">
        <f t="shared" si="124"/>
        <v>#N/A</v>
      </c>
      <c r="AI223" s="61" t="e">
        <f t="shared" si="125"/>
        <v>#N/A</v>
      </c>
      <c r="AJ223" s="61" t="e">
        <f t="shared" si="126"/>
        <v>#N/A</v>
      </c>
      <c r="AK223" s="61" t="e">
        <f t="shared" si="127"/>
        <v>#N/A</v>
      </c>
      <c r="AL223" s="61" t="e">
        <f t="shared" si="128"/>
        <v>#N/A</v>
      </c>
      <c r="AM223" s="61" t="e">
        <f t="shared" si="129"/>
        <v>#N/A</v>
      </c>
      <c r="AN223" s="61" t="e">
        <f t="shared" si="130"/>
        <v>#N/A</v>
      </c>
      <c r="AO223" s="61" t="e">
        <f t="shared" si="131"/>
        <v>#N/A</v>
      </c>
      <c r="AP223" s="61" t="e">
        <f t="shared" si="132"/>
        <v>#N/A</v>
      </c>
      <c r="AQ223" s="61" t="e">
        <f t="shared" si="133"/>
        <v>#N/A</v>
      </c>
      <c r="AR223" s="61" t="e">
        <f t="shared" si="134"/>
        <v>#N/A</v>
      </c>
      <c r="AS223" s="61" t="e">
        <f t="shared" ca="1" si="135"/>
        <v>#N/A</v>
      </c>
      <c r="AT223" s="61" t="e">
        <f t="shared" ca="1" si="136"/>
        <v>#N/A</v>
      </c>
      <c r="AU223" s="61" t="e">
        <f t="shared" si="119"/>
        <v>#N/A</v>
      </c>
      <c r="AV223" s="61" t="e">
        <f t="shared" si="137"/>
        <v>#N/A</v>
      </c>
      <c r="AW223" s="61" t="e">
        <f t="shared" si="138"/>
        <v>#N/A</v>
      </c>
      <c r="AX223" s="61" t="e">
        <f t="shared" si="139"/>
        <v>#N/A</v>
      </c>
    </row>
    <row r="224" spans="1:50" x14ac:dyDescent="0.3">
      <c r="A224" s="47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Y224" s="48" t="e">
        <f t="shared" si="114"/>
        <v>#N/A</v>
      </c>
      <c r="Z224" s="61" t="e">
        <f t="shared" si="115"/>
        <v>#N/A</v>
      </c>
      <c r="AA224" s="61" t="e">
        <f t="shared" si="120"/>
        <v>#N/A</v>
      </c>
      <c r="AB224" s="61" t="e">
        <f t="shared" si="116"/>
        <v>#N/A</v>
      </c>
      <c r="AC224" s="61" t="e">
        <f t="shared" si="117"/>
        <v>#N/A</v>
      </c>
      <c r="AD224" s="61" t="e">
        <f t="shared" si="118"/>
        <v>#N/A</v>
      </c>
      <c r="AE224" s="61" t="e">
        <f t="shared" si="121"/>
        <v>#N/A</v>
      </c>
      <c r="AF224" s="61">
        <f t="shared" si="122"/>
        <v>0</v>
      </c>
      <c r="AG224" s="61" t="e">
        <f t="shared" si="123"/>
        <v>#N/A</v>
      </c>
      <c r="AH224" s="61" t="e">
        <f t="shared" si="124"/>
        <v>#N/A</v>
      </c>
      <c r="AI224" s="61" t="e">
        <f t="shared" si="125"/>
        <v>#N/A</v>
      </c>
      <c r="AJ224" s="61" t="e">
        <f t="shared" si="126"/>
        <v>#N/A</v>
      </c>
      <c r="AK224" s="61" t="e">
        <f t="shared" si="127"/>
        <v>#N/A</v>
      </c>
      <c r="AL224" s="61" t="e">
        <f t="shared" si="128"/>
        <v>#N/A</v>
      </c>
      <c r="AM224" s="61" t="e">
        <f t="shared" si="129"/>
        <v>#N/A</v>
      </c>
      <c r="AN224" s="61" t="e">
        <f t="shared" si="130"/>
        <v>#N/A</v>
      </c>
      <c r="AO224" s="61" t="e">
        <f t="shared" si="131"/>
        <v>#N/A</v>
      </c>
      <c r="AP224" s="61" t="e">
        <f t="shared" si="132"/>
        <v>#N/A</v>
      </c>
      <c r="AQ224" s="61" t="e">
        <f t="shared" si="133"/>
        <v>#N/A</v>
      </c>
      <c r="AR224" s="61" t="e">
        <f t="shared" si="134"/>
        <v>#N/A</v>
      </c>
      <c r="AS224" s="61" t="e">
        <f t="shared" ca="1" si="135"/>
        <v>#N/A</v>
      </c>
      <c r="AT224" s="61" t="e">
        <f t="shared" ca="1" si="136"/>
        <v>#N/A</v>
      </c>
      <c r="AU224" s="61" t="e">
        <f t="shared" si="119"/>
        <v>#N/A</v>
      </c>
      <c r="AV224" s="61" t="e">
        <f t="shared" si="137"/>
        <v>#N/A</v>
      </c>
      <c r="AW224" s="61" t="e">
        <f t="shared" si="138"/>
        <v>#N/A</v>
      </c>
      <c r="AX224" s="61" t="e">
        <f t="shared" si="139"/>
        <v>#N/A</v>
      </c>
    </row>
    <row r="225" spans="1:50" x14ac:dyDescent="0.3">
      <c r="A225" s="47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Y225" s="48" t="e">
        <f t="shared" si="114"/>
        <v>#N/A</v>
      </c>
      <c r="Z225" s="61" t="e">
        <f t="shared" si="115"/>
        <v>#N/A</v>
      </c>
      <c r="AA225" s="61" t="e">
        <f t="shared" si="120"/>
        <v>#N/A</v>
      </c>
      <c r="AB225" s="61" t="e">
        <f t="shared" si="116"/>
        <v>#N/A</v>
      </c>
      <c r="AC225" s="61" t="e">
        <f t="shared" si="117"/>
        <v>#N/A</v>
      </c>
      <c r="AD225" s="61" t="e">
        <f t="shared" si="118"/>
        <v>#N/A</v>
      </c>
      <c r="AE225" s="61" t="e">
        <f t="shared" si="121"/>
        <v>#N/A</v>
      </c>
      <c r="AF225" s="61">
        <f t="shared" si="122"/>
        <v>0</v>
      </c>
      <c r="AG225" s="61" t="e">
        <f t="shared" si="123"/>
        <v>#N/A</v>
      </c>
      <c r="AH225" s="61" t="e">
        <f t="shared" si="124"/>
        <v>#N/A</v>
      </c>
      <c r="AI225" s="61" t="e">
        <f t="shared" si="125"/>
        <v>#N/A</v>
      </c>
      <c r="AJ225" s="61" t="e">
        <f t="shared" si="126"/>
        <v>#N/A</v>
      </c>
      <c r="AK225" s="61" t="e">
        <f t="shared" si="127"/>
        <v>#N/A</v>
      </c>
      <c r="AL225" s="61" t="e">
        <f t="shared" si="128"/>
        <v>#N/A</v>
      </c>
      <c r="AM225" s="61" t="e">
        <f t="shared" si="129"/>
        <v>#N/A</v>
      </c>
      <c r="AN225" s="61" t="e">
        <f t="shared" si="130"/>
        <v>#N/A</v>
      </c>
      <c r="AO225" s="61" t="e">
        <f t="shared" si="131"/>
        <v>#N/A</v>
      </c>
      <c r="AP225" s="61" t="e">
        <f t="shared" si="132"/>
        <v>#N/A</v>
      </c>
      <c r="AQ225" s="61" t="e">
        <f t="shared" si="133"/>
        <v>#N/A</v>
      </c>
      <c r="AR225" s="61" t="e">
        <f t="shared" si="134"/>
        <v>#N/A</v>
      </c>
      <c r="AS225" s="61" t="e">
        <f t="shared" ca="1" si="135"/>
        <v>#N/A</v>
      </c>
      <c r="AT225" s="61" t="e">
        <f t="shared" ca="1" si="136"/>
        <v>#N/A</v>
      </c>
      <c r="AU225" s="61" t="e">
        <f t="shared" si="119"/>
        <v>#N/A</v>
      </c>
      <c r="AV225" s="61" t="e">
        <f t="shared" si="137"/>
        <v>#N/A</v>
      </c>
      <c r="AW225" s="61" t="e">
        <f t="shared" si="138"/>
        <v>#N/A</v>
      </c>
      <c r="AX225" s="61" t="e">
        <f t="shared" si="139"/>
        <v>#N/A</v>
      </c>
    </row>
    <row r="226" spans="1:50" x14ac:dyDescent="0.3">
      <c r="A226" s="47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Y226" s="48" t="e">
        <f t="shared" si="114"/>
        <v>#N/A</v>
      </c>
      <c r="Z226" s="61" t="e">
        <f t="shared" si="115"/>
        <v>#N/A</v>
      </c>
      <c r="AA226" s="61" t="e">
        <f t="shared" si="120"/>
        <v>#N/A</v>
      </c>
      <c r="AB226" s="61" t="e">
        <f t="shared" si="116"/>
        <v>#N/A</v>
      </c>
      <c r="AC226" s="61" t="e">
        <f t="shared" si="117"/>
        <v>#N/A</v>
      </c>
      <c r="AD226" s="61" t="e">
        <f t="shared" si="118"/>
        <v>#N/A</v>
      </c>
      <c r="AE226" s="61" t="e">
        <f t="shared" si="121"/>
        <v>#N/A</v>
      </c>
      <c r="AF226" s="61">
        <f t="shared" si="122"/>
        <v>0</v>
      </c>
      <c r="AG226" s="61" t="e">
        <f t="shared" si="123"/>
        <v>#N/A</v>
      </c>
      <c r="AH226" s="61" t="e">
        <f t="shared" si="124"/>
        <v>#N/A</v>
      </c>
      <c r="AI226" s="61" t="e">
        <f t="shared" si="125"/>
        <v>#N/A</v>
      </c>
      <c r="AJ226" s="61" t="e">
        <f t="shared" si="126"/>
        <v>#N/A</v>
      </c>
      <c r="AK226" s="61" t="e">
        <f t="shared" si="127"/>
        <v>#N/A</v>
      </c>
      <c r="AL226" s="61" t="e">
        <f t="shared" si="128"/>
        <v>#N/A</v>
      </c>
      <c r="AM226" s="61" t="e">
        <f t="shared" si="129"/>
        <v>#N/A</v>
      </c>
      <c r="AN226" s="61" t="e">
        <f t="shared" si="130"/>
        <v>#N/A</v>
      </c>
      <c r="AO226" s="61" t="e">
        <f t="shared" si="131"/>
        <v>#N/A</v>
      </c>
      <c r="AP226" s="61" t="e">
        <f t="shared" si="132"/>
        <v>#N/A</v>
      </c>
      <c r="AQ226" s="61" t="e">
        <f t="shared" si="133"/>
        <v>#N/A</v>
      </c>
      <c r="AR226" s="61" t="e">
        <f t="shared" si="134"/>
        <v>#N/A</v>
      </c>
      <c r="AS226" s="61" t="e">
        <f t="shared" ca="1" si="135"/>
        <v>#N/A</v>
      </c>
      <c r="AT226" s="61" t="e">
        <f t="shared" ca="1" si="136"/>
        <v>#N/A</v>
      </c>
      <c r="AU226" s="61" t="e">
        <f t="shared" si="119"/>
        <v>#N/A</v>
      </c>
      <c r="AV226" s="61" t="e">
        <f t="shared" si="137"/>
        <v>#N/A</v>
      </c>
      <c r="AW226" s="61" t="e">
        <f t="shared" si="138"/>
        <v>#N/A</v>
      </c>
      <c r="AX226" s="61" t="e">
        <f t="shared" si="139"/>
        <v>#N/A</v>
      </c>
    </row>
    <row r="227" spans="1:50" x14ac:dyDescent="0.3">
      <c r="A227" s="47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Y227" s="48" t="e">
        <f t="shared" si="114"/>
        <v>#N/A</v>
      </c>
      <c r="Z227" s="61" t="e">
        <f t="shared" si="115"/>
        <v>#N/A</v>
      </c>
      <c r="AA227" s="61" t="e">
        <f t="shared" si="120"/>
        <v>#N/A</v>
      </c>
      <c r="AB227" s="61" t="e">
        <f t="shared" si="116"/>
        <v>#N/A</v>
      </c>
      <c r="AC227" s="61" t="e">
        <f t="shared" si="117"/>
        <v>#N/A</v>
      </c>
      <c r="AD227" s="61" t="e">
        <f t="shared" si="118"/>
        <v>#N/A</v>
      </c>
      <c r="AE227" s="61" t="e">
        <f t="shared" si="121"/>
        <v>#N/A</v>
      </c>
      <c r="AF227" s="61">
        <f t="shared" si="122"/>
        <v>0</v>
      </c>
      <c r="AG227" s="61" t="e">
        <f t="shared" si="123"/>
        <v>#N/A</v>
      </c>
      <c r="AH227" s="61" t="e">
        <f t="shared" si="124"/>
        <v>#N/A</v>
      </c>
      <c r="AI227" s="61" t="e">
        <f t="shared" si="125"/>
        <v>#N/A</v>
      </c>
      <c r="AJ227" s="61" t="e">
        <f t="shared" si="126"/>
        <v>#N/A</v>
      </c>
      <c r="AK227" s="61" t="e">
        <f t="shared" si="127"/>
        <v>#N/A</v>
      </c>
      <c r="AL227" s="61" t="e">
        <f t="shared" si="128"/>
        <v>#N/A</v>
      </c>
      <c r="AM227" s="61" t="e">
        <f t="shared" si="129"/>
        <v>#N/A</v>
      </c>
      <c r="AN227" s="61" t="e">
        <f t="shared" si="130"/>
        <v>#N/A</v>
      </c>
      <c r="AO227" s="61" t="e">
        <f t="shared" si="131"/>
        <v>#N/A</v>
      </c>
      <c r="AP227" s="61" t="e">
        <f t="shared" si="132"/>
        <v>#N/A</v>
      </c>
      <c r="AQ227" s="61" t="e">
        <f t="shared" si="133"/>
        <v>#N/A</v>
      </c>
      <c r="AR227" s="61" t="e">
        <f t="shared" si="134"/>
        <v>#N/A</v>
      </c>
      <c r="AS227" s="61" t="e">
        <f t="shared" ca="1" si="135"/>
        <v>#N/A</v>
      </c>
      <c r="AT227" s="61" t="e">
        <f t="shared" ca="1" si="136"/>
        <v>#N/A</v>
      </c>
      <c r="AU227" s="61" t="e">
        <f t="shared" si="119"/>
        <v>#N/A</v>
      </c>
      <c r="AV227" s="61" t="e">
        <f t="shared" si="137"/>
        <v>#N/A</v>
      </c>
      <c r="AW227" s="61" t="e">
        <f t="shared" si="138"/>
        <v>#N/A</v>
      </c>
      <c r="AX227" s="61" t="e">
        <f t="shared" si="139"/>
        <v>#N/A</v>
      </c>
    </row>
    <row r="228" spans="1:50" x14ac:dyDescent="0.3">
      <c r="A228" s="47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Y228" s="48" t="e">
        <f t="shared" si="114"/>
        <v>#N/A</v>
      </c>
      <c r="Z228" s="61" t="e">
        <f t="shared" si="115"/>
        <v>#N/A</v>
      </c>
      <c r="AA228" s="61" t="e">
        <f t="shared" si="120"/>
        <v>#N/A</v>
      </c>
      <c r="AB228" s="61" t="e">
        <f t="shared" si="116"/>
        <v>#N/A</v>
      </c>
      <c r="AC228" s="61" t="e">
        <f t="shared" si="117"/>
        <v>#N/A</v>
      </c>
      <c r="AD228" s="61" t="e">
        <f t="shared" si="118"/>
        <v>#N/A</v>
      </c>
      <c r="AE228" s="61" t="e">
        <f t="shared" si="121"/>
        <v>#N/A</v>
      </c>
      <c r="AF228" s="61">
        <f t="shared" si="122"/>
        <v>0</v>
      </c>
      <c r="AG228" s="61" t="e">
        <f t="shared" si="123"/>
        <v>#N/A</v>
      </c>
      <c r="AH228" s="61" t="e">
        <f t="shared" si="124"/>
        <v>#N/A</v>
      </c>
      <c r="AI228" s="61" t="e">
        <f t="shared" si="125"/>
        <v>#N/A</v>
      </c>
      <c r="AJ228" s="61" t="e">
        <f t="shared" si="126"/>
        <v>#N/A</v>
      </c>
      <c r="AK228" s="61" t="e">
        <f t="shared" si="127"/>
        <v>#N/A</v>
      </c>
      <c r="AL228" s="61" t="e">
        <f t="shared" si="128"/>
        <v>#N/A</v>
      </c>
      <c r="AM228" s="61" t="e">
        <f t="shared" si="129"/>
        <v>#N/A</v>
      </c>
      <c r="AN228" s="61" t="e">
        <f t="shared" si="130"/>
        <v>#N/A</v>
      </c>
      <c r="AO228" s="61" t="e">
        <f t="shared" si="131"/>
        <v>#N/A</v>
      </c>
      <c r="AP228" s="61" t="e">
        <f t="shared" si="132"/>
        <v>#N/A</v>
      </c>
      <c r="AQ228" s="61" t="e">
        <f t="shared" si="133"/>
        <v>#N/A</v>
      </c>
      <c r="AR228" s="61" t="e">
        <f t="shared" si="134"/>
        <v>#N/A</v>
      </c>
      <c r="AS228" s="61" t="e">
        <f t="shared" ca="1" si="135"/>
        <v>#N/A</v>
      </c>
      <c r="AT228" s="61" t="e">
        <f t="shared" ca="1" si="136"/>
        <v>#N/A</v>
      </c>
      <c r="AU228" s="61" t="e">
        <f t="shared" si="119"/>
        <v>#N/A</v>
      </c>
      <c r="AV228" s="61" t="e">
        <f t="shared" si="137"/>
        <v>#N/A</v>
      </c>
      <c r="AW228" s="61" t="e">
        <f t="shared" si="138"/>
        <v>#N/A</v>
      </c>
      <c r="AX228" s="61" t="e">
        <f t="shared" si="139"/>
        <v>#N/A</v>
      </c>
    </row>
    <row r="229" spans="1:50" x14ac:dyDescent="0.3">
      <c r="A229" s="47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Y229" s="48" t="e">
        <f t="shared" si="114"/>
        <v>#N/A</v>
      </c>
      <c r="Z229" s="61" t="e">
        <f t="shared" si="115"/>
        <v>#N/A</v>
      </c>
      <c r="AA229" s="61" t="e">
        <f t="shared" si="120"/>
        <v>#N/A</v>
      </c>
      <c r="AB229" s="61" t="e">
        <f t="shared" si="116"/>
        <v>#N/A</v>
      </c>
      <c r="AC229" s="61" t="e">
        <f t="shared" si="117"/>
        <v>#N/A</v>
      </c>
      <c r="AD229" s="61" t="e">
        <f t="shared" si="118"/>
        <v>#N/A</v>
      </c>
      <c r="AE229" s="61" t="e">
        <f t="shared" si="121"/>
        <v>#N/A</v>
      </c>
      <c r="AF229" s="61">
        <f t="shared" si="122"/>
        <v>0</v>
      </c>
      <c r="AG229" s="61" t="e">
        <f t="shared" si="123"/>
        <v>#N/A</v>
      </c>
      <c r="AH229" s="61" t="e">
        <f t="shared" si="124"/>
        <v>#N/A</v>
      </c>
      <c r="AI229" s="61" t="e">
        <f t="shared" si="125"/>
        <v>#N/A</v>
      </c>
      <c r="AJ229" s="61" t="e">
        <f t="shared" si="126"/>
        <v>#N/A</v>
      </c>
      <c r="AK229" s="61" t="e">
        <f t="shared" si="127"/>
        <v>#N/A</v>
      </c>
      <c r="AL229" s="61" t="e">
        <f t="shared" si="128"/>
        <v>#N/A</v>
      </c>
      <c r="AM229" s="61" t="e">
        <f t="shared" si="129"/>
        <v>#N/A</v>
      </c>
      <c r="AN229" s="61" t="e">
        <f t="shared" si="130"/>
        <v>#N/A</v>
      </c>
      <c r="AO229" s="61" t="e">
        <f t="shared" si="131"/>
        <v>#N/A</v>
      </c>
      <c r="AP229" s="61" t="e">
        <f t="shared" si="132"/>
        <v>#N/A</v>
      </c>
      <c r="AQ229" s="61" t="e">
        <f t="shared" si="133"/>
        <v>#N/A</v>
      </c>
      <c r="AR229" s="61" t="e">
        <f t="shared" si="134"/>
        <v>#N/A</v>
      </c>
      <c r="AS229" s="61" t="e">
        <f t="shared" ca="1" si="135"/>
        <v>#N/A</v>
      </c>
      <c r="AT229" s="61" t="e">
        <f t="shared" ca="1" si="136"/>
        <v>#N/A</v>
      </c>
      <c r="AU229" s="61" t="e">
        <f t="shared" si="119"/>
        <v>#N/A</v>
      </c>
      <c r="AV229" s="61" t="e">
        <f t="shared" si="137"/>
        <v>#N/A</v>
      </c>
      <c r="AW229" s="61" t="e">
        <f t="shared" si="138"/>
        <v>#N/A</v>
      </c>
      <c r="AX229" s="61" t="e">
        <f t="shared" si="139"/>
        <v>#N/A</v>
      </c>
    </row>
    <row r="230" spans="1:50" x14ac:dyDescent="0.3">
      <c r="A230" s="47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Y230" s="48" t="e">
        <f t="shared" si="114"/>
        <v>#N/A</v>
      </c>
      <c r="Z230" s="61" t="e">
        <f t="shared" si="115"/>
        <v>#N/A</v>
      </c>
      <c r="AA230" s="61" t="e">
        <f t="shared" si="120"/>
        <v>#N/A</v>
      </c>
      <c r="AB230" s="61" t="e">
        <f t="shared" si="116"/>
        <v>#N/A</v>
      </c>
      <c r="AC230" s="61" t="e">
        <f t="shared" si="117"/>
        <v>#N/A</v>
      </c>
      <c r="AD230" s="61" t="e">
        <f t="shared" si="118"/>
        <v>#N/A</v>
      </c>
      <c r="AE230" s="61" t="e">
        <f t="shared" si="121"/>
        <v>#N/A</v>
      </c>
      <c r="AF230" s="61">
        <f t="shared" si="122"/>
        <v>0</v>
      </c>
      <c r="AG230" s="61" t="e">
        <f t="shared" si="123"/>
        <v>#N/A</v>
      </c>
      <c r="AH230" s="61" t="e">
        <f t="shared" si="124"/>
        <v>#N/A</v>
      </c>
      <c r="AI230" s="61" t="e">
        <f t="shared" si="125"/>
        <v>#N/A</v>
      </c>
      <c r="AJ230" s="61" t="e">
        <f t="shared" si="126"/>
        <v>#N/A</v>
      </c>
      <c r="AK230" s="61" t="e">
        <f t="shared" si="127"/>
        <v>#N/A</v>
      </c>
      <c r="AL230" s="61" t="e">
        <f t="shared" si="128"/>
        <v>#N/A</v>
      </c>
      <c r="AM230" s="61" t="e">
        <f t="shared" si="129"/>
        <v>#N/A</v>
      </c>
      <c r="AN230" s="61" t="e">
        <f t="shared" si="130"/>
        <v>#N/A</v>
      </c>
      <c r="AO230" s="61" t="e">
        <f t="shared" si="131"/>
        <v>#N/A</v>
      </c>
      <c r="AP230" s="61" t="e">
        <f t="shared" si="132"/>
        <v>#N/A</v>
      </c>
      <c r="AQ230" s="61" t="e">
        <f t="shared" si="133"/>
        <v>#N/A</v>
      </c>
      <c r="AR230" s="61" t="e">
        <f t="shared" si="134"/>
        <v>#N/A</v>
      </c>
      <c r="AS230" s="61" t="e">
        <f t="shared" ca="1" si="135"/>
        <v>#N/A</v>
      </c>
      <c r="AT230" s="61" t="e">
        <f t="shared" ca="1" si="136"/>
        <v>#N/A</v>
      </c>
      <c r="AU230" s="61" t="e">
        <f t="shared" si="119"/>
        <v>#N/A</v>
      </c>
      <c r="AV230" s="61" t="e">
        <f t="shared" si="137"/>
        <v>#N/A</v>
      </c>
      <c r="AW230" s="61" t="e">
        <f t="shared" si="138"/>
        <v>#N/A</v>
      </c>
      <c r="AX230" s="61" t="e">
        <f t="shared" si="139"/>
        <v>#N/A</v>
      </c>
    </row>
    <row r="231" spans="1:50" x14ac:dyDescent="0.3">
      <c r="A231" s="47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Y231" s="48" t="e">
        <f t="shared" si="114"/>
        <v>#N/A</v>
      </c>
      <c r="Z231" s="61" t="e">
        <f t="shared" si="115"/>
        <v>#N/A</v>
      </c>
      <c r="AA231" s="61" t="e">
        <f t="shared" si="120"/>
        <v>#N/A</v>
      </c>
      <c r="AB231" s="61" t="e">
        <f t="shared" si="116"/>
        <v>#N/A</v>
      </c>
      <c r="AC231" s="61" t="e">
        <f t="shared" si="117"/>
        <v>#N/A</v>
      </c>
      <c r="AD231" s="61" t="e">
        <f t="shared" si="118"/>
        <v>#N/A</v>
      </c>
      <c r="AE231" s="61" t="e">
        <f t="shared" si="121"/>
        <v>#N/A</v>
      </c>
      <c r="AF231" s="61">
        <f t="shared" si="122"/>
        <v>0</v>
      </c>
      <c r="AG231" s="61" t="e">
        <f t="shared" si="123"/>
        <v>#N/A</v>
      </c>
      <c r="AH231" s="61" t="e">
        <f t="shared" si="124"/>
        <v>#N/A</v>
      </c>
      <c r="AI231" s="61" t="e">
        <f t="shared" si="125"/>
        <v>#N/A</v>
      </c>
      <c r="AJ231" s="61" t="e">
        <f t="shared" si="126"/>
        <v>#N/A</v>
      </c>
      <c r="AK231" s="61" t="e">
        <f t="shared" si="127"/>
        <v>#N/A</v>
      </c>
      <c r="AL231" s="61" t="e">
        <f t="shared" si="128"/>
        <v>#N/A</v>
      </c>
      <c r="AM231" s="61" t="e">
        <f t="shared" si="129"/>
        <v>#N/A</v>
      </c>
      <c r="AN231" s="61" t="e">
        <f t="shared" si="130"/>
        <v>#N/A</v>
      </c>
      <c r="AO231" s="61" t="e">
        <f t="shared" si="131"/>
        <v>#N/A</v>
      </c>
      <c r="AP231" s="61" t="e">
        <f t="shared" si="132"/>
        <v>#N/A</v>
      </c>
      <c r="AQ231" s="61" t="e">
        <f t="shared" si="133"/>
        <v>#N/A</v>
      </c>
      <c r="AR231" s="61" t="e">
        <f t="shared" si="134"/>
        <v>#N/A</v>
      </c>
      <c r="AS231" s="61" t="e">
        <f t="shared" ca="1" si="135"/>
        <v>#N/A</v>
      </c>
      <c r="AT231" s="61" t="e">
        <f t="shared" ca="1" si="136"/>
        <v>#N/A</v>
      </c>
      <c r="AU231" s="61" t="e">
        <f t="shared" si="119"/>
        <v>#N/A</v>
      </c>
      <c r="AV231" s="61" t="e">
        <f t="shared" si="137"/>
        <v>#N/A</v>
      </c>
      <c r="AW231" s="61" t="e">
        <f t="shared" si="138"/>
        <v>#N/A</v>
      </c>
      <c r="AX231" s="61" t="e">
        <f t="shared" si="139"/>
        <v>#N/A</v>
      </c>
    </row>
    <row r="232" spans="1:50" x14ac:dyDescent="0.3">
      <c r="A232" s="47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Y232" s="48" t="e">
        <f t="shared" si="114"/>
        <v>#N/A</v>
      </c>
      <c r="Z232" s="61" t="e">
        <f t="shared" si="115"/>
        <v>#N/A</v>
      </c>
      <c r="AA232" s="61" t="e">
        <f t="shared" si="120"/>
        <v>#N/A</v>
      </c>
      <c r="AB232" s="61" t="e">
        <f t="shared" si="116"/>
        <v>#N/A</v>
      </c>
      <c r="AC232" s="61" t="e">
        <f t="shared" si="117"/>
        <v>#N/A</v>
      </c>
      <c r="AD232" s="61" t="e">
        <f t="shared" si="118"/>
        <v>#N/A</v>
      </c>
      <c r="AE232" s="61" t="e">
        <f t="shared" si="121"/>
        <v>#N/A</v>
      </c>
      <c r="AF232" s="61">
        <f t="shared" si="122"/>
        <v>0</v>
      </c>
      <c r="AG232" s="61" t="e">
        <f t="shared" si="123"/>
        <v>#N/A</v>
      </c>
      <c r="AH232" s="61" t="e">
        <f t="shared" si="124"/>
        <v>#N/A</v>
      </c>
      <c r="AI232" s="61" t="e">
        <f t="shared" si="125"/>
        <v>#N/A</v>
      </c>
      <c r="AJ232" s="61" t="e">
        <f t="shared" si="126"/>
        <v>#N/A</v>
      </c>
      <c r="AK232" s="61" t="e">
        <f t="shared" si="127"/>
        <v>#N/A</v>
      </c>
      <c r="AL232" s="61" t="e">
        <f t="shared" si="128"/>
        <v>#N/A</v>
      </c>
      <c r="AM232" s="61" t="e">
        <f t="shared" si="129"/>
        <v>#N/A</v>
      </c>
      <c r="AN232" s="61" t="e">
        <f t="shared" si="130"/>
        <v>#N/A</v>
      </c>
      <c r="AO232" s="61" t="e">
        <f t="shared" si="131"/>
        <v>#N/A</v>
      </c>
      <c r="AP232" s="61" t="e">
        <f t="shared" si="132"/>
        <v>#N/A</v>
      </c>
      <c r="AQ232" s="61" t="e">
        <f t="shared" si="133"/>
        <v>#N/A</v>
      </c>
      <c r="AR232" s="61" t="e">
        <f t="shared" si="134"/>
        <v>#N/A</v>
      </c>
      <c r="AS232" s="61" t="e">
        <f t="shared" ca="1" si="135"/>
        <v>#N/A</v>
      </c>
      <c r="AT232" s="61" t="e">
        <f t="shared" ca="1" si="136"/>
        <v>#N/A</v>
      </c>
      <c r="AU232" s="61" t="e">
        <f t="shared" si="119"/>
        <v>#N/A</v>
      </c>
      <c r="AV232" s="61" t="e">
        <f t="shared" si="137"/>
        <v>#N/A</v>
      </c>
      <c r="AW232" s="61" t="e">
        <f t="shared" si="138"/>
        <v>#N/A</v>
      </c>
      <c r="AX232" s="61" t="e">
        <f t="shared" si="139"/>
        <v>#N/A</v>
      </c>
    </row>
    <row r="233" spans="1:50" x14ac:dyDescent="0.3">
      <c r="A233" s="47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Y233" s="48" t="e">
        <f t="shared" si="114"/>
        <v>#N/A</v>
      </c>
      <c r="Z233" s="61" t="e">
        <f t="shared" si="115"/>
        <v>#N/A</v>
      </c>
      <c r="AA233" s="61" t="e">
        <f t="shared" si="120"/>
        <v>#N/A</v>
      </c>
      <c r="AB233" s="61" t="e">
        <f t="shared" si="116"/>
        <v>#N/A</v>
      </c>
      <c r="AC233" s="61" t="e">
        <f t="shared" si="117"/>
        <v>#N/A</v>
      </c>
      <c r="AD233" s="61" t="e">
        <f t="shared" si="118"/>
        <v>#N/A</v>
      </c>
      <c r="AE233" s="61" t="e">
        <f t="shared" si="121"/>
        <v>#N/A</v>
      </c>
      <c r="AF233" s="61">
        <f t="shared" si="122"/>
        <v>0</v>
      </c>
      <c r="AG233" s="61" t="e">
        <f t="shared" si="123"/>
        <v>#N/A</v>
      </c>
      <c r="AH233" s="61" t="e">
        <f t="shared" si="124"/>
        <v>#N/A</v>
      </c>
      <c r="AI233" s="61" t="e">
        <f t="shared" si="125"/>
        <v>#N/A</v>
      </c>
      <c r="AJ233" s="61" t="e">
        <f t="shared" si="126"/>
        <v>#N/A</v>
      </c>
      <c r="AK233" s="61" t="e">
        <f t="shared" si="127"/>
        <v>#N/A</v>
      </c>
      <c r="AL233" s="61" t="e">
        <f t="shared" si="128"/>
        <v>#N/A</v>
      </c>
      <c r="AM233" s="61" t="e">
        <f t="shared" si="129"/>
        <v>#N/A</v>
      </c>
      <c r="AN233" s="61" t="e">
        <f t="shared" si="130"/>
        <v>#N/A</v>
      </c>
      <c r="AO233" s="61" t="e">
        <f t="shared" si="131"/>
        <v>#N/A</v>
      </c>
      <c r="AP233" s="61" t="e">
        <f t="shared" si="132"/>
        <v>#N/A</v>
      </c>
      <c r="AQ233" s="61" t="e">
        <f t="shared" si="133"/>
        <v>#N/A</v>
      </c>
      <c r="AR233" s="61" t="e">
        <f t="shared" si="134"/>
        <v>#N/A</v>
      </c>
      <c r="AS233" s="61" t="e">
        <f t="shared" ca="1" si="135"/>
        <v>#N/A</v>
      </c>
      <c r="AT233" s="61" t="e">
        <f t="shared" ca="1" si="136"/>
        <v>#N/A</v>
      </c>
      <c r="AU233" s="61" t="e">
        <f t="shared" si="119"/>
        <v>#N/A</v>
      </c>
      <c r="AV233" s="61" t="e">
        <f t="shared" si="137"/>
        <v>#N/A</v>
      </c>
      <c r="AW233" s="61" t="e">
        <f t="shared" si="138"/>
        <v>#N/A</v>
      </c>
      <c r="AX233" s="61" t="e">
        <f t="shared" si="139"/>
        <v>#N/A</v>
      </c>
    </row>
    <row r="234" spans="1:50" x14ac:dyDescent="0.3">
      <c r="A234" s="47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Y234" s="48" t="e">
        <f t="shared" si="114"/>
        <v>#N/A</v>
      </c>
      <c r="Z234" s="61" t="e">
        <f t="shared" si="115"/>
        <v>#N/A</v>
      </c>
      <c r="AA234" s="61" t="e">
        <f t="shared" si="120"/>
        <v>#N/A</v>
      </c>
      <c r="AB234" s="61" t="e">
        <f t="shared" si="116"/>
        <v>#N/A</v>
      </c>
      <c r="AC234" s="61" t="e">
        <f t="shared" si="117"/>
        <v>#N/A</v>
      </c>
      <c r="AD234" s="61" t="e">
        <f t="shared" si="118"/>
        <v>#N/A</v>
      </c>
      <c r="AE234" s="61" t="e">
        <f t="shared" si="121"/>
        <v>#N/A</v>
      </c>
      <c r="AF234" s="61">
        <f t="shared" si="122"/>
        <v>0</v>
      </c>
      <c r="AG234" s="61" t="e">
        <f t="shared" si="123"/>
        <v>#N/A</v>
      </c>
      <c r="AH234" s="61" t="e">
        <f t="shared" si="124"/>
        <v>#N/A</v>
      </c>
      <c r="AI234" s="61" t="e">
        <f t="shared" si="125"/>
        <v>#N/A</v>
      </c>
      <c r="AJ234" s="61" t="e">
        <f t="shared" si="126"/>
        <v>#N/A</v>
      </c>
      <c r="AK234" s="61" t="e">
        <f t="shared" si="127"/>
        <v>#N/A</v>
      </c>
      <c r="AL234" s="61" t="e">
        <f t="shared" si="128"/>
        <v>#N/A</v>
      </c>
      <c r="AM234" s="61" t="e">
        <f t="shared" si="129"/>
        <v>#N/A</v>
      </c>
      <c r="AN234" s="61" t="e">
        <f t="shared" si="130"/>
        <v>#N/A</v>
      </c>
      <c r="AO234" s="61" t="e">
        <f t="shared" si="131"/>
        <v>#N/A</v>
      </c>
      <c r="AP234" s="61" t="e">
        <f t="shared" si="132"/>
        <v>#N/A</v>
      </c>
      <c r="AQ234" s="61" t="e">
        <f t="shared" si="133"/>
        <v>#N/A</v>
      </c>
      <c r="AR234" s="61" t="e">
        <f t="shared" si="134"/>
        <v>#N/A</v>
      </c>
      <c r="AS234" s="61" t="e">
        <f t="shared" ca="1" si="135"/>
        <v>#N/A</v>
      </c>
      <c r="AT234" s="61" t="e">
        <f t="shared" ca="1" si="136"/>
        <v>#N/A</v>
      </c>
      <c r="AU234" s="61" t="e">
        <f t="shared" si="119"/>
        <v>#N/A</v>
      </c>
      <c r="AV234" s="61" t="e">
        <f t="shared" si="137"/>
        <v>#N/A</v>
      </c>
      <c r="AW234" s="61" t="e">
        <f t="shared" si="138"/>
        <v>#N/A</v>
      </c>
      <c r="AX234" s="61" t="e">
        <f t="shared" si="139"/>
        <v>#N/A</v>
      </c>
    </row>
    <row r="235" spans="1:50" x14ac:dyDescent="0.3">
      <c r="A235" s="47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Y235" s="48" t="e">
        <f t="shared" si="114"/>
        <v>#N/A</v>
      </c>
      <c r="Z235" s="61" t="e">
        <f t="shared" si="115"/>
        <v>#N/A</v>
      </c>
      <c r="AA235" s="61" t="e">
        <f t="shared" si="120"/>
        <v>#N/A</v>
      </c>
      <c r="AB235" s="61" t="e">
        <f t="shared" si="116"/>
        <v>#N/A</v>
      </c>
      <c r="AC235" s="61" t="e">
        <f t="shared" si="117"/>
        <v>#N/A</v>
      </c>
      <c r="AD235" s="61" t="e">
        <f t="shared" si="118"/>
        <v>#N/A</v>
      </c>
      <c r="AE235" s="61" t="e">
        <f t="shared" si="121"/>
        <v>#N/A</v>
      </c>
      <c r="AF235" s="61">
        <f t="shared" si="122"/>
        <v>0</v>
      </c>
      <c r="AG235" s="61" t="e">
        <f t="shared" si="123"/>
        <v>#N/A</v>
      </c>
      <c r="AH235" s="61" t="e">
        <f t="shared" si="124"/>
        <v>#N/A</v>
      </c>
      <c r="AI235" s="61" t="e">
        <f t="shared" si="125"/>
        <v>#N/A</v>
      </c>
      <c r="AJ235" s="61" t="e">
        <f t="shared" si="126"/>
        <v>#N/A</v>
      </c>
      <c r="AK235" s="61" t="e">
        <f t="shared" si="127"/>
        <v>#N/A</v>
      </c>
      <c r="AL235" s="61" t="e">
        <f t="shared" si="128"/>
        <v>#N/A</v>
      </c>
      <c r="AM235" s="61" t="e">
        <f t="shared" si="129"/>
        <v>#N/A</v>
      </c>
      <c r="AN235" s="61" t="e">
        <f t="shared" si="130"/>
        <v>#N/A</v>
      </c>
      <c r="AO235" s="61" t="e">
        <f t="shared" si="131"/>
        <v>#N/A</v>
      </c>
      <c r="AP235" s="61" t="e">
        <f t="shared" si="132"/>
        <v>#N/A</v>
      </c>
      <c r="AQ235" s="61" t="e">
        <f t="shared" si="133"/>
        <v>#N/A</v>
      </c>
      <c r="AR235" s="61" t="e">
        <f t="shared" si="134"/>
        <v>#N/A</v>
      </c>
      <c r="AS235" s="61" t="e">
        <f t="shared" ca="1" si="135"/>
        <v>#N/A</v>
      </c>
      <c r="AT235" s="61" t="e">
        <f t="shared" ca="1" si="136"/>
        <v>#N/A</v>
      </c>
      <c r="AU235" s="61" t="e">
        <f t="shared" si="119"/>
        <v>#N/A</v>
      </c>
      <c r="AV235" s="61" t="e">
        <f t="shared" si="137"/>
        <v>#N/A</v>
      </c>
      <c r="AW235" s="61" t="e">
        <f t="shared" si="138"/>
        <v>#N/A</v>
      </c>
      <c r="AX235" s="61" t="e">
        <f t="shared" si="139"/>
        <v>#N/A</v>
      </c>
    </row>
    <row r="236" spans="1:50" x14ac:dyDescent="0.3">
      <c r="A236" s="47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Y236" s="48" t="e">
        <f t="shared" si="114"/>
        <v>#N/A</v>
      </c>
      <c r="Z236" s="61" t="e">
        <f t="shared" si="115"/>
        <v>#N/A</v>
      </c>
      <c r="AA236" s="61" t="e">
        <f t="shared" si="120"/>
        <v>#N/A</v>
      </c>
      <c r="AB236" s="61" t="e">
        <f t="shared" si="116"/>
        <v>#N/A</v>
      </c>
      <c r="AC236" s="61" t="e">
        <f t="shared" si="117"/>
        <v>#N/A</v>
      </c>
      <c r="AD236" s="61" t="e">
        <f t="shared" si="118"/>
        <v>#N/A</v>
      </c>
      <c r="AE236" s="61" t="e">
        <f t="shared" si="121"/>
        <v>#N/A</v>
      </c>
      <c r="AF236" s="61">
        <f t="shared" si="122"/>
        <v>0</v>
      </c>
      <c r="AG236" s="61" t="e">
        <f t="shared" si="123"/>
        <v>#N/A</v>
      </c>
      <c r="AH236" s="61" t="e">
        <f t="shared" si="124"/>
        <v>#N/A</v>
      </c>
      <c r="AI236" s="61" t="e">
        <f t="shared" si="125"/>
        <v>#N/A</v>
      </c>
      <c r="AJ236" s="61" t="e">
        <f t="shared" si="126"/>
        <v>#N/A</v>
      </c>
      <c r="AK236" s="61" t="e">
        <f t="shared" si="127"/>
        <v>#N/A</v>
      </c>
      <c r="AL236" s="61" t="e">
        <f t="shared" si="128"/>
        <v>#N/A</v>
      </c>
      <c r="AM236" s="61" t="e">
        <f t="shared" si="129"/>
        <v>#N/A</v>
      </c>
      <c r="AN236" s="61" t="e">
        <f t="shared" si="130"/>
        <v>#N/A</v>
      </c>
      <c r="AO236" s="61" t="e">
        <f t="shared" si="131"/>
        <v>#N/A</v>
      </c>
      <c r="AP236" s="61" t="e">
        <f t="shared" si="132"/>
        <v>#N/A</v>
      </c>
      <c r="AQ236" s="61" t="e">
        <f t="shared" si="133"/>
        <v>#N/A</v>
      </c>
      <c r="AR236" s="61" t="e">
        <f t="shared" si="134"/>
        <v>#N/A</v>
      </c>
      <c r="AS236" s="61" t="e">
        <f t="shared" ca="1" si="135"/>
        <v>#N/A</v>
      </c>
      <c r="AT236" s="61" t="e">
        <f t="shared" ca="1" si="136"/>
        <v>#N/A</v>
      </c>
      <c r="AU236" s="61" t="e">
        <f t="shared" si="119"/>
        <v>#N/A</v>
      </c>
      <c r="AV236" s="61" t="e">
        <f t="shared" si="137"/>
        <v>#N/A</v>
      </c>
      <c r="AW236" s="61" t="e">
        <f t="shared" si="138"/>
        <v>#N/A</v>
      </c>
      <c r="AX236" s="61" t="e">
        <f t="shared" si="139"/>
        <v>#N/A</v>
      </c>
    </row>
    <row r="237" spans="1:50" x14ac:dyDescent="0.3">
      <c r="A237" s="47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Y237" s="48" t="e">
        <f t="shared" ref="Y237:Y248" si="140">IF(OR(AF236=0,AM236=0),0,(4*(ROUNDDOWN((AS236+5)*(1+$V$58),)+$V$59)+$V$60)/(4*(ROUNDDOWN(AS236*(1+$V$58),)+$V$59)+$V$60)-1)</f>
        <v>#N/A</v>
      </c>
      <c r="Z237" s="61" t="e">
        <f t="shared" ref="Z237:Z248" si="141">IF(OR(AF236=0,AN236=0),0,ROUNDDOWN((AT236+1)*(1+공마퍼),)/ROUNDDOWN(AT236*(1+공마퍼),)-1)</f>
        <v>#N/A</v>
      </c>
      <c r="AA237" s="61" t="e">
        <f t="shared" si="120"/>
        <v>#N/A</v>
      </c>
      <c r="AB237" s="61" t="e">
        <f t="shared" ref="AB237:AB248" si="142">IF(OR(AF236=0,AP236=0),0,(MIN(1,AV236+0.01)*(1.35+AU236+IF(크리인=1,0.01*크리인뎀,))+1-MIN(1,AV236))/(MIN(1,AV236)*(1.35+AU236)+1-MIN(1,AV236))-1)</f>
        <v>#N/A</v>
      </c>
      <c r="AC237" s="61" t="e">
        <f t="shared" ref="AC237:AC248" si="143">IF(OR(AF236=0,AQ236=0),0,(1+데미지+AW236+IF(보스=0,0,0.01))/(1+데미지+AW236)-1)</f>
        <v>#N/A</v>
      </c>
      <c r="AD237" s="61" t="e">
        <f t="shared" ref="AD237:AD248" si="144">IF(OR(AF236=0,AR236=0),0,IF($V$61*(1-AX236)&gt;1,2,(1-$V$61*(1-AX236)/(1-AL236*0.01)*(1-(AL236+1)*0.01))/(1-$V$61*(1-AX236)))-1)</f>
        <v>#N/A</v>
      </c>
      <c r="AE237" s="61" t="e">
        <f t="shared" si="121"/>
        <v>#N/A</v>
      </c>
      <c r="AF237" s="61">
        <f t="shared" si="122"/>
        <v>0</v>
      </c>
      <c r="AG237" s="61" t="e">
        <f t="shared" si="123"/>
        <v>#N/A</v>
      </c>
      <c r="AH237" s="61" t="e">
        <f t="shared" si="124"/>
        <v>#N/A</v>
      </c>
      <c r="AI237" s="61" t="e">
        <f t="shared" si="125"/>
        <v>#N/A</v>
      </c>
      <c r="AJ237" s="61" t="e">
        <f t="shared" si="126"/>
        <v>#N/A</v>
      </c>
      <c r="AK237" s="61" t="e">
        <f t="shared" si="127"/>
        <v>#N/A</v>
      </c>
      <c r="AL237" s="61" t="e">
        <f t="shared" si="128"/>
        <v>#N/A</v>
      </c>
      <c r="AM237" s="61" t="e">
        <f t="shared" si="129"/>
        <v>#N/A</v>
      </c>
      <c r="AN237" s="61" t="e">
        <f t="shared" si="130"/>
        <v>#N/A</v>
      </c>
      <c r="AO237" s="61" t="e">
        <f t="shared" si="131"/>
        <v>#N/A</v>
      </c>
      <c r="AP237" s="61" t="e">
        <f t="shared" si="132"/>
        <v>#N/A</v>
      </c>
      <c r="AQ237" s="61" t="e">
        <f t="shared" si="133"/>
        <v>#N/A</v>
      </c>
      <c r="AR237" s="61" t="e">
        <f t="shared" si="134"/>
        <v>#N/A</v>
      </c>
      <c r="AS237" s="61" t="e">
        <f t="shared" ca="1" si="135"/>
        <v>#N/A</v>
      </c>
      <c r="AT237" s="61" t="e">
        <f t="shared" ca="1" si="136"/>
        <v>#N/A</v>
      </c>
      <c r="AU237" s="61" t="e">
        <f t="shared" ref="AU237:AU248" si="145">AU236+IF(AE237=3,0.005,0)+IF(AE237=4,IF(크리인=1,0.01*크리인뎀,),0)</f>
        <v>#N/A</v>
      </c>
      <c r="AV237" s="61" t="e">
        <f t="shared" si="137"/>
        <v>#N/A</v>
      </c>
      <c r="AW237" s="61" t="e">
        <f t="shared" si="138"/>
        <v>#N/A</v>
      </c>
      <c r="AX237" s="61" t="e">
        <f t="shared" si="139"/>
        <v>#N/A</v>
      </c>
    </row>
    <row r="238" spans="1:50" x14ac:dyDescent="0.3">
      <c r="A238" s="47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Y238" s="48" t="e">
        <f t="shared" si="140"/>
        <v>#N/A</v>
      </c>
      <c r="Z238" s="61" t="e">
        <f t="shared" si="141"/>
        <v>#N/A</v>
      </c>
      <c r="AA238" s="61" t="e">
        <f t="shared" ref="AA238:AA248" si="146">IF(OR(AF237=0,AO237=0),0,(AV237*(1.35+AU237+0.01)+1-AV237)/(AV237*(1.35+AU237)+1-AV237)-1)</f>
        <v>#N/A</v>
      </c>
      <c r="AB238" s="61" t="e">
        <f t="shared" si="142"/>
        <v>#N/A</v>
      </c>
      <c r="AC238" s="61" t="e">
        <f t="shared" si="143"/>
        <v>#N/A</v>
      </c>
      <c r="AD238" s="61" t="e">
        <f t="shared" si="144"/>
        <v>#N/A</v>
      </c>
      <c r="AE238" s="61" t="e">
        <f t="shared" ref="AE238:AE248" si="147">IF(SUM(Y238:AD238)=0,0,MATCH(MAX(Y238:AD238),Y238:AD238,0))</f>
        <v>#N/A</v>
      </c>
      <c r="AF238" s="61">
        <f t="shared" ref="AF238:AF248" si="148">MAX(0,AF237-1)</f>
        <v>0</v>
      </c>
      <c r="AG238" s="61" t="e">
        <f t="shared" ref="AG238:AG248" si="149">IF(AE238=1,AG237+1,AG237)</f>
        <v>#N/A</v>
      </c>
      <c r="AH238" s="61" t="e">
        <f t="shared" ref="AH238:AH248" si="150">IF(AE238=2,AH237+1,AH237)</f>
        <v>#N/A</v>
      </c>
      <c r="AI238" s="61" t="e">
        <f t="shared" ref="AI238:AI248" si="151">IF(AE238=3,AI237+1,AI237)</f>
        <v>#N/A</v>
      </c>
      <c r="AJ238" s="61" t="e">
        <f t="shared" ref="AJ238:AJ248" si="152">IF(AE238=4,AJ237+1,AJ237)</f>
        <v>#N/A</v>
      </c>
      <c r="AK238" s="61" t="e">
        <f t="shared" ref="AK238:AK248" si="153">IF(AE238=5,AK237+1,AK237)</f>
        <v>#N/A</v>
      </c>
      <c r="AL238" s="61" t="e">
        <f t="shared" ref="AL238:AL248" si="154">IF(AE238=6,AL237+1,AL237)</f>
        <v>#N/A</v>
      </c>
      <c r="AM238" s="61" t="e">
        <f t="shared" ref="AM238:AM248" si="155">IF(AE238=1,AM237-1,AM237)</f>
        <v>#N/A</v>
      </c>
      <c r="AN238" s="61" t="e">
        <f t="shared" ref="AN238:AN248" si="156">IF(AE238=2,AN237-1,AN237)</f>
        <v>#N/A</v>
      </c>
      <c r="AO238" s="61" t="e">
        <f t="shared" ref="AO238:AO248" si="157">IF(AE238=3,AO237-1,AO237)</f>
        <v>#N/A</v>
      </c>
      <c r="AP238" s="61" t="e">
        <f t="shared" ref="AP238:AP248" si="158">IF(AE238=4,AP237-1,AP237)</f>
        <v>#N/A</v>
      </c>
      <c r="AQ238" s="61" t="e">
        <f t="shared" ref="AQ238:AQ248" si="159">IF(AE238=5,AQ237-1,AQ237)</f>
        <v>#N/A</v>
      </c>
      <c r="AR238" s="61" t="e">
        <f t="shared" ref="AR238:AR248" si="160">IF(AE238=6,AR237-1,AR237)</f>
        <v>#N/A</v>
      </c>
      <c r="AS238" s="61" t="e">
        <f t="shared" ref="AS238:AS248" ca="1" si="161">AS237+IF(AE238=1,5,0)</f>
        <v>#N/A</v>
      </c>
      <c r="AT238" s="61" t="e">
        <f t="shared" ref="AT238:AT248" ca="1" si="162">AT237+IF(AE238=2,1,0)</f>
        <v>#N/A</v>
      </c>
      <c r="AU238" s="61" t="e">
        <f t="shared" si="145"/>
        <v>#N/A</v>
      </c>
      <c r="AV238" s="61" t="e">
        <f t="shared" ref="AV238:AV248" si="163">MIN(1,AV237+IF(AE238=4,0.01,0))</f>
        <v>#N/A</v>
      </c>
      <c r="AW238" s="61" t="e">
        <f t="shared" ref="AW238:AW248" si="164">AW237+IF(AE238=5,0.01,0)</f>
        <v>#N/A</v>
      </c>
      <c r="AX238" s="61" t="e">
        <f t="shared" ref="AX238:AX248" si="165">IF(AE238=6,1-(1-AX237)/(1-AL237*0.01)*(1-AL238*0.01),AX237)</f>
        <v>#N/A</v>
      </c>
    </row>
    <row r="239" spans="1:50" x14ac:dyDescent="0.3">
      <c r="A239" s="47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Y239" s="48" t="e">
        <f t="shared" si="140"/>
        <v>#N/A</v>
      </c>
      <c r="Z239" s="61" t="e">
        <f t="shared" si="141"/>
        <v>#N/A</v>
      </c>
      <c r="AA239" s="61" t="e">
        <f t="shared" si="146"/>
        <v>#N/A</v>
      </c>
      <c r="AB239" s="61" t="e">
        <f t="shared" si="142"/>
        <v>#N/A</v>
      </c>
      <c r="AC239" s="61" t="e">
        <f t="shared" si="143"/>
        <v>#N/A</v>
      </c>
      <c r="AD239" s="61" t="e">
        <f t="shared" si="144"/>
        <v>#N/A</v>
      </c>
      <c r="AE239" s="61" t="e">
        <f t="shared" si="147"/>
        <v>#N/A</v>
      </c>
      <c r="AF239" s="61">
        <f t="shared" si="148"/>
        <v>0</v>
      </c>
      <c r="AG239" s="61" t="e">
        <f t="shared" si="149"/>
        <v>#N/A</v>
      </c>
      <c r="AH239" s="61" t="e">
        <f t="shared" si="150"/>
        <v>#N/A</v>
      </c>
      <c r="AI239" s="61" t="e">
        <f t="shared" si="151"/>
        <v>#N/A</v>
      </c>
      <c r="AJ239" s="61" t="e">
        <f t="shared" si="152"/>
        <v>#N/A</v>
      </c>
      <c r="AK239" s="61" t="e">
        <f t="shared" si="153"/>
        <v>#N/A</v>
      </c>
      <c r="AL239" s="61" t="e">
        <f t="shared" si="154"/>
        <v>#N/A</v>
      </c>
      <c r="AM239" s="61" t="e">
        <f t="shared" si="155"/>
        <v>#N/A</v>
      </c>
      <c r="AN239" s="61" t="e">
        <f t="shared" si="156"/>
        <v>#N/A</v>
      </c>
      <c r="AO239" s="61" t="e">
        <f t="shared" si="157"/>
        <v>#N/A</v>
      </c>
      <c r="AP239" s="61" t="e">
        <f t="shared" si="158"/>
        <v>#N/A</v>
      </c>
      <c r="AQ239" s="61" t="e">
        <f t="shared" si="159"/>
        <v>#N/A</v>
      </c>
      <c r="AR239" s="61" t="e">
        <f t="shared" si="160"/>
        <v>#N/A</v>
      </c>
      <c r="AS239" s="61" t="e">
        <f t="shared" ca="1" si="161"/>
        <v>#N/A</v>
      </c>
      <c r="AT239" s="61" t="e">
        <f t="shared" ca="1" si="162"/>
        <v>#N/A</v>
      </c>
      <c r="AU239" s="61" t="e">
        <f t="shared" si="145"/>
        <v>#N/A</v>
      </c>
      <c r="AV239" s="61" t="e">
        <f t="shared" si="163"/>
        <v>#N/A</v>
      </c>
      <c r="AW239" s="61" t="e">
        <f t="shared" si="164"/>
        <v>#N/A</v>
      </c>
      <c r="AX239" s="61" t="e">
        <f t="shared" si="165"/>
        <v>#N/A</v>
      </c>
    </row>
    <row r="240" spans="1:50" x14ac:dyDescent="0.3">
      <c r="A240" s="47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Y240" s="48" t="e">
        <f t="shared" si="140"/>
        <v>#N/A</v>
      </c>
      <c r="Z240" s="61" t="e">
        <f t="shared" si="141"/>
        <v>#N/A</v>
      </c>
      <c r="AA240" s="61" t="e">
        <f t="shared" si="146"/>
        <v>#N/A</v>
      </c>
      <c r="AB240" s="61" t="e">
        <f t="shared" si="142"/>
        <v>#N/A</v>
      </c>
      <c r="AC240" s="61" t="e">
        <f t="shared" si="143"/>
        <v>#N/A</v>
      </c>
      <c r="AD240" s="61" t="e">
        <f t="shared" si="144"/>
        <v>#N/A</v>
      </c>
      <c r="AE240" s="61" t="e">
        <f t="shared" si="147"/>
        <v>#N/A</v>
      </c>
      <c r="AF240" s="61">
        <f t="shared" si="148"/>
        <v>0</v>
      </c>
      <c r="AG240" s="61" t="e">
        <f t="shared" si="149"/>
        <v>#N/A</v>
      </c>
      <c r="AH240" s="61" t="e">
        <f t="shared" si="150"/>
        <v>#N/A</v>
      </c>
      <c r="AI240" s="61" t="e">
        <f t="shared" si="151"/>
        <v>#N/A</v>
      </c>
      <c r="AJ240" s="61" t="e">
        <f t="shared" si="152"/>
        <v>#N/A</v>
      </c>
      <c r="AK240" s="61" t="e">
        <f t="shared" si="153"/>
        <v>#N/A</v>
      </c>
      <c r="AL240" s="61" t="e">
        <f t="shared" si="154"/>
        <v>#N/A</v>
      </c>
      <c r="AM240" s="61" t="e">
        <f t="shared" si="155"/>
        <v>#N/A</v>
      </c>
      <c r="AN240" s="61" t="e">
        <f t="shared" si="156"/>
        <v>#N/A</v>
      </c>
      <c r="AO240" s="61" t="e">
        <f t="shared" si="157"/>
        <v>#N/A</v>
      </c>
      <c r="AP240" s="61" t="e">
        <f t="shared" si="158"/>
        <v>#N/A</v>
      </c>
      <c r="AQ240" s="61" t="e">
        <f t="shared" si="159"/>
        <v>#N/A</v>
      </c>
      <c r="AR240" s="61" t="e">
        <f t="shared" si="160"/>
        <v>#N/A</v>
      </c>
      <c r="AS240" s="61" t="e">
        <f t="shared" ca="1" si="161"/>
        <v>#N/A</v>
      </c>
      <c r="AT240" s="61" t="e">
        <f t="shared" ca="1" si="162"/>
        <v>#N/A</v>
      </c>
      <c r="AU240" s="61" t="e">
        <f t="shared" si="145"/>
        <v>#N/A</v>
      </c>
      <c r="AV240" s="61" t="e">
        <f t="shared" si="163"/>
        <v>#N/A</v>
      </c>
      <c r="AW240" s="61" t="e">
        <f t="shared" si="164"/>
        <v>#N/A</v>
      </c>
      <c r="AX240" s="61" t="e">
        <f t="shared" si="165"/>
        <v>#N/A</v>
      </c>
    </row>
    <row r="241" spans="1:50" x14ac:dyDescent="0.3">
      <c r="A241" s="47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Y241" s="48" t="e">
        <f t="shared" si="140"/>
        <v>#N/A</v>
      </c>
      <c r="Z241" s="61" t="e">
        <f t="shared" si="141"/>
        <v>#N/A</v>
      </c>
      <c r="AA241" s="61" t="e">
        <f t="shared" si="146"/>
        <v>#N/A</v>
      </c>
      <c r="AB241" s="61" t="e">
        <f t="shared" si="142"/>
        <v>#N/A</v>
      </c>
      <c r="AC241" s="61" t="e">
        <f t="shared" si="143"/>
        <v>#N/A</v>
      </c>
      <c r="AD241" s="61" t="e">
        <f t="shared" si="144"/>
        <v>#N/A</v>
      </c>
      <c r="AE241" s="61" t="e">
        <f t="shared" si="147"/>
        <v>#N/A</v>
      </c>
      <c r="AF241" s="61">
        <f t="shared" si="148"/>
        <v>0</v>
      </c>
      <c r="AG241" s="61" t="e">
        <f t="shared" si="149"/>
        <v>#N/A</v>
      </c>
      <c r="AH241" s="61" t="e">
        <f t="shared" si="150"/>
        <v>#N/A</v>
      </c>
      <c r="AI241" s="61" t="e">
        <f t="shared" si="151"/>
        <v>#N/A</v>
      </c>
      <c r="AJ241" s="61" t="e">
        <f t="shared" si="152"/>
        <v>#N/A</v>
      </c>
      <c r="AK241" s="61" t="e">
        <f t="shared" si="153"/>
        <v>#N/A</v>
      </c>
      <c r="AL241" s="61" t="e">
        <f t="shared" si="154"/>
        <v>#N/A</v>
      </c>
      <c r="AM241" s="61" t="e">
        <f t="shared" si="155"/>
        <v>#N/A</v>
      </c>
      <c r="AN241" s="61" t="e">
        <f t="shared" si="156"/>
        <v>#N/A</v>
      </c>
      <c r="AO241" s="61" t="e">
        <f t="shared" si="157"/>
        <v>#N/A</v>
      </c>
      <c r="AP241" s="61" t="e">
        <f t="shared" si="158"/>
        <v>#N/A</v>
      </c>
      <c r="AQ241" s="61" t="e">
        <f t="shared" si="159"/>
        <v>#N/A</v>
      </c>
      <c r="AR241" s="61" t="e">
        <f t="shared" si="160"/>
        <v>#N/A</v>
      </c>
      <c r="AS241" s="61" t="e">
        <f t="shared" ca="1" si="161"/>
        <v>#N/A</v>
      </c>
      <c r="AT241" s="61" t="e">
        <f t="shared" ca="1" si="162"/>
        <v>#N/A</v>
      </c>
      <c r="AU241" s="61" t="e">
        <f t="shared" si="145"/>
        <v>#N/A</v>
      </c>
      <c r="AV241" s="61" t="e">
        <f t="shared" si="163"/>
        <v>#N/A</v>
      </c>
      <c r="AW241" s="61" t="e">
        <f t="shared" si="164"/>
        <v>#N/A</v>
      </c>
      <c r="AX241" s="61" t="e">
        <f t="shared" si="165"/>
        <v>#N/A</v>
      </c>
    </row>
    <row r="242" spans="1:50" x14ac:dyDescent="0.3">
      <c r="A242" s="47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Y242" s="48" t="e">
        <f t="shared" si="140"/>
        <v>#N/A</v>
      </c>
      <c r="Z242" s="61" t="e">
        <f t="shared" si="141"/>
        <v>#N/A</v>
      </c>
      <c r="AA242" s="61" t="e">
        <f t="shared" si="146"/>
        <v>#N/A</v>
      </c>
      <c r="AB242" s="61" t="e">
        <f t="shared" si="142"/>
        <v>#N/A</v>
      </c>
      <c r="AC242" s="61" t="e">
        <f t="shared" si="143"/>
        <v>#N/A</v>
      </c>
      <c r="AD242" s="61" t="e">
        <f t="shared" si="144"/>
        <v>#N/A</v>
      </c>
      <c r="AE242" s="61" t="e">
        <f t="shared" si="147"/>
        <v>#N/A</v>
      </c>
      <c r="AF242" s="61">
        <f t="shared" si="148"/>
        <v>0</v>
      </c>
      <c r="AG242" s="61" t="e">
        <f t="shared" si="149"/>
        <v>#N/A</v>
      </c>
      <c r="AH242" s="61" t="e">
        <f t="shared" si="150"/>
        <v>#N/A</v>
      </c>
      <c r="AI242" s="61" t="e">
        <f t="shared" si="151"/>
        <v>#N/A</v>
      </c>
      <c r="AJ242" s="61" t="e">
        <f t="shared" si="152"/>
        <v>#N/A</v>
      </c>
      <c r="AK242" s="61" t="e">
        <f t="shared" si="153"/>
        <v>#N/A</v>
      </c>
      <c r="AL242" s="61" t="e">
        <f t="shared" si="154"/>
        <v>#N/A</v>
      </c>
      <c r="AM242" s="61" t="e">
        <f t="shared" si="155"/>
        <v>#N/A</v>
      </c>
      <c r="AN242" s="61" t="e">
        <f t="shared" si="156"/>
        <v>#N/A</v>
      </c>
      <c r="AO242" s="61" t="e">
        <f t="shared" si="157"/>
        <v>#N/A</v>
      </c>
      <c r="AP242" s="61" t="e">
        <f t="shared" si="158"/>
        <v>#N/A</v>
      </c>
      <c r="AQ242" s="61" t="e">
        <f t="shared" si="159"/>
        <v>#N/A</v>
      </c>
      <c r="AR242" s="61" t="e">
        <f t="shared" si="160"/>
        <v>#N/A</v>
      </c>
      <c r="AS242" s="61" t="e">
        <f t="shared" ca="1" si="161"/>
        <v>#N/A</v>
      </c>
      <c r="AT242" s="61" t="e">
        <f t="shared" ca="1" si="162"/>
        <v>#N/A</v>
      </c>
      <c r="AU242" s="61" t="e">
        <f t="shared" si="145"/>
        <v>#N/A</v>
      </c>
      <c r="AV242" s="61" t="e">
        <f t="shared" si="163"/>
        <v>#N/A</v>
      </c>
      <c r="AW242" s="61" t="e">
        <f t="shared" si="164"/>
        <v>#N/A</v>
      </c>
      <c r="AX242" s="61" t="e">
        <f t="shared" si="165"/>
        <v>#N/A</v>
      </c>
    </row>
    <row r="243" spans="1:50" x14ac:dyDescent="0.3">
      <c r="A243" s="47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Y243" s="48" t="e">
        <f t="shared" si="140"/>
        <v>#N/A</v>
      </c>
      <c r="Z243" s="61" t="e">
        <f t="shared" si="141"/>
        <v>#N/A</v>
      </c>
      <c r="AA243" s="61" t="e">
        <f t="shared" si="146"/>
        <v>#N/A</v>
      </c>
      <c r="AB243" s="61" t="e">
        <f t="shared" si="142"/>
        <v>#N/A</v>
      </c>
      <c r="AC243" s="61" t="e">
        <f t="shared" si="143"/>
        <v>#N/A</v>
      </c>
      <c r="AD243" s="61" t="e">
        <f t="shared" si="144"/>
        <v>#N/A</v>
      </c>
      <c r="AE243" s="61" t="e">
        <f t="shared" si="147"/>
        <v>#N/A</v>
      </c>
      <c r="AF243" s="61">
        <f t="shared" si="148"/>
        <v>0</v>
      </c>
      <c r="AG243" s="61" t="e">
        <f t="shared" si="149"/>
        <v>#N/A</v>
      </c>
      <c r="AH243" s="61" t="e">
        <f t="shared" si="150"/>
        <v>#N/A</v>
      </c>
      <c r="AI243" s="61" t="e">
        <f t="shared" si="151"/>
        <v>#N/A</v>
      </c>
      <c r="AJ243" s="61" t="e">
        <f t="shared" si="152"/>
        <v>#N/A</v>
      </c>
      <c r="AK243" s="61" t="e">
        <f t="shared" si="153"/>
        <v>#N/A</v>
      </c>
      <c r="AL243" s="61" t="e">
        <f t="shared" si="154"/>
        <v>#N/A</v>
      </c>
      <c r="AM243" s="61" t="e">
        <f t="shared" si="155"/>
        <v>#N/A</v>
      </c>
      <c r="AN243" s="61" t="e">
        <f t="shared" si="156"/>
        <v>#N/A</v>
      </c>
      <c r="AO243" s="61" t="e">
        <f t="shared" si="157"/>
        <v>#N/A</v>
      </c>
      <c r="AP243" s="61" t="e">
        <f t="shared" si="158"/>
        <v>#N/A</v>
      </c>
      <c r="AQ243" s="61" t="e">
        <f t="shared" si="159"/>
        <v>#N/A</v>
      </c>
      <c r="AR243" s="61" t="e">
        <f t="shared" si="160"/>
        <v>#N/A</v>
      </c>
      <c r="AS243" s="61" t="e">
        <f t="shared" ca="1" si="161"/>
        <v>#N/A</v>
      </c>
      <c r="AT243" s="61" t="e">
        <f t="shared" ca="1" si="162"/>
        <v>#N/A</v>
      </c>
      <c r="AU243" s="61" t="e">
        <f t="shared" si="145"/>
        <v>#N/A</v>
      </c>
      <c r="AV243" s="61" t="e">
        <f t="shared" si="163"/>
        <v>#N/A</v>
      </c>
      <c r="AW243" s="61" t="e">
        <f t="shared" si="164"/>
        <v>#N/A</v>
      </c>
      <c r="AX243" s="61" t="e">
        <f t="shared" si="165"/>
        <v>#N/A</v>
      </c>
    </row>
    <row r="244" spans="1:50" x14ac:dyDescent="0.3">
      <c r="A244" s="47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Y244" s="48" t="e">
        <f t="shared" si="140"/>
        <v>#N/A</v>
      </c>
      <c r="Z244" s="61" t="e">
        <f t="shared" si="141"/>
        <v>#N/A</v>
      </c>
      <c r="AA244" s="61" t="e">
        <f t="shared" si="146"/>
        <v>#N/A</v>
      </c>
      <c r="AB244" s="61" t="e">
        <f t="shared" si="142"/>
        <v>#N/A</v>
      </c>
      <c r="AC244" s="61" t="e">
        <f t="shared" si="143"/>
        <v>#N/A</v>
      </c>
      <c r="AD244" s="61" t="e">
        <f t="shared" si="144"/>
        <v>#N/A</v>
      </c>
      <c r="AE244" s="61" t="e">
        <f t="shared" si="147"/>
        <v>#N/A</v>
      </c>
      <c r="AF244" s="61">
        <f t="shared" si="148"/>
        <v>0</v>
      </c>
      <c r="AG244" s="61" t="e">
        <f t="shared" si="149"/>
        <v>#N/A</v>
      </c>
      <c r="AH244" s="61" t="e">
        <f t="shared" si="150"/>
        <v>#N/A</v>
      </c>
      <c r="AI244" s="61" t="e">
        <f t="shared" si="151"/>
        <v>#N/A</v>
      </c>
      <c r="AJ244" s="61" t="e">
        <f t="shared" si="152"/>
        <v>#N/A</v>
      </c>
      <c r="AK244" s="61" t="e">
        <f t="shared" si="153"/>
        <v>#N/A</v>
      </c>
      <c r="AL244" s="61" t="e">
        <f t="shared" si="154"/>
        <v>#N/A</v>
      </c>
      <c r="AM244" s="61" t="e">
        <f t="shared" si="155"/>
        <v>#N/A</v>
      </c>
      <c r="AN244" s="61" t="e">
        <f t="shared" si="156"/>
        <v>#N/A</v>
      </c>
      <c r="AO244" s="61" t="e">
        <f t="shared" si="157"/>
        <v>#N/A</v>
      </c>
      <c r="AP244" s="61" t="e">
        <f t="shared" si="158"/>
        <v>#N/A</v>
      </c>
      <c r="AQ244" s="61" t="e">
        <f t="shared" si="159"/>
        <v>#N/A</v>
      </c>
      <c r="AR244" s="61" t="e">
        <f t="shared" si="160"/>
        <v>#N/A</v>
      </c>
      <c r="AS244" s="61" t="e">
        <f t="shared" ca="1" si="161"/>
        <v>#N/A</v>
      </c>
      <c r="AT244" s="61" t="e">
        <f t="shared" ca="1" si="162"/>
        <v>#N/A</v>
      </c>
      <c r="AU244" s="61" t="e">
        <f t="shared" si="145"/>
        <v>#N/A</v>
      </c>
      <c r="AV244" s="61" t="e">
        <f t="shared" si="163"/>
        <v>#N/A</v>
      </c>
      <c r="AW244" s="61" t="e">
        <f t="shared" si="164"/>
        <v>#N/A</v>
      </c>
      <c r="AX244" s="61" t="e">
        <f t="shared" si="165"/>
        <v>#N/A</v>
      </c>
    </row>
    <row r="245" spans="1:50" x14ac:dyDescent="0.3">
      <c r="A245" s="47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Y245" s="48" t="e">
        <f t="shared" si="140"/>
        <v>#N/A</v>
      </c>
      <c r="Z245" s="61" t="e">
        <f t="shared" si="141"/>
        <v>#N/A</v>
      </c>
      <c r="AA245" s="61" t="e">
        <f t="shared" si="146"/>
        <v>#N/A</v>
      </c>
      <c r="AB245" s="61" t="e">
        <f t="shared" si="142"/>
        <v>#N/A</v>
      </c>
      <c r="AC245" s="61" t="e">
        <f t="shared" si="143"/>
        <v>#N/A</v>
      </c>
      <c r="AD245" s="61" t="e">
        <f t="shared" si="144"/>
        <v>#N/A</v>
      </c>
      <c r="AE245" s="61" t="e">
        <f t="shared" si="147"/>
        <v>#N/A</v>
      </c>
      <c r="AF245" s="61">
        <f t="shared" si="148"/>
        <v>0</v>
      </c>
      <c r="AG245" s="61" t="e">
        <f t="shared" si="149"/>
        <v>#N/A</v>
      </c>
      <c r="AH245" s="61" t="e">
        <f t="shared" si="150"/>
        <v>#N/A</v>
      </c>
      <c r="AI245" s="61" t="e">
        <f t="shared" si="151"/>
        <v>#N/A</v>
      </c>
      <c r="AJ245" s="61" t="e">
        <f t="shared" si="152"/>
        <v>#N/A</v>
      </c>
      <c r="AK245" s="61" t="e">
        <f t="shared" si="153"/>
        <v>#N/A</v>
      </c>
      <c r="AL245" s="61" t="e">
        <f t="shared" si="154"/>
        <v>#N/A</v>
      </c>
      <c r="AM245" s="61" t="e">
        <f t="shared" si="155"/>
        <v>#N/A</v>
      </c>
      <c r="AN245" s="61" t="e">
        <f t="shared" si="156"/>
        <v>#N/A</v>
      </c>
      <c r="AO245" s="61" t="e">
        <f t="shared" si="157"/>
        <v>#N/A</v>
      </c>
      <c r="AP245" s="61" t="e">
        <f t="shared" si="158"/>
        <v>#N/A</v>
      </c>
      <c r="AQ245" s="61" t="e">
        <f t="shared" si="159"/>
        <v>#N/A</v>
      </c>
      <c r="AR245" s="61" t="e">
        <f t="shared" si="160"/>
        <v>#N/A</v>
      </c>
      <c r="AS245" s="61" t="e">
        <f t="shared" ca="1" si="161"/>
        <v>#N/A</v>
      </c>
      <c r="AT245" s="61" t="e">
        <f t="shared" ca="1" si="162"/>
        <v>#N/A</v>
      </c>
      <c r="AU245" s="61" t="e">
        <f t="shared" si="145"/>
        <v>#N/A</v>
      </c>
      <c r="AV245" s="61" t="e">
        <f t="shared" si="163"/>
        <v>#N/A</v>
      </c>
      <c r="AW245" s="61" t="e">
        <f t="shared" si="164"/>
        <v>#N/A</v>
      </c>
      <c r="AX245" s="61" t="e">
        <f t="shared" si="165"/>
        <v>#N/A</v>
      </c>
    </row>
    <row r="246" spans="1:50" x14ac:dyDescent="0.3">
      <c r="A246" s="47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Y246" s="48" t="e">
        <f t="shared" si="140"/>
        <v>#N/A</v>
      </c>
      <c r="Z246" s="61" t="e">
        <f t="shared" si="141"/>
        <v>#N/A</v>
      </c>
      <c r="AA246" s="61" t="e">
        <f t="shared" si="146"/>
        <v>#N/A</v>
      </c>
      <c r="AB246" s="61" t="e">
        <f t="shared" si="142"/>
        <v>#N/A</v>
      </c>
      <c r="AC246" s="61" t="e">
        <f t="shared" si="143"/>
        <v>#N/A</v>
      </c>
      <c r="AD246" s="61" t="e">
        <f t="shared" si="144"/>
        <v>#N/A</v>
      </c>
      <c r="AE246" s="61" t="e">
        <f t="shared" si="147"/>
        <v>#N/A</v>
      </c>
      <c r="AF246" s="61">
        <f t="shared" si="148"/>
        <v>0</v>
      </c>
      <c r="AG246" s="61" t="e">
        <f t="shared" si="149"/>
        <v>#N/A</v>
      </c>
      <c r="AH246" s="61" t="e">
        <f t="shared" si="150"/>
        <v>#N/A</v>
      </c>
      <c r="AI246" s="61" t="e">
        <f t="shared" si="151"/>
        <v>#N/A</v>
      </c>
      <c r="AJ246" s="61" t="e">
        <f t="shared" si="152"/>
        <v>#N/A</v>
      </c>
      <c r="AK246" s="61" t="e">
        <f t="shared" si="153"/>
        <v>#N/A</v>
      </c>
      <c r="AL246" s="61" t="e">
        <f t="shared" si="154"/>
        <v>#N/A</v>
      </c>
      <c r="AM246" s="61" t="e">
        <f t="shared" si="155"/>
        <v>#N/A</v>
      </c>
      <c r="AN246" s="61" t="e">
        <f t="shared" si="156"/>
        <v>#N/A</v>
      </c>
      <c r="AO246" s="61" t="e">
        <f t="shared" si="157"/>
        <v>#N/A</v>
      </c>
      <c r="AP246" s="61" t="e">
        <f t="shared" si="158"/>
        <v>#N/A</v>
      </c>
      <c r="AQ246" s="61" t="e">
        <f t="shared" si="159"/>
        <v>#N/A</v>
      </c>
      <c r="AR246" s="61" t="e">
        <f t="shared" si="160"/>
        <v>#N/A</v>
      </c>
      <c r="AS246" s="61" t="e">
        <f t="shared" ca="1" si="161"/>
        <v>#N/A</v>
      </c>
      <c r="AT246" s="61" t="e">
        <f t="shared" ca="1" si="162"/>
        <v>#N/A</v>
      </c>
      <c r="AU246" s="61" t="e">
        <f t="shared" si="145"/>
        <v>#N/A</v>
      </c>
      <c r="AV246" s="61" t="e">
        <f t="shared" si="163"/>
        <v>#N/A</v>
      </c>
      <c r="AW246" s="61" t="e">
        <f t="shared" si="164"/>
        <v>#N/A</v>
      </c>
      <c r="AX246" s="61" t="e">
        <f t="shared" si="165"/>
        <v>#N/A</v>
      </c>
    </row>
    <row r="247" spans="1:50" x14ac:dyDescent="0.3">
      <c r="A247" s="47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Y247" s="48" t="e">
        <f t="shared" si="140"/>
        <v>#N/A</v>
      </c>
      <c r="Z247" s="61" t="e">
        <f t="shared" si="141"/>
        <v>#N/A</v>
      </c>
      <c r="AA247" s="61" t="e">
        <f t="shared" si="146"/>
        <v>#N/A</v>
      </c>
      <c r="AB247" s="61" t="e">
        <f t="shared" si="142"/>
        <v>#N/A</v>
      </c>
      <c r="AC247" s="61" t="e">
        <f t="shared" si="143"/>
        <v>#N/A</v>
      </c>
      <c r="AD247" s="61" t="e">
        <f t="shared" si="144"/>
        <v>#N/A</v>
      </c>
      <c r="AE247" s="61" t="e">
        <f t="shared" si="147"/>
        <v>#N/A</v>
      </c>
      <c r="AF247" s="61">
        <f t="shared" si="148"/>
        <v>0</v>
      </c>
      <c r="AG247" s="61" t="e">
        <f t="shared" si="149"/>
        <v>#N/A</v>
      </c>
      <c r="AH247" s="61" t="e">
        <f t="shared" si="150"/>
        <v>#N/A</v>
      </c>
      <c r="AI247" s="61" t="e">
        <f t="shared" si="151"/>
        <v>#N/A</v>
      </c>
      <c r="AJ247" s="61" t="e">
        <f t="shared" si="152"/>
        <v>#N/A</v>
      </c>
      <c r="AK247" s="61" t="e">
        <f t="shared" si="153"/>
        <v>#N/A</v>
      </c>
      <c r="AL247" s="61" t="e">
        <f t="shared" si="154"/>
        <v>#N/A</v>
      </c>
      <c r="AM247" s="61" t="e">
        <f t="shared" si="155"/>
        <v>#N/A</v>
      </c>
      <c r="AN247" s="61" t="e">
        <f t="shared" si="156"/>
        <v>#N/A</v>
      </c>
      <c r="AO247" s="61" t="e">
        <f t="shared" si="157"/>
        <v>#N/A</v>
      </c>
      <c r="AP247" s="61" t="e">
        <f t="shared" si="158"/>
        <v>#N/A</v>
      </c>
      <c r="AQ247" s="61" t="e">
        <f t="shared" si="159"/>
        <v>#N/A</v>
      </c>
      <c r="AR247" s="61" t="e">
        <f t="shared" si="160"/>
        <v>#N/A</v>
      </c>
      <c r="AS247" s="61" t="e">
        <f t="shared" ca="1" si="161"/>
        <v>#N/A</v>
      </c>
      <c r="AT247" s="61" t="e">
        <f t="shared" ca="1" si="162"/>
        <v>#N/A</v>
      </c>
      <c r="AU247" s="61" t="e">
        <f t="shared" si="145"/>
        <v>#N/A</v>
      </c>
      <c r="AV247" s="61" t="e">
        <f t="shared" si="163"/>
        <v>#N/A</v>
      </c>
      <c r="AW247" s="61" t="e">
        <f t="shared" si="164"/>
        <v>#N/A</v>
      </c>
      <c r="AX247" s="61" t="e">
        <f t="shared" si="165"/>
        <v>#N/A</v>
      </c>
    </row>
    <row r="248" spans="1:50" x14ac:dyDescent="0.3">
      <c r="A248" s="47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Y248" s="48" t="e">
        <f t="shared" si="140"/>
        <v>#N/A</v>
      </c>
      <c r="Z248" s="61" t="e">
        <f t="shared" si="141"/>
        <v>#N/A</v>
      </c>
      <c r="AA248" s="61" t="e">
        <f t="shared" si="146"/>
        <v>#N/A</v>
      </c>
      <c r="AB248" s="61" t="e">
        <f t="shared" si="142"/>
        <v>#N/A</v>
      </c>
      <c r="AC248" s="61" t="e">
        <f t="shared" si="143"/>
        <v>#N/A</v>
      </c>
      <c r="AD248" s="61" t="e">
        <f t="shared" si="144"/>
        <v>#N/A</v>
      </c>
      <c r="AE248" s="61" t="e">
        <f t="shared" si="147"/>
        <v>#N/A</v>
      </c>
      <c r="AF248" s="61">
        <f t="shared" si="148"/>
        <v>0</v>
      </c>
      <c r="AG248" s="61" t="e">
        <f t="shared" si="149"/>
        <v>#N/A</v>
      </c>
      <c r="AH248" s="61" t="e">
        <f t="shared" si="150"/>
        <v>#N/A</v>
      </c>
      <c r="AI248" s="61" t="e">
        <f t="shared" si="151"/>
        <v>#N/A</v>
      </c>
      <c r="AJ248" s="61" t="e">
        <f t="shared" si="152"/>
        <v>#N/A</v>
      </c>
      <c r="AK248" s="61" t="e">
        <f t="shared" si="153"/>
        <v>#N/A</v>
      </c>
      <c r="AL248" s="61" t="e">
        <f t="shared" si="154"/>
        <v>#N/A</v>
      </c>
      <c r="AM248" s="61" t="e">
        <f t="shared" si="155"/>
        <v>#N/A</v>
      </c>
      <c r="AN248" s="61" t="e">
        <f t="shared" si="156"/>
        <v>#N/A</v>
      </c>
      <c r="AO248" s="61" t="e">
        <f t="shared" si="157"/>
        <v>#N/A</v>
      </c>
      <c r="AP248" s="61" t="e">
        <f t="shared" si="158"/>
        <v>#N/A</v>
      </c>
      <c r="AQ248" s="61" t="e">
        <f t="shared" si="159"/>
        <v>#N/A</v>
      </c>
      <c r="AR248" s="61" t="e">
        <f t="shared" si="160"/>
        <v>#N/A</v>
      </c>
      <c r="AS248" s="61" t="e">
        <f t="shared" ca="1" si="161"/>
        <v>#N/A</v>
      </c>
      <c r="AT248" s="61" t="e">
        <f t="shared" ca="1" si="162"/>
        <v>#N/A</v>
      </c>
      <c r="AU248" s="61" t="e">
        <f t="shared" si="145"/>
        <v>#N/A</v>
      </c>
      <c r="AV248" s="61" t="e">
        <f t="shared" si="163"/>
        <v>#N/A</v>
      </c>
      <c r="AW248" s="61" t="e">
        <f t="shared" si="164"/>
        <v>#N/A</v>
      </c>
      <c r="AX248" s="61" t="e">
        <f t="shared" si="165"/>
        <v>#N/A</v>
      </c>
    </row>
  </sheetData>
  <sheetProtection algorithmName="SHA-512" hashValue="sDA7TAGkfmCToIn8XuKVKFd21nF5c/EVerM2XyigRaRj8Y/ToIxL/5QtSj0bzw+hzey8HShRl/NsKclFWNCQQA==" saltValue="pVBKeSMeiZ2EbeSHMSmEqg==" spinCount="100000" sheet="1" objects="1" scenarios="1" selectLockedCells="1" selectUnlockedCells="1"/>
  <mergeCells count="2">
    <mergeCell ref="U29:V29"/>
    <mergeCell ref="S29:T29"/>
  </mergeCells>
  <phoneticPr fontId="4" type="noConversion"/>
  <pageMargins left="0.69972223043441772" right="0.69972223043441772" top="0.75" bottom="0.75" header="0.30000001192092896" footer="0.30000001192092896"/>
  <pageSetup paperSize="66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84</vt:i4>
      </vt:variant>
    </vt:vector>
  </HeadingPairs>
  <TitlesOfParts>
    <vt:vector size="87" baseType="lpstr">
      <vt:lpstr>스펙계산기</vt:lpstr>
      <vt:lpstr>설명서</vt:lpstr>
      <vt:lpstr>계산</vt:lpstr>
      <vt:lpstr>스펙계산기!공마</vt:lpstr>
      <vt:lpstr>공마</vt:lpstr>
      <vt:lpstr>스펙계산기!공마종류</vt:lpstr>
      <vt:lpstr>공마종류</vt:lpstr>
      <vt:lpstr>스펙계산기!공마퍼</vt:lpstr>
      <vt:lpstr>공마퍼</vt:lpstr>
      <vt:lpstr>나이트로드</vt:lpstr>
      <vt:lpstr>나이트워커</vt:lpstr>
      <vt:lpstr>다크나이트</vt:lpstr>
      <vt:lpstr>데몬슬레이어</vt:lpstr>
      <vt:lpstr>스펙계산기!데미지</vt:lpstr>
      <vt:lpstr>데미지</vt:lpstr>
      <vt:lpstr>듀얼블레이드</vt:lpstr>
      <vt:lpstr>딜계산</vt:lpstr>
      <vt:lpstr>루미너스</vt:lpstr>
      <vt:lpstr>메르세데스</vt:lpstr>
      <vt:lpstr>메용스탯</vt:lpstr>
      <vt:lpstr>메카닉</vt:lpstr>
      <vt:lpstr>몬스터종류</vt:lpstr>
      <vt:lpstr>미하일</vt:lpstr>
      <vt:lpstr>바이퍼</vt:lpstr>
      <vt:lpstr>스펙계산기!방무</vt:lpstr>
      <vt:lpstr>방무</vt:lpstr>
      <vt:lpstr>방어율</vt:lpstr>
      <vt:lpstr>배틀메이지</vt:lpstr>
      <vt:lpstr>베틀메이지</vt:lpstr>
      <vt:lpstr>스펙계산기!보공</vt:lpstr>
      <vt:lpstr>보공</vt:lpstr>
      <vt:lpstr>보스</vt:lpstr>
      <vt:lpstr>보우마스터</vt:lpstr>
      <vt:lpstr>계산!부스탯</vt:lpstr>
      <vt:lpstr>스펙계산기!부스탯</vt:lpstr>
      <vt:lpstr>부스탯</vt:lpstr>
      <vt:lpstr>부스탯종류</vt:lpstr>
      <vt:lpstr>불독</vt:lpstr>
      <vt:lpstr>블래스터</vt:lpstr>
      <vt:lpstr>비숍</vt:lpstr>
      <vt:lpstr>섀도어</vt:lpstr>
      <vt:lpstr>소울마스터</vt:lpstr>
      <vt:lpstr>스펙계산기!순스탯</vt:lpstr>
      <vt:lpstr>순스탯</vt:lpstr>
      <vt:lpstr>계산!스탯퍼</vt:lpstr>
      <vt:lpstr>스펙계산기!스탯퍼</vt:lpstr>
      <vt:lpstr>스탯퍼</vt:lpstr>
      <vt:lpstr>스트라이커</vt:lpstr>
      <vt:lpstr>신궁</vt:lpstr>
      <vt:lpstr>썬콜</vt:lpstr>
      <vt:lpstr>쓸컴뱃</vt:lpstr>
      <vt:lpstr>아란</vt:lpstr>
      <vt:lpstr>아크</vt:lpstr>
      <vt:lpstr>에반</vt:lpstr>
      <vt:lpstr>엔젤릭버스터</vt:lpstr>
      <vt:lpstr>와일드헌터</vt:lpstr>
      <vt:lpstr>윈드브레이커</vt:lpstr>
      <vt:lpstr>유니온엠</vt:lpstr>
      <vt:lpstr>유니온효과1</vt:lpstr>
      <vt:lpstr>유니온효과2</vt:lpstr>
      <vt:lpstr>은월</vt:lpstr>
      <vt:lpstr>일리움</vt:lpstr>
      <vt:lpstr>제로</vt:lpstr>
      <vt:lpstr>스펙계산기!주스탯종류</vt:lpstr>
      <vt:lpstr>주스탯종류</vt:lpstr>
      <vt:lpstr>직업</vt:lpstr>
      <vt:lpstr>스펙계산기!최종뎀</vt:lpstr>
      <vt:lpstr>최종뎀</vt:lpstr>
      <vt:lpstr>카데나</vt:lpstr>
      <vt:lpstr>카이저</vt:lpstr>
      <vt:lpstr>캐논슈터</vt:lpstr>
      <vt:lpstr>캡틴</vt:lpstr>
      <vt:lpstr>스펙계산기!크뎀</vt:lpstr>
      <vt:lpstr>크뎀</vt:lpstr>
      <vt:lpstr>크리인</vt:lpstr>
      <vt:lpstr>크리인뎀</vt:lpstr>
      <vt:lpstr>크리인사용</vt:lpstr>
      <vt:lpstr>스펙계산기!크확</vt:lpstr>
      <vt:lpstr>크확</vt:lpstr>
      <vt:lpstr>키네시스</vt:lpstr>
      <vt:lpstr>팔라딘</vt:lpstr>
      <vt:lpstr>패스파인더</vt:lpstr>
      <vt:lpstr>팬텀</vt:lpstr>
      <vt:lpstr>포스스탯</vt:lpstr>
      <vt:lpstr>플레임위자드</vt:lpstr>
      <vt:lpstr>효율계산</vt:lpstr>
      <vt:lpstr>히어로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스펙계산기</dc:title>
  <dc:creator/>
  <cp:lastModifiedBy/>
  <cp:revision>1</cp:revision>
  <dcterms:created xsi:type="dcterms:W3CDTF">2018-10-27T03:07:38Z</dcterms:created>
  <dcterms:modified xsi:type="dcterms:W3CDTF">2019-03-27T15:17:23Z</dcterms:modified>
</cp:coreProperties>
</file>