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16.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harts/chart1.xml" ContentType="application/vnd.openxmlformats-officedocument.drawingml.chart+xml"/>
  <Override PartName="/xl/drawings/drawing17.xml" ContentType="application/vnd.openxmlformats-officedocument.drawing+xml"/>
  <Override PartName="/xl/charts/chart2.xml" ContentType="application/vnd.openxmlformats-officedocument.drawingml.chart+xml"/>
  <Override PartName="/xl/drawings/drawing18.xml" ContentType="application/vnd.openxmlformats-officedocument.drawing+xml"/>
  <Override PartName="/xl/charts/chart3.xml" ContentType="application/vnd.openxmlformats-officedocument.drawingml.chart+xml"/>
  <Override PartName="/xl/drawings/drawing19.xml" ContentType="application/vnd.openxmlformats-officedocument.drawing+xml"/>
  <Override PartName="/xl/charts/chart4.xml" ContentType="application/vnd.openxmlformats-officedocument.drawingml.chart+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ctrlProps/ctrlProp8.xml" ContentType="application/vnd.ms-excel.controlproperties+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hidePivotFieldList="1"/>
  <mc:AlternateContent xmlns:mc="http://schemas.openxmlformats.org/markup-compatibility/2006">
    <mc:Choice Requires="x15">
      <x15ac:absPath xmlns:x15ac="http://schemas.microsoft.com/office/spreadsheetml/2010/11/ac" url="D:\Ons Jannet\"/>
    </mc:Choice>
  </mc:AlternateContent>
  <bookViews>
    <workbookView xWindow="24" yWindow="504" windowWidth="28776" windowHeight="16416" tabRatio="878" firstSheet="30" activeTab="42"/>
  </bookViews>
  <sheets>
    <sheet name="Reference sheet" sheetId="1" r:id="rId1"/>
    <sheet name="Contents" sheetId="2" r:id="rId2"/>
    <sheet name="Intro" sheetId="3" r:id="rId3"/>
    <sheet name="1.0 Executive summary" sheetId="4" r:id="rId4"/>
    <sheet name="1.1 Mission &amp; Objectives" sheetId="5" r:id="rId5"/>
    <sheet name="2.0 Company Profile" sheetId="6" r:id="rId6"/>
    <sheet name="2.1 Company Organisation" sheetId="7" r:id="rId7"/>
    <sheet name="2.2 Location &amp; Facilities" sheetId="8" r:id="rId8"/>
    <sheet name="3.0 Products &amp; Services" sheetId="9" r:id="rId9"/>
    <sheet name="3.1 Financing &amp; Insurance" sheetId="10" r:id="rId10"/>
    <sheet name="3.2 Funding" sheetId="11" r:id="rId11"/>
    <sheet name="4.0 Organisation &amp; HR" sheetId="12" r:id="rId12"/>
    <sheet name="4.1.1 Management team" sheetId="13" r:id="rId13"/>
    <sheet name="4.1.2 Management team" sheetId="14" r:id="rId14"/>
    <sheet name="5.0 Economy" sheetId="15" r:id="rId15"/>
    <sheet name="5.1 DAF Vehicle Parc Input" sheetId="16" r:id="rId16"/>
    <sheet name="5.1.1 NewTruck market-Country" sheetId="17" r:id="rId17"/>
    <sheet name="5.1.2 NT market-Dealer area" sheetId="18" r:id="rId18"/>
    <sheet name="5.2 UT market-Dealer area" sheetId="19" r:id="rId19"/>
    <sheet name="5.3 Running Parc - Dealer Area" sheetId="20" r:id="rId20"/>
    <sheet name="5.4.1 Competition in Area" sheetId="21" r:id="rId21"/>
    <sheet name="5.4.2 Comp. Analysis Table" sheetId="22" r:id="rId22"/>
    <sheet name="5.4.3 Comp.  Analysis SWOT" sheetId="23" r:id="rId23"/>
    <sheet name="5.5 Customers" sheetId="24" r:id="rId24"/>
    <sheet name="6.0 New Truck Sales" sheetId="25" r:id="rId25"/>
    <sheet name="6.1 Used Trucks" sheetId="26" r:id="rId26"/>
    <sheet name="6.2 After Sales - Parts" sheetId="28" r:id="rId27"/>
    <sheet name="6.3 After Sales - Service" sheetId="29" r:id="rId28"/>
    <sheet name="DAF Parts CPV" sheetId="31" state="hidden" r:id="rId29"/>
    <sheet name="DAF Parts CPV (short)" sheetId="32" state="hidden" r:id="rId30"/>
    <sheet name="DAF Labour CPV" sheetId="33" state="hidden" r:id="rId31"/>
    <sheet name="DAF Labour CPV (short)" sheetId="34" state="hidden" r:id="rId32"/>
    <sheet name="DAF Oil CPV" sheetId="35" state="hidden" r:id="rId33"/>
    <sheet name="DAF Oil CPV (short)" sheetId="36" state="hidden" r:id="rId34"/>
    <sheet name="OM Parts CPV" sheetId="37" state="hidden" r:id="rId35"/>
    <sheet name="OM Parts CPV (short)" sheetId="38" state="hidden" r:id="rId36"/>
    <sheet name="Calculation (short)" sheetId="40" state="hidden" r:id="rId37"/>
    <sheet name="6.4 SWOT &amp; Action Plan" sheetId="39" r:id="rId38"/>
    <sheet name="7.1 Dealer area" sheetId="41" r:id="rId39"/>
    <sheet name="7.2.1 Turnover Vehicles" sheetId="42" r:id="rId40"/>
    <sheet name="7.2.2 Turnover Parts" sheetId="43" r:id="rId41"/>
    <sheet name="7.2.3 Turnover Service &amp; Body" sheetId="44" r:id="rId42"/>
    <sheet name="7.3 Cost of sales" sheetId="45" r:id="rId43"/>
    <sheet name="7.4.1 Salaries &amp; Wages" sheetId="46" r:id="rId44"/>
    <sheet name="7.4.2 Selling &amp; Oper. expenses" sheetId="47" r:id="rId45"/>
    <sheet name="7.4.3 Inv. &amp; Depr." sheetId="48" r:id="rId46"/>
    <sheet name="7.5.1 Financial Requirements" sheetId="78" r:id="rId47"/>
    <sheet name="7.5.2 Fin. Income &amp; Expenses " sheetId="50" r:id="rId48"/>
    <sheet name="7.5.3 VAT" sheetId="51" r:id="rId49"/>
    <sheet name="7.6.1 Activity contribution" sheetId="52" r:id="rId50"/>
    <sheet name="7.6.2 Activity analysis" sheetId="53" r:id="rId51"/>
    <sheet name="7.7 P&amp;L" sheetId="54" r:id="rId52"/>
    <sheet name="7.8 Dealer Benchmark" sheetId="55" r:id="rId53"/>
    <sheet name="7.9.1 Balance Assets" sheetId="56" r:id="rId54"/>
    <sheet name="7.9.2 Balance Liabilities" sheetId="57" r:id="rId55"/>
    <sheet name="7.10 Ratio's balance" sheetId="58" r:id="rId56"/>
    <sheet name="7.11 Cash Flow Analysis" sheetId="59" r:id="rId57"/>
    <sheet name="7.12 Assumptions &amp; Remarks" sheetId="60" r:id="rId58"/>
    <sheet name="8.0 Attachments" sheetId="63" r:id="rId59"/>
    <sheet name="9.0 Scenario's" sheetId="61" state="hidden" r:id="rId60"/>
    <sheet name="10.0 Guidelines" sheetId="77" state="hidden" r:id="rId61"/>
    <sheet name="Module3" sheetId="66" state="veryHidden" r:id="rId62"/>
    <sheet name="Module6" sheetId="69" state="veryHidden" r:id="rId63"/>
    <sheet name="Module10" sheetId="73" state="veryHidden" r:id="rId64"/>
    <sheet name="Module12" sheetId="75" state="veryHidden" r:id="rId65"/>
    <sheet name="Module13" sheetId="76" state="veryHidden" r:id="rId66"/>
  </sheets>
  <externalReferences>
    <externalReference r:id="rId67"/>
  </externalReferences>
  <definedNames>
    <definedName name="Z_51165254_F18A_4CD1_9981_8F2DE14CC76C_.wvu.Cols" localSheetId="4" hidden="1">'1.1 Mission &amp; Objectives'!$M:$IV</definedName>
    <definedName name="Z_51165254_F18A_4CD1_9981_8F2DE14CC76C_.wvu.Cols" localSheetId="5" hidden="1">'2.0 Company Profile'!$M:$IV</definedName>
    <definedName name="Z_51165254_F18A_4CD1_9981_8F2DE14CC76C_.wvu.Cols" localSheetId="6" hidden="1">'2.1 Company Organisation'!$M:$IV</definedName>
    <definedName name="Z_51165254_F18A_4CD1_9981_8F2DE14CC76C_.wvu.Cols" localSheetId="7" hidden="1">'2.2 Location &amp; Facilities'!$M:$IV</definedName>
    <definedName name="Z_51165254_F18A_4CD1_9981_8F2DE14CC76C_.wvu.Cols" localSheetId="8" hidden="1">'3.0 Products &amp; Services'!$M:$IV</definedName>
    <definedName name="Z_51165254_F18A_4CD1_9981_8F2DE14CC76C_.wvu.Cols" localSheetId="9" hidden="1">'3.1 Financing &amp; Insurance'!$M:$IV</definedName>
    <definedName name="Z_51165254_F18A_4CD1_9981_8F2DE14CC76C_.wvu.Cols" localSheetId="10" hidden="1">'3.2 Funding'!$M:$IV</definedName>
    <definedName name="Z_51165254_F18A_4CD1_9981_8F2DE14CC76C_.wvu.Cols" localSheetId="11" hidden="1">'4.0 Organisation &amp; HR'!$M:$IV</definedName>
    <definedName name="Z_51165254_F18A_4CD1_9981_8F2DE14CC76C_.wvu.Cols" localSheetId="12" hidden="1">'4.1.1 Management team'!$M:$IV</definedName>
    <definedName name="Z_51165254_F18A_4CD1_9981_8F2DE14CC76C_.wvu.Cols" localSheetId="13" hidden="1">'4.1.2 Management team'!$M:$IV</definedName>
    <definedName name="Z_51165254_F18A_4CD1_9981_8F2DE14CC76C_.wvu.Cols" localSheetId="14" hidden="1">'5.0 Economy'!$M:$IV</definedName>
    <definedName name="Z_51165254_F18A_4CD1_9981_8F2DE14CC76C_.wvu.Cols" localSheetId="15" hidden="1">'5.1 DAF Vehicle Parc Input'!$Y:$IV</definedName>
    <definedName name="Z_51165254_F18A_4CD1_9981_8F2DE14CC76C_.wvu.Cols" localSheetId="16" hidden="1">'5.1.1 NewTruck market-Country'!$M:$IV</definedName>
    <definedName name="Z_51165254_F18A_4CD1_9981_8F2DE14CC76C_.wvu.Cols" localSheetId="17" hidden="1">'5.1.2 NT market-Dealer area'!$M:$IV</definedName>
    <definedName name="Z_51165254_F18A_4CD1_9981_8F2DE14CC76C_.wvu.Cols" localSheetId="18" hidden="1">'5.2 UT market-Dealer area'!$M:$IV</definedName>
    <definedName name="Z_51165254_F18A_4CD1_9981_8F2DE14CC76C_.wvu.Cols" localSheetId="19" hidden="1">'5.3 Running Parc - Dealer Area'!$O:$IV</definedName>
    <definedName name="Z_51165254_F18A_4CD1_9981_8F2DE14CC76C_.wvu.Cols" localSheetId="20" hidden="1">'5.4.1 Competition in Area'!$M:$IV</definedName>
    <definedName name="Z_51165254_F18A_4CD1_9981_8F2DE14CC76C_.wvu.Cols" localSheetId="21" hidden="1">'5.4.2 Comp. Analysis Table'!$M:$IV</definedName>
    <definedName name="Z_51165254_F18A_4CD1_9981_8F2DE14CC76C_.wvu.Cols" localSheetId="22" hidden="1">'5.4.3 Comp.  Analysis SWOT'!$M:$IV</definedName>
    <definedName name="Z_51165254_F18A_4CD1_9981_8F2DE14CC76C_.wvu.Cols" localSheetId="23" hidden="1">'5.5 Customers'!$O:$IV</definedName>
    <definedName name="Z_51165254_F18A_4CD1_9981_8F2DE14CC76C_.wvu.Cols" localSheetId="24" hidden="1">'6.0 New Truck Sales'!$M:$IV</definedName>
    <definedName name="Z_51165254_F18A_4CD1_9981_8F2DE14CC76C_.wvu.Cols" localSheetId="25" hidden="1">'6.1 Used Trucks'!$M:$IV</definedName>
    <definedName name="Z_51165254_F18A_4CD1_9981_8F2DE14CC76C_.wvu.Cols" localSheetId="26" hidden="1">'6.2 After Sales - Parts'!$M:$IV</definedName>
    <definedName name="Z_51165254_F18A_4CD1_9981_8F2DE14CC76C_.wvu.Cols" localSheetId="27" hidden="1">'6.3 After Sales - Service'!$M:$IV</definedName>
    <definedName name="Z_51165254_F18A_4CD1_9981_8F2DE14CC76C_.wvu.Cols" localSheetId="37" hidden="1">'6.4 SWOT &amp; Action Plan'!$M:$IV</definedName>
    <definedName name="Z_51165254_F18A_4CD1_9981_8F2DE14CC76C_.wvu.Cols" localSheetId="38" hidden="1">'7.1 Dealer area'!$M:$IV</definedName>
    <definedName name="Z_51165254_F18A_4CD1_9981_8F2DE14CC76C_.wvu.Cols" localSheetId="55" hidden="1">'7.10 Ratio''s balance'!$M:$IV</definedName>
    <definedName name="Z_51165254_F18A_4CD1_9981_8F2DE14CC76C_.wvu.Cols" localSheetId="56" hidden="1">'7.11 Cash Flow Analysis'!$M:$IV</definedName>
    <definedName name="Z_51165254_F18A_4CD1_9981_8F2DE14CC76C_.wvu.Cols" localSheetId="57" hidden="1">'7.12 Assumptions &amp; Remarks'!$M:$IV</definedName>
    <definedName name="Z_51165254_F18A_4CD1_9981_8F2DE14CC76C_.wvu.Cols" localSheetId="39" hidden="1">'7.2.1 Turnover Vehicles'!$M:$IV</definedName>
    <definedName name="Z_51165254_F18A_4CD1_9981_8F2DE14CC76C_.wvu.Cols" localSheetId="40" hidden="1">'7.2.2 Turnover Parts'!$M:$IV</definedName>
    <definedName name="Z_51165254_F18A_4CD1_9981_8F2DE14CC76C_.wvu.Cols" localSheetId="41" hidden="1">'7.2.3 Turnover Service &amp; Body'!$M:$IV</definedName>
    <definedName name="Z_51165254_F18A_4CD1_9981_8F2DE14CC76C_.wvu.Cols" localSheetId="42" hidden="1">'7.3 Cost of sales'!$M:$IV</definedName>
    <definedName name="Z_51165254_F18A_4CD1_9981_8F2DE14CC76C_.wvu.Cols" localSheetId="43" hidden="1">'7.4.1 Salaries &amp; Wages'!$M:$IV</definedName>
    <definedName name="Z_51165254_F18A_4CD1_9981_8F2DE14CC76C_.wvu.Cols" localSheetId="44" hidden="1">'7.4.2 Selling &amp; Oper. expenses'!$M:$IV</definedName>
    <definedName name="Z_51165254_F18A_4CD1_9981_8F2DE14CC76C_.wvu.Cols" localSheetId="45" hidden="1">'7.4.3 Inv. &amp; Depr.'!$N:$IV</definedName>
    <definedName name="Z_51165254_F18A_4CD1_9981_8F2DE14CC76C_.wvu.Cols" localSheetId="47" hidden="1">'7.5.2 Fin. Income &amp; Expenses '!$O:$IV</definedName>
    <definedName name="Z_51165254_F18A_4CD1_9981_8F2DE14CC76C_.wvu.Cols" localSheetId="48" hidden="1">'7.5.3 VAT'!$M:$IV</definedName>
    <definedName name="Z_51165254_F18A_4CD1_9981_8F2DE14CC76C_.wvu.Cols" localSheetId="49" hidden="1">'7.6.1 Activity contribution'!$K:$IV</definedName>
    <definedName name="Z_51165254_F18A_4CD1_9981_8F2DE14CC76C_.wvu.Cols" localSheetId="50" hidden="1">'7.6.2 Activity analysis'!$R:$IV</definedName>
    <definedName name="Z_51165254_F18A_4CD1_9981_8F2DE14CC76C_.wvu.Cols" localSheetId="51" hidden="1">'7.7 P&amp;L'!$M:$IV</definedName>
    <definedName name="Z_51165254_F18A_4CD1_9981_8F2DE14CC76C_.wvu.Cols" localSheetId="52" hidden="1">'7.8 Dealer Benchmark'!$M:$IV</definedName>
    <definedName name="Z_51165254_F18A_4CD1_9981_8F2DE14CC76C_.wvu.Cols" localSheetId="53" hidden="1">'7.9.1 Balance Assets'!$M:$IV</definedName>
    <definedName name="Z_51165254_F18A_4CD1_9981_8F2DE14CC76C_.wvu.Cols" localSheetId="54" hidden="1">'7.9.2 Balance Liabilities'!$M:$IV</definedName>
    <definedName name="Z_51165254_F18A_4CD1_9981_8F2DE14CC76C_.wvu.Cols" localSheetId="58" hidden="1">'8.0 Attachments'!$M:$IV</definedName>
    <definedName name="Z_51165254_F18A_4CD1_9981_8F2DE14CC76C_.wvu.Cols" localSheetId="59" hidden="1">'9.0 Scenario''s'!$M:$IV</definedName>
    <definedName name="Z_51165254_F18A_4CD1_9981_8F2DE14CC76C_.wvu.Cols" localSheetId="1" hidden="1">Contents!$M:$IV</definedName>
    <definedName name="Z_51165254_F18A_4CD1_9981_8F2DE14CC76C_.wvu.Cols" localSheetId="30" hidden="1">'DAF Labour CPV'!$X:$IV</definedName>
    <definedName name="Z_51165254_F18A_4CD1_9981_8F2DE14CC76C_.wvu.Cols" localSheetId="31" hidden="1">'DAF Labour CPV (short)'!$X:$IV</definedName>
    <definedName name="Z_51165254_F18A_4CD1_9981_8F2DE14CC76C_.wvu.Cols" localSheetId="32" hidden="1">'DAF Oil CPV'!$X:$IV</definedName>
    <definedName name="Z_51165254_F18A_4CD1_9981_8F2DE14CC76C_.wvu.Cols" localSheetId="33" hidden="1">'DAF Oil CPV (short)'!$X:$IV</definedName>
    <definedName name="Z_51165254_F18A_4CD1_9981_8F2DE14CC76C_.wvu.Cols" localSheetId="28" hidden="1">'DAF Parts CPV'!$X:$IV</definedName>
    <definedName name="Z_51165254_F18A_4CD1_9981_8F2DE14CC76C_.wvu.Cols" localSheetId="29" hidden="1">'DAF Parts CPV (short)'!$X:$IV</definedName>
    <definedName name="Z_51165254_F18A_4CD1_9981_8F2DE14CC76C_.wvu.Cols" localSheetId="2" hidden="1">Intro!$AD:$IV</definedName>
    <definedName name="Z_51165254_F18A_4CD1_9981_8F2DE14CC76C_.wvu.Cols" localSheetId="34" hidden="1">'OM Parts CPV'!$W:$IV</definedName>
    <definedName name="Z_51165254_F18A_4CD1_9981_8F2DE14CC76C_.wvu.Cols" localSheetId="35" hidden="1">'OM Parts CPV (short)'!$W:$IV</definedName>
    <definedName name="Z_51165254_F18A_4CD1_9981_8F2DE14CC76C_.wvu.Cols" localSheetId="0" hidden="1">'Reference sheet'!$M:$IV</definedName>
    <definedName name="Z_51165254_F18A_4CD1_9981_8F2DE14CC76C_.wvu.PrintArea" localSheetId="3" hidden="1">'1.0 Executive summary'!$A$1:$L$64</definedName>
    <definedName name="Z_51165254_F18A_4CD1_9981_8F2DE14CC76C_.wvu.PrintArea" localSheetId="4" hidden="1">'1.1 Mission &amp; Objectives'!$A$1:$K$38</definedName>
    <definedName name="Z_51165254_F18A_4CD1_9981_8F2DE14CC76C_.wvu.PrintArea" localSheetId="5" hidden="1">'2.0 Company Profile'!$A$1:$K$24</definedName>
    <definedName name="Z_51165254_F18A_4CD1_9981_8F2DE14CC76C_.wvu.PrintArea" localSheetId="6" hidden="1">'2.1 Company Organisation'!$A:$K</definedName>
    <definedName name="Z_51165254_F18A_4CD1_9981_8F2DE14CC76C_.wvu.PrintArea" localSheetId="7" hidden="1">'2.2 Location &amp; Facilities'!$A$1:$K$57</definedName>
    <definedName name="Z_51165254_F18A_4CD1_9981_8F2DE14CC76C_.wvu.PrintArea" localSheetId="8" hidden="1">'3.0 Products &amp; Services'!$A$1:$K$62</definedName>
    <definedName name="Z_51165254_F18A_4CD1_9981_8F2DE14CC76C_.wvu.PrintArea" localSheetId="9" hidden="1">'3.1 Financing &amp; Insurance'!$A$1:$K$49</definedName>
    <definedName name="Z_51165254_F18A_4CD1_9981_8F2DE14CC76C_.wvu.PrintArea" localSheetId="11" hidden="1">'4.0 Organisation &amp; HR'!$A:$K</definedName>
    <definedName name="Z_51165254_F18A_4CD1_9981_8F2DE14CC76C_.wvu.PrintArea" localSheetId="12" hidden="1">'4.1.1 Management team'!$1:$38</definedName>
    <definedName name="Z_51165254_F18A_4CD1_9981_8F2DE14CC76C_.wvu.PrintArea" localSheetId="13" hidden="1">'4.1.2 Management team'!$A$1:$K$55</definedName>
    <definedName name="Z_51165254_F18A_4CD1_9981_8F2DE14CC76C_.wvu.PrintArea" localSheetId="14" hidden="1">'5.0 Economy'!$A$1:$K$65</definedName>
    <definedName name="Z_51165254_F18A_4CD1_9981_8F2DE14CC76C_.wvu.PrintArea" localSheetId="15" hidden="1">'5.1 DAF Vehicle Parc Input'!$A$3:$W$57</definedName>
    <definedName name="Z_51165254_F18A_4CD1_9981_8F2DE14CC76C_.wvu.PrintArea" localSheetId="16" hidden="1">'5.1.1 NewTruck market-Country'!$A$1:$K$56</definedName>
    <definedName name="Z_51165254_F18A_4CD1_9981_8F2DE14CC76C_.wvu.PrintArea" localSheetId="17" hidden="1">'5.1.2 NT market-Dealer area'!$A$1:$K$60</definedName>
    <definedName name="Z_51165254_F18A_4CD1_9981_8F2DE14CC76C_.wvu.PrintArea" localSheetId="18" hidden="1">'5.2 UT market-Dealer area'!$A$1:$K$55</definedName>
    <definedName name="Z_51165254_F18A_4CD1_9981_8F2DE14CC76C_.wvu.PrintArea" localSheetId="19" hidden="1">'5.3 Running Parc - Dealer Area'!$A$1:$M$63</definedName>
    <definedName name="Z_51165254_F18A_4CD1_9981_8F2DE14CC76C_.wvu.PrintArea" localSheetId="20" hidden="1">'5.4.1 Competition in Area'!$A$1:$K$84</definedName>
    <definedName name="Z_51165254_F18A_4CD1_9981_8F2DE14CC76C_.wvu.PrintArea" localSheetId="21" hidden="1">'5.4.2 Comp. Analysis Table'!$A$1:$K$35</definedName>
    <definedName name="Z_51165254_F18A_4CD1_9981_8F2DE14CC76C_.wvu.PrintArea" localSheetId="22" hidden="1">'5.4.3 Comp.  Analysis SWOT'!$A$1:$K$62</definedName>
    <definedName name="Z_51165254_F18A_4CD1_9981_8F2DE14CC76C_.wvu.PrintArea" localSheetId="23" hidden="1">'5.5 Customers'!$A$1:$M$80</definedName>
    <definedName name="Z_51165254_F18A_4CD1_9981_8F2DE14CC76C_.wvu.PrintArea" localSheetId="24" hidden="1">'6.0 New Truck Sales'!$A$1:$K$60</definedName>
    <definedName name="Z_51165254_F18A_4CD1_9981_8F2DE14CC76C_.wvu.PrintArea" localSheetId="25" hidden="1">'6.1 Used Trucks'!$A$1:$K$59</definedName>
    <definedName name="Z_51165254_F18A_4CD1_9981_8F2DE14CC76C_.wvu.PrintArea" localSheetId="26" hidden="1">'6.2 After Sales - Parts'!$A$1:$K$68</definedName>
    <definedName name="Z_51165254_F18A_4CD1_9981_8F2DE14CC76C_.wvu.PrintArea" localSheetId="27" hidden="1">'6.3 After Sales - Service'!$A$1:$K$42</definedName>
    <definedName name="Z_51165254_F18A_4CD1_9981_8F2DE14CC76C_.wvu.PrintArea" localSheetId="37" hidden="1">'6.4 SWOT &amp; Action Plan'!$A$1:$AL$65514</definedName>
    <definedName name="Z_51165254_F18A_4CD1_9981_8F2DE14CC76C_.wvu.PrintArea" localSheetId="38" hidden="1">'7.1 Dealer area'!$A$1:$K$69</definedName>
    <definedName name="Z_51165254_F18A_4CD1_9981_8F2DE14CC76C_.wvu.PrintArea" localSheetId="55" hidden="1">'7.10 Ratio''s balance'!$A$1:$K$75</definedName>
    <definedName name="Z_51165254_F18A_4CD1_9981_8F2DE14CC76C_.wvu.PrintArea" localSheetId="56" hidden="1">'7.11 Cash Flow Analysis'!$A$1:$K$58</definedName>
    <definedName name="Z_51165254_F18A_4CD1_9981_8F2DE14CC76C_.wvu.PrintArea" localSheetId="57" hidden="1">'7.12 Assumptions &amp; Remarks'!$A$1:$K$54</definedName>
    <definedName name="Z_51165254_F18A_4CD1_9981_8F2DE14CC76C_.wvu.PrintArea" localSheetId="39" hidden="1">'7.2.1 Turnover Vehicles'!$A$1:$K$90</definedName>
    <definedName name="Z_51165254_F18A_4CD1_9981_8F2DE14CC76C_.wvu.PrintArea" localSheetId="40" hidden="1">'7.2.2 Turnover Parts'!$A$1:$K$78</definedName>
    <definedName name="Z_51165254_F18A_4CD1_9981_8F2DE14CC76C_.wvu.PrintArea" localSheetId="41" hidden="1">'7.2.3 Turnover Service &amp; Body'!$A$1:$K$72</definedName>
    <definedName name="Z_51165254_F18A_4CD1_9981_8F2DE14CC76C_.wvu.PrintArea" localSheetId="42" hidden="1">'7.3 Cost of sales'!$A$1:$K$113</definedName>
    <definedName name="Z_51165254_F18A_4CD1_9981_8F2DE14CC76C_.wvu.PrintArea" localSheetId="43" hidden="1">'7.4.1 Salaries &amp; Wages'!$A$1:$K$231</definedName>
    <definedName name="Z_51165254_F18A_4CD1_9981_8F2DE14CC76C_.wvu.PrintArea" localSheetId="44" hidden="1">'7.4.2 Selling &amp; Oper. expenses'!$A$1:$K$86</definedName>
    <definedName name="Z_51165254_F18A_4CD1_9981_8F2DE14CC76C_.wvu.PrintArea" localSheetId="45" hidden="1">'7.4.3 Inv. &amp; Depr.'!$A$1:$L$137</definedName>
    <definedName name="Z_51165254_F18A_4CD1_9981_8F2DE14CC76C_.wvu.PrintArea" localSheetId="47" hidden="1">'7.5.2 Fin. Income &amp; Expenses '!$A$1:$M$87</definedName>
    <definedName name="Z_51165254_F18A_4CD1_9981_8F2DE14CC76C_.wvu.PrintArea" localSheetId="48" hidden="1">'7.5.3 VAT'!$A$1:$K$63</definedName>
    <definedName name="Z_51165254_F18A_4CD1_9981_8F2DE14CC76C_.wvu.PrintArea" localSheetId="49" hidden="1">'7.6.1 Activity contribution'!$A:$I</definedName>
    <definedName name="Z_51165254_F18A_4CD1_9981_8F2DE14CC76C_.wvu.PrintArea" localSheetId="50" hidden="1">'7.6.2 Activity analysis'!$A$1:$P$165</definedName>
    <definedName name="Z_51165254_F18A_4CD1_9981_8F2DE14CC76C_.wvu.PrintArea" localSheetId="51" hidden="1">'7.7 P&amp;L'!$A$1:$K$53</definedName>
    <definedName name="Z_51165254_F18A_4CD1_9981_8F2DE14CC76C_.wvu.PrintArea" localSheetId="52" hidden="1">'7.8 Dealer Benchmark'!$A$1:$K$91</definedName>
    <definedName name="Z_51165254_F18A_4CD1_9981_8F2DE14CC76C_.wvu.PrintArea" localSheetId="53" hidden="1">'7.9.1 Balance Assets'!$A$1:$K$53</definedName>
    <definedName name="Z_51165254_F18A_4CD1_9981_8F2DE14CC76C_.wvu.PrintArea" localSheetId="54" hidden="1">'7.9.2 Balance Liabilities'!$A$1:$K$65</definedName>
    <definedName name="Z_51165254_F18A_4CD1_9981_8F2DE14CC76C_.wvu.PrintArea" localSheetId="58" hidden="1">'8.0 Attachments'!$A$1:$L$33</definedName>
    <definedName name="Z_51165254_F18A_4CD1_9981_8F2DE14CC76C_.wvu.PrintArea" localSheetId="59" hidden="1">'9.0 Scenario''s'!$A$1:$K$122</definedName>
    <definedName name="Z_51165254_F18A_4CD1_9981_8F2DE14CC76C_.wvu.PrintArea" localSheetId="36" hidden="1">'Calculation (short)'!$A$1:$V$17</definedName>
    <definedName name="Z_51165254_F18A_4CD1_9981_8F2DE14CC76C_.wvu.PrintArea" localSheetId="1" hidden="1">Contents!$A$1:$K$73</definedName>
    <definedName name="Z_51165254_F18A_4CD1_9981_8F2DE14CC76C_.wvu.PrintArea" localSheetId="30" hidden="1">'DAF Labour CPV'!$A$1:$Z$36</definedName>
    <definedName name="Z_51165254_F18A_4CD1_9981_8F2DE14CC76C_.wvu.PrintArea" localSheetId="31" hidden="1">'DAF Labour CPV (short)'!$A$1:$W$15</definedName>
    <definedName name="Z_51165254_F18A_4CD1_9981_8F2DE14CC76C_.wvu.PrintArea" localSheetId="32" hidden="1">'DAF Oil CPV'!$A$1:$Z$36</definedName>
    <definedName name="Z_51165254_F18A_4CD1_9981_8F2DE14CC76C_.wvu.PrintArea" localSheetId="33" hidden="1">'DAF Oil CPV (short)'!$A$1:$W$15</definedName>
    <definedName name="Z_51165254_F18A_4CD1_9981_8F2DE14CC76C_.wvu.PrintArea" localSheetId="28" hidden="1">'DAF Parts CPV'!$A$1:$X$36</definedName>
    <definedName name="Z_51165254_F18A_4CD1_9981_8F2DE14CC76C_.wvu.PrintArea" localSheetId="29" hidden="1">'DAF Parts CPV (short)'!$A$1:$W$15</definedName>
    <definedName name="Z_51165254_F18A_4CD1_9981_8F2DE14CC76C_.wvu.PrintArea" localSheetId="2" hidden="1">Intro!$A$1:$AB$76</definedName>
    <definedName name="Z_51165254_F18A_4CD1_9981_8F2DE14CC76C_.wvu.PrintArea" localSheetId="34" hidden="1">'OM Parts CPV'!$A$1:$U$36</definedName>
    <definedName name="Z_51165254_F18A_4CD1_9981_8F2DE14CC76C_.wvu.PrintArea" localSheetId="35" hidden="1">'OM Parts CPV (short)'!$A$1:$U$25</definedName>
    <definedName name="Z_51165254_F18A_4CD1_9981_8F2DE14CC76C_.wvu.PrintArea" localSheetId="0" hidden="1">'Reference sheet'!$A$1:$K$56</definedName>
    <definedName name="Z_51165254_F18A_4CD1_9981_8F2DE14CC76C_.wvu.Rows" localSheetId="3" hidden="1">'1.0 Executive summary'!$66:$65536</definedName>
    <definedName name="Z_51165254_F18A_4CD1_9981_8F2DE14CC76C_.wvu.Rows" localSheetId="4" hidden="1">'1.1 Mission &amp; Objectives'!$41:$65536,'1.1 Mission &amp; Objectives'!$39:$39</definedName>
    <definedName name="Z_51165254_F18A_4CD1_9981_8F2DE14CC76C_.wvu.Rows" localSheetId="5" hidden="1">'2.0 Company Profile'!$106:$65536,'2.0 Company Profile'!$67:$104</definedName>
    <definedName name="Z_51165254_F18A_4CD1_9981_8F2DE14CC76C_.wvu.Rows" localSheetId="6" hidden="1">'2.1 Company Organisation'!$70:$65536,'2.1 Company Organisation'!$62:$68</definedName>
    <definedName name="Z_51165254_F18A_4CD1_9981_8F2DE14CC76C_.wvu.Rows" localSheetId="7" hidden="1">'2.2 Location &amp; Facilities'!$59:$65536</definedName>
    <definedName name="Z_51165254_F18A_4CD1_9981_8F2DE14CC76C_.wvu.Rows" localSheetId="8" hidden="1">'3.0 Products &amp; Services'!$74:$65536,'3.0 Products &amp; Services'!$63:$72</definedName>
    <definedName name="Z_51165254_F18A_4CD1_9981_8F2DE14CC76C_.wvu.Rows" localSheetId="9" hidden="1">'3.1 Financing &amp; Insurance'!$57:$65536,'3.1 Financing &amp; Insurance'!$50:$55</definedName>
    <definedName name="Z_51165254_F18A_4CD1_9981_8F2DE14CC76C_.wvu.Rows" localSheetId="10" hidden="1">'3.2 Funding'!$63:$65536</definedName>
    <definedName name="Z_51165254_F18A_4CD1_9981_8F2DE14CC76C_.wvu.Rows" localSheetId="11" hidden="1">'4.0 Organisation &amp; HR'!$64:$65536,'4.0 Organisation &amp; HR'!$27:$27</definedName>
    <definedName name="Z_51165254_F18A_4CD1_9981_8F2DE14CC76C_.wvu.Rows" localSheetId="12" hidden="1">'4.1.1 Management team'!$40:$65536</definedName>
    <definedName name="Z_51165254_F18A_4CD1_9981_8F2DE14CC76C_.wvu.Rows" localSheetId="13" hidden="1">'4.1.2 Management team'!$57:$65536</definedName>
    <definedName name="Z_51165254_F18A_4CD1_9981_8F2DE14CC76C_.wvu.Rows" localSheetId="14" hidden="1">'5.0 Economy'!$69:$65536,'5.0 Economy'!$66:$67</definedName>
    <definedName name="Z_51165254_F18A_4CD1_9981_8F2DE14CC76C_.wvu.Rows" localSheetId="15" hidden="1">'5.1 DAF Vehicle Parc Input'!$141:$65536,'5.1 DAF Vehicle Parc Input'!$58:$140</definedName>
    <definedName name="Z_51165254_F18A_4CD1_9981_8F2DE14CC76C_.wvu.Rows" localSheetId="16" hidden="1">'5.1.1 NewTruck market-Country'!$57:$65536</definedName>
    <definedName name="Z_51165254_F18A_4CD1_9981_8F2DE14CC76C_.wvu.Rows" localSheetId="17" hidden="1">'5.1.2 NT market-Dealer area'!$106:$65536,'5.1.2 NT market-Dealer area'!$58:$104</definedName>
    <definedName name="Z_51165254_F18A_4CD1_9981_8F2DE14CC76C_.wvu.Rows" localSheetId="18" hidden="1">'5.2 UT market-Dealer area'!$143:$65536,'5.2 UT market-Dealer area'!$56:$141</definedName>
    <definedName name="Z_51165254_F18A_4CD1_9981_8F2DE14CC76C_.wvu.Rows" localSheetId="19" hidden="1">'5.3 Running Parc - Dealer Area'!$65:$65536</definedName>
    <definedName name="Z_51165254_F18A_4CD1_9981_8F2DE14CC76C_.wvu.Rows" localSheetId="20" hidden="1">'5.4.1 Competition in Area'!$86:$65536</definedName>
    <definedName name="Z_51165254_F18A_4CD1_9981_8F2DE14CC76C_.wvu.Rows" localSheetId="21" hidden="1">'5.4.2 Comp. Analysis Table'!$65536:$65536,'5.4.2 Comp. Analysis Table'!$5:$5,'5.4.2 Comp. Analysis Table'!$7:$7,'5.4.2 Comp. Analysis Table'!$23:$24,'5.4.2 Comp. Analysis Table'!$30:$30,'5.4.2 Comp. Analysis Table'!$36:$47,'5.4.2 Comp. Analysis Table'!$49:$65535</definedName>
    <definedName name="Z_51165254_F18A_4CD1_9981_8F2DE14CC76C_.wvu.Rows" localSheetId="22" hidden="1">'5.4.3 Comp.  Analysis SWOT'!$64:$65536,'5.4.3 Comp.  Analysis SWOT'!$15:$15,'5.4.3 Comp.  Analysis SWOT'!$23:$23,'5.4.3 Comp.  Analysis SWOT'!$31:$31,'5.4.3 Comp.  Analysis SWOT'!$39:$39,'5.4.3 Comp.  Analysis SWOT'!$47:$47,'5.4.3 Comp.  Analysis SWOT'!$55:$55</definedName>
    <definedName name="Z_51165254_F18A_4CD1_9981_8F2DE14CC76C_.wvu.Rows" localSheetId="23" hidden="1">'5.5 Customers'!$88:$65536,'5.5 Customers'!$5:$5,'5.5 Customers'!$26:$26,'5.5 Customers'!$49:$49,'5.5 Customers'!$57:$66,'5.5 Customers'!$82:$85,'5.5 Customers'!$87:$87</definedName>
    <definedName name="Z_51165254_F18A_4CD1_9981_8F2DE14CC76C_.wvu.Rows" localSheetId="24" hidden="1">'6.0 New Truck Sales'!$66:$65536,'6.0 New Truck Sales'!$54:$63</definedName>
    <definedName name="Z_51165254_F18A_4CD1_9981_8F2DE14CC76C_.wvu.Rows" localSheetId="25" hidden="1">'6.1 Used Trucks'!$61:$65536</definedName>
    <definedName name="Z_51165254_F18A_4CD1_9981_8F2DE14CC76C_.wvu.Rows" localSheetId="26" hidden="1">'6.2 After Sales - Parts'!$70:$65536,'6.2 After Sales - Parts'!$9:$9</definedName>
    <definedName name="Z_51165254_F18A_4CD1_9981_8F2DE14CC76C_.wvu.Rows" localSheetId="27" hidden="1">'6.3 After Sales - Service'!$44:$65536</definedName>
    <definedName name="Z_51165254_F18A_4CD1_9981_8F2DE14CC76C_.wvu.Rows" localSheetId="37" hidden="1">'6.4 SWOT &amp; Action Plan'!$65536:$65536,'6.4 SWOT &amp; Action Plan'!$95:$65535</definedName>
    <definedName name="Z_51165254_F18A_4CD1_9981_8F2DE14CC76C_.wvu.Rows" localSheetId="38" hidden="1">'7.1 Dealer area'!$79:$65536,'7.1 Dealer area'!$18:$24,'7.1 Dealer area'!$31:$36,'7.1 Dealer area'!$70:$78</definedName>
    <definedName name="Z_51165254_F18A_4CD1_9981_8F2DE14CC76C_.wvu.Rows" localSheetId="55" hidden="1">'7.10 Ratio''s balance'!$76:$65536</definedName>
    <definedName name="Z_51165254_F18A_4CD1_9981_8F2DE14CC76C_.wvu.Rows" localSheetId="56" hidden="1">'7.11 Cash Flow Analysis'!$61:$65536,'7.11 Cash Flow Analysis'!$57:$58</definedName>
    <definedName name="Z_51165254_F18A_4CD1_9981_8F2DE14CC76C_.wvu.Rows" localSheetId="57" hidden="1">'7.12 Assumptions &amp; Remarks'!$55:$65536</definedName>
    <definedName name="Z_51165254_F18A_4CD1_9981_8F2DE14CC76C_.wvu.Rows" localSheetId="39" hidden="1">'7.2.1 Turnover Vehicles'!$93:$65536</definedName>
    <definedName name="Z_51165254_F18A_4CD1_9981_8F2DE14CC76C_.wvu.Rows" localSheetId="40" hidden="1">'7.2.2 Turnover Parts'!$84:$65536,'7.2.2 Turnover Parts'!$79:$83</definedName>
    <definedName name="Z_51165254_F18A_4CD1_9981_8F2DE14CC76C_.wvu.Rows" localSheetId="41" hidden="1">'7.2.3 Turnover Service &amp; Body'!$73:$65536</definedName>
    <definedName name="Z_51165254_F18A_4CD1_9981_8F2DE14CC76C_.wvu.Rows" localSheetId="42" hidden="1">'7.3 Cost of sales'!$114:$65536</definedName>
    <definedName name="Z_51165254_F18A_4CD1_9981_8F2DE14CC76C_.wvu.Rows" localSheetId="43" hidden="1">'7.4.1 Salaries &amp; Wages'!$175:$65536,'7.4.1 Salaries &amp; Wages'!$174:$174</definedName>
    <definedName name="Z_51165254_F18A_4CD1_9981_8F2DE14CC76C_.wvu.Rows" localSheetId="44" hidden="1">'7.4.2 Selling &amp; Oper. expenses'!$87:$65536,'7.4.2 Selling &amp; Oper. expenses'!$35:$58</definedName>
    <definedName name="Z_51165254_F18A_4CD1_9981_8F2DE14CC76C_.wvu.Rows" localSheetId="45" hidden="1">'7.4.3 Inv. &amp; Depr.'!$225:$65536,'7.4.3 Inv. &amp; Depr.'!$138:$224</definedName>
    <definedName name="Z_51165254_F18A_4CD1_9981_8F2DE14CC76C_.wvu.Rows" localSheetId="47" hidden="1">'7.5.2 Fin. Income &amp; Expenses '!$88:$65536</definedName>
    <definedName name="Z_51165254_F18A_4CD1_9981_8F2DE14CC76C_.wvu.Rows" localSheetId="48" hidden="1">'7.5.3 VAT'!$64:$65536</definedName>
    <definedName name="Z_51165254_F18A_4CD1_9981_8F2DE14CC76C_.wvu.Rows" localSheetId="49" hidden="1">'7.6.1 Activity contribution'!$387:$65536,'7.6.1 Activity contribution'!$385:$386</definedName>
    <definedName name="Z_51165254_F18A_4CD1_9981_8F2DE14CC76C_.wvu.Rows" localSheetId="50" hidden="1">'7.6.2 Activity analysis'!$171:$65536,'7.6.2 Activity analysis'!$166:$170</definedName>
    <definedName name="Z_51165254_F18A_4CD1_9981_8F2DE14CC76C_.wvu.Rows" localSheetId="51" hidden="1">'7.7 P&amp;L'!$74:$65536,'7.7 P&amp;L'!$54:$73</definedName>
    <definedName name="Z_51165254_F18A_4CD1_9981_8F2DE14CC76C_.wvu.Rows" localSheetId="52" hidden="1">'7.8 Dealer Benchmark'!$100:$65536,'7.8 Dealer Benchmark'!$92:$99</definedName>
    <definedName name="Z_51165254_F18A_4CD1_9981_8F2DE14CC76C_.wvu.Rows" localSheetId="53" hidden="1">'7.9.1 Balance Assets'!$55:$65536,'7.9.1 Balance Assets'!$52:$54</definedName>
    <definedName name="Z_51165254_F18A_4CD1_9981_8F2DE14CC76C_.wvu.Rows" localSheetId="54" hidden="1">'7.9.2 Balance Liabilities'!$65:$65536</definedName>
    <definedName name="Z_51165254_F18A_4CD1_9981_8F2DE14CC76C_.wvu.Rows" localSheetId="58" hidden="1">'8.0 Attachments'!$35:$65536,'8.0 Attachments'!$34:$34</definedName>
    <definedName name="Z_51165254_F18A_4CD1_9981_8F2DE14CC76C_.wvu.Rows" localSheetId="59" hidden="1">'9.0 Scenario''s'!$123:$65536</definedName>
    <definedName name="Z_51165254_F18A_4CD1_9981_8F2DE14CC76C_.wvu.Rows" localSheetId="36" hidden="1">'Calculation (short)'!$63:$109</definedName>
    <definedName name="Z_51165254_F18A_4CD1_9981_8F2DE14CC76C_.wvu.Rows" localSheetId="1" hidden="1">Contents!$172:$65536,Contents!$74:$171</definedName>
    <definedName name="Z_51165254_F18A_4CD1_9981_8F2DE14CC76C_.wvu.Rows" localSheetId="30" hidden="1">'DAF Labour CPV'!$48:$65536,'DAF Labour CPV'!$35:$47</definedName>
    <definedName name="Z_51165254_F18A_4CD1_9981_8F2DE14CC76C_.wvu.Rows" localSheetId="31" hidden="1">'DAF Labour CPV (short)'!$48:$65536,'DAF Labour CPV (short)'!$16:$47</definedName>
    <definedName name="Z_51165254_F18A_4CD1_9981_8F2DE14CC76C_.wvu.Rows" localSheetId="32" hidden="1">'DAF Oil CPV'!$48:$65536,'DAF Oil CPV'!$35:$47</definedName>
    <definedName name="Z_51165254_F18A_4CD1_9981_8F2DE14CC76C_.wvu.Rows" localSheetId="33" hidden="1">'DAF Oil CPV (short)'!$48:$65536,'DAF Oil CPV (short)'!$16:$47</definedName>
    <definedName name="Z_51165254_F18A_4CD1_9981_8F2DE14CC76C_.wvu.Rows" localSheetId="28" hidden="1">'DAF Parts CPV'!$47:$65536,'DAF Parts CPV'!$35:$46</definedName>
    <definedName name="Z_51165254_F18A_4CD1_9981_8F2DE14CC76C_.wvu.Rows" localSheetId="29" hidden="1">'DAF Parts CPV (short)'!$48:$65536,'DAF Parts CPV (short)'!$16:$47</definedName>
    <definedName name="Z_51165254_F18A_4CD1_9981_8F2DE14CC76C_.wvu.Rows" localSheetId="2" hidden="1">Intro!$186:$65536,Intro!$75:$183</definedName>
    <definedName name="Z_51165254_F18A_4CD1_9981_8F2DE14CC76C_.wvu.Rows" localSheetId="34" hidden="1">'OM Parts CPV'!$48:$65536,'OM Parts CPV'!$35:$47</definedName>
    <definedName name="Z_51165254_F18A_4CD1_9981_8F2DE14CC76C_.wvu.Rows" localSheetId="35" hidden="1">'OM Parts CPV (short)'!$48:$65536,'OM Parts CPV (short)'!$24:$47</definedName>
    <definedName name="Z_51165254_F18A_4CD1_9981_8F2DE14CC76C_.wvu.Rows" localSheetId="0" hidden="1">'Reference sheet'!$99:$65536,'Reference sheet'!$53:$98</definedName>
    <definedName name="_xlnm.Print_Area" localSheetId="3">'1.0 Executive summary'!$A$1:$L$64</definedName>
    <definedName name="_xlnm.Print_Area" localSheetId="4">'1.1 Mission &amp; Objectives'!$A$1:$K$38</definedName>
    <definedName name="_xlnm.Print_Area" localSheetId="5">'2.0 Company Profile'!$A$1:$K$24</definedName>
    <definedName name="_xlnm.Print_Area" localSheetId="6">'2.1 Company Organisation'!$A:$K</definedName>
    <definedName name="_xlnm.Print_Area" localSheetId="7">'2.2 Location &amp; Facilities'!$A$1:$K$57</definedName>
    <definedName name="_xlnm.Print_Area" localSheetId="8">'3.0 Products &amp; Services'!$A$1:$K$62</definedName>
    <definedName name="_xlnm.Print_Area" localSheetId="9">'3.1 Financing &amp; Insurance'!$A$1:$K$49</definedName>
    <definedName name="_xlnm.Print_Area" localSheetId="11">'4.0 Organisation &amp; HR'!$A:$K</definedName>
    <definedName name="_xlnm.Print_Area" localSheetId="12">'4.1.1 Management team'!$1:$38</definedName>
    <definedName name="_xlnm.Print_Area" localSheetId="13">'4.1.2 Management team'!$A$1:$K$55</definedName>
    <definedName name="_xlnm.Print_Area" localSheetId="14">'5.0 Economy'!$A$1:$K$65</definedName>
    <definedName name="_xlnm.Print_Area" localSheetId="15">'5.1 DAF Vehicle Parc Input'!$A$3:$W$57</definedName>
    <definedName name="_xlnm.Print_Area" localSheetId="16">'5.1.1 NewTruck market-Country'!$A$1:$K$56</definedName>
    <definedName name="_xlnm.Print_Area" localSheetId="17">'5.1.2 NT market-Dealer area'!$A$1:$K$60</definedName>
    <definedName name="_xlnm.Print_Area" localSheetId="18">'5.2 UT market-Dealer area'!$A$1:$K$55</definedName>
    <definedName name="_xlnm.Print_Area" localSheetId="19">'5.3 Running Parc - Dealer Area'!$A$1:$M$63</definedName>
    <definedName name="_xlnm.Print_Area" localSheetId="20">'5.4.1 Competition in Area'!$A$1:$K$84</definedName>
    <definedName name="_xlnm.Print_Area" localSheetId="21">'5.4.2 Comp. Analysis Table'!$A$1:$K$35</definedName>
    <definedName name="_xlnm.Print_Area" localSheetId="22">'5.4.3 Comp.  Analysis SWOT'!$A$1:$K$62</definedName>
    <definedName name="_xlnm.Print_Area" localSheetId="23">'5.5 Customers'!$A$1:$M$79</definedName>
    <definedName name="_xlnm.Print_Area" localSheetId="24">'6.0 New Truck Sales'!$A$1:$K$60</definedName>
    <definedName name="_xlnm.Print_Area" localSheetId="25">'6.1 Used Trucks'!$A$1:$K$59</definedName>
    <definedName name="_xlnm.Print_Area" localSheetId="26">'6.2 After Sales - Parts'!$A$1:$K$68</definedName>
    <definedName name="_xlnm.Print_Area" localSheetId="27">'6.3 After Sales - Service'!$A$1:$K$42</definedName>
    <definedName name="_xlnm.Print_Area" localSheetId="37">'6.4 SWOT &amp; Action Plan'!$A$1:$AL$65514</definedName>
    <definedName name="_xlnm.Print_Area" localSheetId="38">'7.1 Dealer area'!$A$1:$K$69</definedName>
    <definedName name="_xlnm.Print_Area" localSheetId="55">'7.10 Ratio''s balance'!$A$1:$K$75</definedName>
    <definedName name="_xlnm.Print_Area" localSheetId="56">'7.11 Cash Flow Analysis'!$A$1:$K$58</definedName>
    <definedName name="_xlnm.Print_Area" localSheetId="57">'7.12 Assumptions &amp; Remarks'!$A$1:$K$54</definedName>
    <definedName name="_xlnm.Print_Area" localSheetId="39">'7.2.1 Turnover Vehicles'!$A$1:$K$90</definedName>
    <definedName name="_xlnm.Print_Area" localSheetId="40">'7.2.2 Turnover Parts'!$A$1:$K$78</definedName>
    <definedName name="_xlnm.Print_Area" localSheetId="41">'7.2.3 Turnover Service &amp; Body'!$A$1:$K$72</definedName>
    <definedName name="_xlnm.Print_Area" localSheetId="42">'7.3 Cost of sales'!$A$1:$K$113</definedName>
    <definedName name="_xlnm.Print_Area" localSheetId="43">'7.4.1 Salaries &amp; Wages'!$A$1:$K$231</definedName>
    <definedName name="_xlnm.Print_Area" localSheetId="44">'7.4.2 Selling &amp; Oper. expenses'!$A$1:$K$86</definedName>
    <definedName name="_xlnm.Print_Area" localSheetId="45">'7.4.3 Inv. &amp; Depr.'!$A:$M</definedName>
    <definedName name="_xlnm.Print_Area" localSheetId="47">'7.5.2 Fin. Income &amp; Expenses '!$A$1:$M$87</definedName>
    <definedName name="_xlnm.Print_Area" localSheetId="48">'7.5.3 VAT'!$A$1:$K$63</definedName>
    <definedName name="_xlnm.Print_Area" localSheetId="49">'7.6.1 Activity contribution'!$A:$I</definedName>
    <definedName name="_xlnm.Print_Area" localSheetId="50">'7.6.2 Activity analysis'!$A$1:$P$165</definedName>
    <definedName name="_xlnm.Print_Area" localSheetId="51">'7.7 P&amp;L'!$A$1:$K$53</definedName>
    <definedName name="_xlnm.Print_Area" localSheetId="52">'7.8 Dealer Benchmark'!$A$1:$K$91</definedName>
    <definedName name="_xlnm.Print_Area" localSheetId="53">'7.9.1 Balance Assets'!$A$1:$K$53</definedName>
    <definedName name="_xlnm.Print_Area" localSheetId="54">'7.9.2 Balance Liabilities'!$A$1:$K$65</definedName>
    <definedName name="_xlnm.Print_Area" localSheetId="58">'8.0 Attachments'!$A$1:$L$33</definedName>
    <definedName name="_xlnm.Print_Area" localSheetId="59">'9.0 Scenario''s'!$A$1:$K$122</definedName>
    <definedName name="_xlnm.Print_Area" localSheetId="36">'Calculation (short)'!$A$1:$V$17</definedName>
    <definedName name="_xlnm.Print_Area" localSheetId="1">Contents!$A$1:$K$73</definedName>
    <definedName name="_xlnm.Print_Area" localSheetId="30">'DAF Labour CPV'!$A$1:$Z$36</definedName>
    <definedName name="_xlnm.Print_Area" localSheetId="31">'DAF Labour CPV (short)'!$A$1:$W$15</definedName>
    <definedName name="_xlnm.Print_Area" localSheetId="32">'DAF Oil CPV'!$A$1:$Z$36</definedName>
    <definedName name="_xlnm.Print_Area" localSheetId="33">'DAF Oil CPV (short)'!$A$1:$W$15</definedName>
    <definedName name="_xlnm.Print_Area" localSheetId="28">'DAF Parts CPV'!$A$1:$X$36</definedName>
    <definedName name="_xlnm.Print_Area" localSheetId="29">'DAF Parts CPV (short)'!$A$1:$W$15</definedName>
    <definedName name="_xlnm.Print_Area" localSheetId="2">Intro!$A$1:$AB$76</definedName>
    <definedName name="_xlnm.Print_Area" localSheetId="34">'OM Parts CPV'!$A$1:$U$36</definedName>
    <definedName name="_xlnm.Print_Area" localSheetId="35">'OM Parts CPV (short)'!$A$1:$U$25</definedName>
    <definedName name="_xlnm.Print_Area" localSheetId="0">'Reference sheet'!$A$1:$K$56</definedName>
  </definedNames>
  <calcPr calcId="152511" iterate="1" iterateCount="1000"/>
  <customWorkbookViews>
    <customWorkbookView name="Marco Eijkens - Persoonlijke weergave" guid="{51165254-F18A-4CD1-9981-8F2DE14CC76C}" mergeInterval="0" personalView="1" maximized="1" windowWidth="1276" windowHeight="825" tabRatio="879" activeSheetId="18"/>
  </customWorkbookViews>
  <fileRecoveryPr autoRecover="0"/>
</workbook>
</file>

<file path=xl/calcChain.xml><?xml version="1.0" encoding="utf-8"?>
<calcChain xmlns="http://schemas.openxmlformats.org/spreadsheetml/2006/main">
  <c r="J55" i="41" l="1"/>
  <c r="B40" i="46" l="1"/>
  <c r="D31" i="50" l="1"/>
  <c r="E31" i="50" s="1"/>
  <c r="E12" i="25"/>
  <c r="E9" i="25"/>
  <c r="K28" i="57" l="1"/>
  <c r="D39" i="54"/>
  <c r="F39" i="54" s="1"/>
  <c r="H39" i="54" s="1"/>
  <c r="J39" i="54" s="1"/>
  <c r="E28" i="47"/>
  <c r="G28" i="47" s="1"/>
  <c r="E30" i="47"/>
  <c r="C36" i="59"/>
  <c r="K13" i="59"/>
  <c r="I13" i="59"/>
  <c r="G13" i="59"/>
  <c r="E13" i="59"/>
  <c r="C13" i="59"/>
  <c r="B9" i="57"/>
  <c r="B15" i="57"/>
  <c r="B30" i="57"/>
  <c r="B35" i="57" s="1"/>
  <c r="B45" i="42"/>
  <c r="D46" i="45"/>
  <c r="F46" i="45" s="1"/>
  <c r="C46" i="45"/>
  <c r="C54" i="42" s="1"/>
  <c r="C55" i="42" s="1"/>
  <c r="D72" i="48" s="1"/>
  <c r="E7" i="32"/>
  <c r="E1" i="40"/>
  <c r="I1" i="40"/>
  <c r="E2" i="40"/>
  <c r="AR7" i="40" s="1"/>
  <c r="H8" i="18"/>
  <c r="B7" i="41"/>
  <c r="B19" i="41"/>
  <c r="E7" i="34"/>
  <c r="G8" i="18"/>
  <c r="F7" i="34"/>
  <c r="B8" i="20"/>
  <c r="G7" i="34"/>
  <c r="C8" i="20"/>
  <c r="F7" i="40" s="1"/>
  <c r="G17" i="40" s="1"/>
  <c r="H28" i="40" s="1"/>
  <c r="I38" i="40" s="1"/>
  <c r="H7" i="34"/>
  <c r="D8" i="20"/>
  <c r="I7" i="34"/>
  <c r="E8" i="20"/>
  <c r="H7" i="40" s="1"/>
  <c r="I17" i="40" s="1"/>
  <c r="J28" i="40" s="1"/>
  <c r="J7" i="34"/>
  <c r="F8" i="20"/>
  <c r="I7" i="40" s="1"/>
  <c r="J17" i="40" s="1"/>
  <c r="K7" i="34"/>
  <c r="G8" i="20"/>
  <c r="J7" i="40" s="1"/>
  <c r="L7" i="34"/>
  <c r="H8" i="20"/>
  <c r="K7" i="40" s="1"/>
  <c r="M7" i="34"/>
  <c r="I8" i="20"/>
  <c r="L7" i="40" s="1"/>
  <c r="N7" i="34"/>
  <c r="J8" i="20"/>
  <c r="M7" i="40" s="1"/>
  <c r="E8" i="34"/>
  <c r="F8" i="34"/>
  <c r="B9" i="20"/>
  <c r="E8" i="40" s="1"/>
  <c r="F18" i="40" s="1"/>
  <c r="G29" i="40" s="1"/>
  <c r="H39" i="40" s="1"/>
  <c r="I49" i="40" s="1"/>
  <c r="G8" i="34"/>
  <c r="C9" i="20"/>
  <c r="F8" i="40" s="1"/>
  <c r="G18" i="40" s="1"/>
  <c r="H29" i="40" s="1"/>
  <c r="I39" i="40" s="1"/>
  <c r="J49" i="40" s="1"/>
  <c r="H8" i="34"/>
  <c r="D9" i="20"/>
  <c r="G8" i="40" s="1"/>
  <c r="H18" i="40" s="1"/>
  <c r="I29" i="40" s="1"/>
  <c r="I8" i="34"/>
  <c r="E9" i="20"/>
  <c r="H8" i="40" s="1"/>
  <c r="I18" i="40" s="1"/>
  <c r="J29" i="40" s="1"/>
  <c r="K39" i="40" s="1"/>
  <c r="L49" i="40" s="1"/>
  <c r="J8" i="34"/>
  <c r="F9" i="20"/>
  <c r="K8" i="34"/>
  <c r="G9" i="20"/>
  <c r="J8" i="40" s="1"/>
  <c r="K18" i="40" s="1"/>
  <c r="L8" i="34"/>
  <c r="H9" i="20"/>
  <c r="M8" i="34"/>
  <c r="I9" i="20"/>
  <c r="L8" i="40" s="1"/>
  <c r="N8" i="34"/>
  <c r="J9" i="20"/>
  <c r="M8" i="40" s="1"/>
  <c r="E9" i="34"/>
  <c r="G9" i="18"/>
  <c r="F9" i="34"/>
  <c r="B10" i="20"/>
  <c r="E9" i="40" s="1"/>
  <c r="F19" i="40" s="1"/>
  <c r="G30" i="40" s="1"/>
  <c r="H40" i="40" s="1"/>
  <c r="I50" i="40" s="1"/>
  <c r="G9" i="34"/>
  <c r="C10" i="20"/>
  <c r="H9" i="34"/>
  <c r="D10" i="20"/>
  <c r="G9" i="40" s="1"/>
  <c r="H19" i="40" s="1"/>
  <c r="I30" i="40" s="1"/>
  <c r="J40" i="40" s="1"/>
  <c r="K50" i="40" s="1"/>
  <c r="I9" i="34"/>
  <c r="E10" i="20"/>
  <c r="H9" i="40" s="1"/>
  <c r="J9" i="34"/>
  <c r="F10" i="20"/>
  <c r="I9" i="40" s="1"/>
  <c r="J19" i="40" s="1"/>
  <c r="K30" i="40" s="1"/>
  <c r="L40" i="40" s="1"/>
  <c r="M50" i="40" s="1"/>
  <c r="K9" i="34"/>
  <c r="G10" i="20"/>
  <c r="J9" i="40" s="1"/>
  <c r="K19" i="40" s="1"/>
  <c r="L30" i="40" s="1"/>
  <c r="M40" i="40" s="1"/>
  <c r="L9" i="34"/>
  <c r="H10" i="20"/>
  <c r="K9" i="40" s="1"/>
  <c r="L19" i="40" s="1"/>
  <c r="M30" i="40" s="1"/>
  <c r="M9" i="34"/>
  <c r="I10" i="20"/>
  <c r="L9" i="40" s="1"/>
  <c r="M19" i="40" s="1"/>
  <c r="N9" i="34"/>
  <c r="J10" i="20"/>
  <c r="M9" i="40" s="1"/>
  <c r="E10" i="34"/>
  <c r="F10" i="34"/>
  <c r="B11" i="20"/>
  <c r="E10" i="40" s="1"/>
  <c r="F20" i="40" s="1"/>
  <c r="G31" i="40" s="1"/>
  <c r="H41" i="40" s="1"/>
  <c r="I51" i="40" s="1"/>
  <c r="G10" i="34"/>
  <c r="C11" i="20"/>
  <c r="F10" i="40" s="1"/>
  <c r="G20" i="40" s="1"/>
  <c r="H31" i="40" s="1"/>
  <c r="I41" i="40" s="1"/>
  <c r="J51" i="40" s="1"/>
  <c r="H10" i="34"/>
  <c r="D11" i="20"/>
  <c r="G10" i="40" s="1"/>
  <c r="H20" i="40" s="1"/>
  <c r="I31" i="40" s="1"/>
  <c r="I10" i="34"/>
  <c r="E11" i="20"/>
  <c r="H10" i="40" s="1"/>
  <c r="I20" i="40" s="1"/>
  <c r="J31" i="40" s="1"/>
  <c r="K41" i="40" s="1"/>
  <c r="L51" i="40" s="1"/>
  <c r="J10" i="34"/>
  <c r="F11" i="20"/>
  <c r="I10" i="40" s="1"/>
  <c r="J20" i="40" s="1"/>
  <c r="K31" i="40" s="1"/>
  <c r="L41" i="40" s="1"/>
  <c r="M51" i="40" s="1"/>
  <c r="K10" i="34"/>
  <c r="G11" i="20"/>
  <c r="J10" i="40" s="1"/>
  <c r="K20" i="40" s="1"/>
  <c r="L31" i="40" s="1"/>
  <c r="M41" i="40" s="1"/>
  <c r="L10" i="34"/>
  <c r="H11" i="20"/>
  <c r="K10" i="40" s="1"/>
  <c r="L20" i="40" s="1"/>
  <c r="M31" i="40" s="1"/>
  <c r="M10" i="34"/>
  <c r="I11" i="20"/>
  <c r="L10" i="40" s="1"/>
  <c r="M20" i="40" s="1"/>
  <c r="N10" i="34"/>
  <c r="J11" i="20"/>
  <c r="M10" i="40" s="1"/>
  <c r="E11" i="34"/>
  <c r="F11" i="34"/>
  <c r="B12" i="20"/>
  <c r="E11" i="40" s="1"/>
  <c r="F21" i="40" s="1"/>
  <c r="G32" i="40" s="1"/>
  <c r="H42" i="40" s="1"/>
  <c r="I52" i="40" s="1"/>
  <c r="G11" i="34"/>
  <c r="C12" i="20"/>
  <c r="F11" i="40" s="1"/>
  <c r="G21" i="40" s="1"/>
  <c r="H32" i="40" s="1"/>
  <c r="I42" i="40" s="1"/>
  <c r="J52" i="40" s="1"/>
  <c r="H11" i="34"/>
  <c r="D12" i="20"/>
  <c r="G11" i="40" s="1"/>
  <c r="H21" i="40" s="1"/>
  <c r="I32" i="40" s="1"/>
  <c r="J42" i="40" s="1"/>
  <c r="K52" i="40" s="1"/>
  <c r="I11" i="34"/>
  <c r="E12" i="20"/>
  <c r="H11" i="40" s="1"/>
  <c r="I21" i="40" s="1"/>
  <c r="J32" i="40" s="1"/>
  <c r="K42" i="40" s="1"/>
  <c r="L52" i="40" s="1"/>
  <c r="J11" i="34"/>
  <c r="F12" i="20"/>
  <c r="I11" i="40" s="1"/>
  <c r="J21" i="40" s="1"/>
  <c r="K32" i="40" s="1"/>
  <c r="L42" i="40" s="1"/>
  <c r="M52" i="40" s="1"/>
  <c r="K11" i="34"/>
  <c r="G12" i="20"/>
  <c r="J11" i="40" s="1"/>
  <c r="K21" i="40" s="1"/>
  <c r="L32" i="40" s="1"/>
  <c r="M42" i="40" s="1"/>
  <c r="L11" i="34"/>
  <c r="H12" i="20"/>
  <c r="K11" i="40" s="1"/>
  <c r="L21" i="40" s="1"/>
  <c r="M32" i="40" s="1"/>
  <c r="M11" i="34"/>
  <c r="I12" i="20"/>
  <c r="L11" i="40" s="1"/>
  <c r="M21" i="40" s="1"/>
  <c r="N11" i="34"/>
  <c r="J12" i="20"/>
  <c r="M11" i="40" s="1"/>
  <c r="E12" i="34"/>
  <c r="D12" i="40"/>
  <c r="E22" i="40" s="1"/>
  <c r="F33" i="40" s="1"/>
  <c r="G43" i="40" s="1"/>
  <c r="H53" i="40" s="1"/>
  <c r="F12" i="34"/>
  <c r="B13" i="20"/>
  <c r="E12" i="40" s="1"/>
  <c r="F22" i="40" s="1"/>
  <c r="G33" i="40" s="1"/>
  <c r="H43" i="40" s="1"/>
  <c r="I53" i="40" s="1"/>
  <c r="G12" i="34"/>
  <c r="C13" i="20"/>
  <c r="F12" i="40" s="1"/>
  <c r="G22" i="40" s="1"/>
  <c r="H33" i="40" s="1"/>
  <c r="I43" i="40" s="1"/>
  <c r="J53" i="40" s="1"/>
  <c r="H12" i="34"/>
  <c r="D13" i="20"/>
  <c r="G12" i="40" s="1"/>
  <c r="H22" i="40" s="1"/>
  <c r="I33" i="40" s="1"/>
  <c r="J43" i="40" s="1"/>
  <c r="K53" i="40" s="1"/>
  <c r="I12" i="34"/>
  <c r="E13" i="20"/>
  <c r="H12" i="40" s="1"/>
  <c r="I22" i="40" s="1"/>
  <c r="J33" i="40" s="1"/>
  <c r="K43" i="40" s="1"/>
  <c r="L53" i="40" s="1"/>
  <c r="J12" i="34"/>
  <c r="F13" i="20"/>
  <c r="I12" i="40" s="1"/>
  <c r="K12" i="34"/>
  <c r="G13" i="20"/>
  <c r="J12" i="40" s="1"/>
  <c r="K22" i="40" s="1"/>
  <c r="L33" i="40" s="1"/>
  <c r="M43" i="40" s="1"/>
  <c r="L12" i="34"/>
  <c r="H13" i="20"/>
  <c r="K12" i="40" s="1"/>
  <c r="L22" i="40" s="1"/>
  <c r="M33" i="40" s="1"/>
  <c r="M12" i="34"/>
  <c r="I13" i="20"/>
  <c r="L12" i="40" s="1"/>
  <c r="M22" i="40" s="1"/>
  <c r="N12" i="34"/>
  <c r="J13" i="20"/>
  <c r="M12" i="40" s="1"/>
  <c r="E13" i="34"/>
  <c r="F13" i="34"/>
  <c r="B14" i="20"/>
  <c r="E13" i="40" s="1"/>
  <c r="F23" i="40" s="1"/>
  <c r="G34" i="40" s="1"/>
  <c r="H44" i="40" s="1"/>
  <c r="I54" i="40" s="1"/>
  <c r="G13" i="34"/>
  <c r="C14" i="20"/>
  <c r="F13" i="40" s="1"/>
  <c r="G23" i="40" s="1"/>
  <c r="H34" i="40" s="1"/>
  <c r="I44" i="40" s="1"/>
  <c r="J54" i="40" s="1"/>
  <c r="H13" i="34"/>
  <c r="D14" i="20"/>
  <c r="G13" i="40" s="1"/>
  <c r="H23" i="40" s="1"/>
  <c r="I34" i="40" s="1"/>
  <c r="J44" i="40" s="1"/>
  <c r="K54" i="40" s="1"/>
  <c r="I13" i="34"/>
  <c r="E14" i="20"/>
  <c r="H13" i="40" s="1"/>
  <c r="I23" i="40" s="1"/>
  <c r="J34" i="40" s="1"/>
  <c r="K44" i="40" s="1"/>
  <c r="L54" i="40" s="1"/>
  <c r="J13" i="34"/>
  <c r="F14" i="20"/>
  <c r="I13" i="40" s="1"/>
  <c r="J23" i="40" s="1"/>
  <c r="K34" i="40" s="1"/>
  <c r="L44" i="40" s="1"/>
  <c r="M54" i="40" s="1"/>
  <c r="K13" i="34"/>
  <c r="G14" i="20"/>
  <c r="J13" i="40" s="1"/>
  <c r="K23" i="40" s="1"/>
  <c r="L34" i="40" s="1"/>
  <c r="M44" i="40" s="1"/>
  <c r="L13" i="34"/>
  <c r="H14" i="20"/>
  <c r="K13" i="40" s="1"/>
  <c r="L23" i="40" s="1"/>
  <c r="M34" i="40" s="1"/>
  <c r="M13" i="34"/>
  <c r="I14" i="20"/>
  <c r="L13" i="40" s="1"/>
  <c r="M23" i="40" s="1"/>
  <c r="N13" i="34"/>
  <c r="J14" i="20"/>
  <c r="M13" i="40" s="1"/>
  <c r="K8" i="18"/>
  <c r="J8" i="18"/>
  <c r="I8" i="18"/>
  <c r="K38" i="40"/>
  <c r="L48" i="40" s="1"/>
  <c r="I9" i="18"/>
  <c r="H9" i="18"/>
  <c r="E53" i="40"/>
  <c r="E43" i="40"/>
  <c r="F53" i="40" s="1"/>
  <c r="E33" i="40"/>
  <c r="B14" i="44"/>
  <c r="Y38" i="48"/>
  <c r="W38" i="48" s="1"/>
  <c r="Y46" i="48"/>
  <c r="X46" i="48" s="1"/>
  <c r="Y37" i="48"/>
  <c r="X37" i="48" s="1"/>
  <c r="Y45" i="48"/>
  <c r="W45" i="48" s="1"/>
  <c r="Y35" i="48"/>
  <c r="Y43" i="48"/>
  <c r="Y51" i="48"/>
  <c r="Y60" i="48"/>
  <c r="Y69" i="48"/>
  <c r="S35" i="48"/>
  <c r="L108" i="48"/>
  <c r="J108" i="48"/>
  <c r="H108" i="48"/>
  <c r="F108" i="48"/>
  <c r="D108" i="48"/>
  <c r="D42" i="21"/>
  <c r="E42" i="21"/>
  <c r="F42" i="21"/>
  <c r="G42" i="21"/>
  <c r="H42" i="21"/>
  <c r="I42" i="21"/>
  <c r="J42" i="21"/>
  <c r="K42" i="21"/>
  <c r="C42" i="21"/>
  <c r="D37" i="50"/>
  <c r="C11" i="78"/>
  <c r="D11" i="78" s="1"/>
  <c r="F11" i="78" s="1"/>
  <c r="H11" i="78" s="1"/>
  <c r="J11" i="78" s="1"/>
  <c r="L11" i="78" s="1"/>
  <c r="C12" i="78"/>
  <c r="C13" i="78"/>
  <c r="S38" i="48"/>
  <c r="D92" i="48"/>
  <c r="D115" i="48" s="1"/>
  <c r="C13" i="25"/>
  <c r="C9" i="25"/>
  <c r="C10" i="25"/>
  <c r="C11" i="25"/>
  <c r="C12" i="25"/>
  <c r="C8" i="25"/>
  <c r="E13" i="25"/>
  <c r="E10" i="25"/>
  <c r="E11" i="25"/>
  <c r="E8" i="25"/>
  <c r="G13" i="25"/>
  <c r="G9" i="25"/>
  <c r="G10" i="25"/>
  <c r="G11" i="25"/>
  <c r="G12" i="25"/>
  <c r="G8" i="25"/>
  <c r="G120" i="53"/>
  <c r="B120" i="53"/>
  <c r="K47" i="55"/>
  <c r="I47" i="55"/>
  <c r="G47" i="55"/>
  <c r="E47" i="55"/>
  <c r="C47" i="55"/>
  <c r="L14" i="20"/>
  <c r="E14" i="11"/>
  <c r="G12" i="11" s="1"/>
  <c r="I43" i="16"/>
  <c r="G8" i="26" s="1"/>
  <c r="G7" i="25"/>
  <c r="G7" i="26" s="1"/>
  <c r="E7" i="26" s="1"/>
  <c r="C7" i="26" s="1"/>
  <c r="G7" i="18"/>
  <c r="F7" i="18" s="1"/>
  <c r="I6" i="20"/>
  <c r="G19" i="20" s="1"/>
  <c r="D9" i="19"/>
  <c r="E9" i="19"/>
  <c r="F9" i="19"/>
  <c r="G9" i="19"/>
  <c r="H9" i="19"/>
  <c r="I9" i="19"/>
  <c r="J9" i="19"/>
  <c r="K9" i="19"/>
  <c r="K8" i="19"/>
  <c r="J8" i="19"/>
  <c r="I8" i="19"/>
  <c r="H8" i="19"/>
  <c r="G8" i="19"/>
  <c r="F8" i="19"/>
  <c r="E8" i="19"/>
  <c r="D8" i="19"/>
  <c r="I3" i="9"/>
  <c r="I3" i="63"/>
  <c r="I3" i="58"/>
  <c r="I3" i="57"/>
  <c r="I3" i="56"/>
  <c r="I3" i="55"/>
  <c r="G3" i="52"/>
  <c r="F3" i="52"/>
  <c r="I3" i="54"/>
  <c r="H8" i="43"/>
  <c r="H120" i="53"/>
  <c r="E61" i="46"/>
  <c r="G12" i="46"/>
  <c r="G70" i="46" s="1"/>
  <c r="K85" i="42"/>
  <c r="G86" i="42"/>
  <c r="G82" i="42"/>
  <c r="D39" i="41"/>
  <c r="F39" i="41" s="1"/>
  <c r="D51" i="41"/>
  <c r="F51" i="41" s="1"/>
  <c r="H51" i="41" s="1"/>
  <c r="J51" i="41" s="1"/>
  <c r="B26" i="45"/>
  <c r="D33" i="45" s="1"/>
  <c r="D10" i="45"/>
  <c r="F10" i="45" s="1"/>
  <c r="H10" i="45" s="1"/>
  <c r="E10" i="42"/>
  <c r="E21" i="42" s="1"/>
  <c r="E34" i="44"/>
  <c r="E46" i="45" s="1"/>
  <c r="E54" i="42" s="1"/>
  <c r="D40" i="41"/>
  <c r="F40" i="41" s="1"/>
  <c r="D52" i="41"/>
  <c r="F52" i="41" s="1"/>
  <c r="H52" i="41" s="1"/>
  <c r="J52" i="41" s="1"/>
  <c r="D11" i="45"/>
  <c r="E11" i="42"/>
  <c r="E22" i="42" s="1"/>
  <c r="D43" i="41"/>
  <c r="D53" i="41"/>
  <c r="F53" i="41" s="1"/>
  <c r="H53" i="41" s="1"/>
  <c r="J53" i="41" s="1"/>
  <c r="D12" i="45"/>
  <c r="F12" i="45" s="1"/>
  <c r="E12" i="42"/>
  <c r="E23" i="42" s="1"/>
  <c r="D44" i="41"/>
  <c r="F44" i="41" s="1"/>
  <c r="D54" i="41"/>
  <c r="F54" i="41" s="1"/>
  <c r="H54" i="41" s="1"/>
  <c r="J54" i="41" s="1"/>
  <c r="D13" i="45"/>
  <c r="F13" i="45" s="1"/>
  <c r="E13" i="42"/>
  <c r="E24" i="42" s="1"/>
  <c r="D45" i="41"/>
  <c r="E14" i="42"/>
  <c r="D46" i="41"/>
  <c r="F46" i="41" s="1"/>
  <c r="D56" i="41"/>
  <c r="F56" i="41" s="1"/>
  <c r="H56" i="41" s="1"/>
  <c r="J56" i="41" s="1"/>
  <c r="F15" i="45"/>
  <c r="H15" i="45" s="1"/>
  <c r="J15" i="45" s="1"/>
  <c r="E15" i="42"/>
  <c r="E26" i="42" s="1"/>
  <c r="D18" i="45"/>
  <c r="F18" i="45" s="1"/>
  <c r="D19" i="45"/>
  <c r="F19" i="45" s="1"/>
  <c r="D20" i="45"/>
  <c r="F20" i="45" s="1"/>
  <c r="D21" i="45"/>
  <c r="F21" i="45" s="1"/>
  <c r="H21" i="45" s="1"/>
  <c r="F23" i="45"/>
  <c r="H23" i="45" s="1"/>
  <c r="J23" i="45" s="1"/>
  <c r="S43" i="16"/>
  <c r="K27" i="43" s="1"/>
  <c r="E319" i="52" s="1"/>
  <c r="E7" i="36"/>
  <c r="F7" i="36"/>
  <c r="G7" i="36"/>
  <c r="H7" i="36"/>
  <c r="I7" i="36"/>
  <c r="J7" i="36"/>
  <c r="K7" i="36"/>
  <c r="L7" i="36"/>
  <c r="M7" i="36"/>
  <c r="N7" i="36"/>
  <c r="E8" i="36"/>
  <c r="F8" i="36"/>
  <c r="G8" i="36"/>
  <c r="H8" i="36"/>
  <c r="I8" i="36"/>
  <c r="J8" i="36"/>
  <c r="K8" i="36"/>
  <c r="L8" i="36"/>
  <c r="M8" i="36"/>
  <c r="N8" i="36"/>
  <c r="E9" i="36"/>
  <c r="F9" i="36"/>
  <c r="G9" i="36"/>
  <c r="H9" i="36"/>
  <c r="I9" i="36"/>
  <c r="J9" i="36"/>
  <c r="K9" i="36"/>
  <c r="L9" i="36"/>
  <c r="M9" i="36"/>
  <c r="N9" i="36"/>
  <c r="E10" i="36"/>
  <c r="F10" i="36"/>
  <c r="G10" i="36"/>
  <c r="H10" i="36"/>
  <c r="I10" i="36"/>
  <c r="J10" i="36"/>
  <c r="K10" i="36"/>
  <c r="L10" i="36"/>
  <c r="M10" i="36"/>
  <c r="N10" i="36"/>
  <c r="E11" i="36"/>
  <c r="F11" i="36"/>
  <c r="G11" i="36"/>
  <c r="H11" i="36"/>
  <c r="I11" i="36"/>
  <c r="J11" i="36"/>
  <c r="K11" i="36"/>
  <c r="L11" i="36"/>
  <c r="M11" i="36"/>
  <c r="N11" i="36"/>
  <c r="E12" i="36"/>
  <c r="F12" i="36"/>
  <c r="G12" i="36"/>
  <c r="H12" i="36"/>
  <c r="I12" i="36"/>
  <c r="J12" i="36"/>
  <c r="K12" i="36"/>
  <c r="L12" i="36"/>
  <c r="M12" i="36"/>
  <c r="N12" i="36"/>
  <c r="E13" i="36"/>
  <c r="F13" i="36"/>
  <c r="G13" i="36"/>
  <c r="H13" i="36"/>
  <c r="I13" i="36"/>
  <c r="J13" i="36"/>
  <c r="K13" i="36"/>
  <c r="L13" i="36"/>
  <c r="M13" i="36"/>
  <c r="N13" i="36"/>
  <c r="D84" i="45"/>
  <c r="F84" i="45" s="1"/>
  <c r="H84" i="45" s="1"/>
  <c r="J84" i="45" s="1"/>
  <c r="B56" i="47"/>
  <c r="E41" i="47" s="1"/>
  <c r="C129" i="53" s="1"/>
  <c r="E56" i="78"/>
  <c r="G56" i="78" s="1"/>
  <c r="I56" i="78" s="1"/>
  <c r="K56" i="78" s="1"/>
  <c r="Q43" i="16"/>
  <c r="I27" i="43" s="1"/>
  <c r="O43" i="16"/>
  <c r="G27" i="43" s="1"/>
  <c r="D94" i="53" s="1"/>
  <c r="M43" i="16"/>
  <c r="E25" i="44" s="1"/>
  <c r="E39" i="78"/>
  <c r="G39" i="78" s="1"/>
  <c r="C32" i="58"/>
  <c r="E31" i="58"/>
  <c r="C31" i="58"/>
  <c r="C21" i="42"/>
  <c r="C22" i="42"/>
  <c r="C23" i="42"/>
  <c r="C24" i="42"/>
  <c r="C25" i="42"/>
  <c r="C26" i="42"/>
  <c r="E63" i="78"/>
  <c r="G63" i="78" s="1"/>
  <c r="L65" i="48"/>
  <c r="J65" i="48"/>
  <c r="H65" i="48"/>
  <c r="F65" i="48"/>
  <c r="K52" i="50"/>
  <c r="M52" i="50" s="1"/>
  <c r="D300" i="52"/>
  <c r="D301" i="52" s="1"/>
  <c r="G53" i="50"/>
  <c r="I53" i="50" s="1"/>
  <c r="K53" i="50" s="1"/>
  <c r="M53" i="50" s="1"/>
  <c r="C54" i="50"/>
  <c r="C52" i="50"/>
  <c r="C54" i="48"/>
  <c r="C9" i="78" s="1"/>
  <c r="Y20" i="48"/>
  <c r="W20" i="48" s="1"/>
  <c r="C65" i="48"/>
  <c r="C10" i="78" s="1"/>
  <c r="Y32" i="48"/>
  <c r="S32" i="48"/>
  <c r="Y33" i="48"/>
  <c r="U33" i="48" s="1"/>
  <c r="S33" i="48"/>
  <c r="Y34" i="48"/>
  <c r="S34" i="48"/>
  <c r="V34" i="48" s="1"/>
  <c r="Y36" i="48"/>
  <c r="S36" i="48"/>
  <c r="S37" i="48"/>
  <c r="T37" i="48"/>
  <c r="D91" i="48"/>
  <c r="D114" i="48" s="1"/>
  <c r="D65" i="48"/>
  <c r="D63" i="78" s="1"/>
  <c r="D70" i="78" s="1"/>
  <c r="C22" i="48"/>
  <c r="C26" i="48" s="1"/>
  <c r="D22" i="48"/>
  <c r="D26" i="48" s="1"/>
  <c r="D12" i="78"/>
  <c r="D13" i="78"/>
  <c r="C83" i="45"/>
  <c r="K43" i="16"/>
  <c r="C25" i="44" s="1"/>
  <c r="C41" i="44" s="1"/>
  <c r="D30" i="78"/>
  <c r="K43" i="43"/>
  <c r="I43" i="43"/>
  <c r="G43" i="43"/>
  <c r="E43" i="43"/>
  <c r="C43" i="43"/>
  <c r="D29" i="78" s="1"/>
  <c r="E35" i="44"/>
  <c r="G35" i="44" s="1"/>
  <c r="K37" i="43"/>
  <c r="I37" i="43"/>
  <c r="G37" i="43"/>
  <c r="E37" i="43"/>
  <c r="C37" i="43"/>
  <c r="K46" i="42"/>
  <c r="K47" i="42"/>
  <c r="I46" i="42"/>
  <c r="I49" i="55" s="1"/>
  <c r="I80" i="61" s="1"/>
  <c r="I47" i="42"/>
  <c r="G46" i="42"/>
  <c r="G49" i="55" s="1"/>
  <c r="G80" i="61" s="1"/>
  <c r="G47" i="42"/>
  <c r="E46" i="42"/>
  <c r="E49" i="55" s="1"/>
  <c r="E80" i="61" s="1"/>
  <c r="E47" i="42"/>
  <c r="C46" i="42"/>
  <c r="C49" i="55" s="1"/>
  <c r="C80" i="61" s="1"/>
  <c r="C47" i="42"/>
  <c r="F56" i="2"/>
  <c r="L75" i="78"/>
  <c r="J75" i="78"/>
  <c r="H75" i="78"/>
  <c r="F75" i="78"/>
  <c r="D75" i="78"/>
  <c r="E51" i="78"/>
  <c r="E53" i="78"/>
  <c r="G53" i="78" s="1"/>
  <c r="I53" i="78" s="1"/>
  <c r="K53" i="78" s="1"/>
  <c r="E52" i="78"/>
  <c r="G52" i="78" s="1"/>
  <c r="I52" i="78" s="1"/>
  <c r="K52" i="78" s="1"/>
  <c r="E50" i="78"/>
  <c r="G50" i="78" s="1"/>
  <c r="I50" i="78" s="1"/>
  <c r="K50" i="78" s="1"/>
  <c r="E49" i="78"/>
  <c r="G49" i="78" s="1"/>
  <c r="I49" i="78" s="1"/>
  <c r="K49" i="78" s="1"/>
  <c r="E48" i="78"/>
  <c r="G48" i="78" s="1"/>
  <c r="I48" i="78" s="1"/>
  <c r="K48" i="78" s="1"/>
  <c r="L32" i="78"/>
  <c r="J32" i="78"/>
  <c r="H32" i="78"/>
  <c r="F32" i="78"/>
  <c r="D32" i="78"/>
  <c r="E31" i="78"/>
  <c r="G31" i="78" s="1"/>
  <c r="I31" i="78" s="1"/>
  <c r="K31" i="78" s="1"/>
  <c r="E30" i="78"/>
  <c r="F30" i="78" s="1"/>
  <c r="E29" i="78"/>
  <c r="G29" i="78" s="1"/>
  <c r="I29" i="78" s="1"/>
  <c r="J29" i="78" s="1"/>
  <c r="E28" i="78"/>
  <c r="G28" i="78" s="1"/>
  <c r="I28" i="78" s="1"/>
  <c r="K28" i="78" s="1"/>
  <c r="E27" i="78"/>
  <c r="G27" i="78" s="1"/>
  <c r="I27" i="78" s="1"/>
  <c r="K27" i="78" s="1"/>
  <c r="E26" i="78"/>
  <c r="G26" i="78" s="1"/>
  <c r="I26" i="78" s="1"/>
  <c r="K26" i="78" s="1"/>
  <c r="E25" i="78"/>
  <c r="G25" i="78" s="1"/>
  <c r="I25" i="78" s="1"/>
  <c r="K25" i="78" s="1"/>
  <c r="E24" i="78"/>
  <c r="G24" i="78" s="1"/>
  <c r="I24" i="78" s="1"/>
  <c r="K24" i="78" s="1"/>
  <c r="E23" i="78"/>
  <c r="G23" i="78" s="1"/>
  <c r="I23" i="78" s="1"/>
  <c r="K23" i="78" s="1"/>
  <c r="Y21" i="48"/>
  <c r="X21" i="48" s="1"/>
  <c r="Y22" i="48"/>
  <c r="Y23" i="48"/>
  <c r="X20" i="48"/>
  <c r="Y24" i="48"/>
  <c r="Y40" i="48"/>
  <c r="Y41" i="48"/>
  <c r="S41" i="48"/>
  <c r="Y42" i="48"/>
  <c r="S42" i="48"/>
  <c r="S43" i="48"/>
  <c r="Y44" i="48"/>
  <c r="F22" i="48"/>
  <c r="F26" i="48" s="1"/>
  <c r="Y48" i="48"/>
  <c r="Y49" i="48"/>
  <c r="S49" i="48"/>
  <c r="Y50" i="48"/>
  <c r="S50" i="48"/>
  <c r="S51" i="48"/>
  <c r="Y52" i="48"/>
  <c r="Y54" i="48"/>
  <c r="V54" i="48" s="1"/>
  <c r="Y53" i="48"/>
  <c r="H22" i="48"/>
  <c r="Y57" i="48"/>
  <c r="W33" i="48"/>
  <c r="Y58" i="48"/>
  <c r="S58" i="48"/>
  <c r="Y59" i="48"/>
  <c r="S59" i="48"/>
  <c r="S60" i="48"/>
  <c r="W60" i="48" s="1"/>
  <c r="Y61" i="48"/>
  <c r="Y63" i="48"/>
  <c r="X63" i="48" s="1"/>
  <c r="J22" i="48"/>
  <c r="Y66" i="48"/>
  <c r="X33" i="48"/>
  <c r="Y67" i="48"/>
  <c r="S67" i="48"/>
  <c r="Y68" i="48"/>
  <c r="S68" i="48"/>
  <c r="S69" i="48"/>
  <c r="Y70" i="48"/>
  <c r="Y71" i="48"/>
  <c r="Y72" i="48"/>
  <c r="L22" i="48"/>
  <c r="L26" i="48" s="1"/>
  <c r="L3" i="78"/>
  <c r="J3" i="78"/>
  <c r="I3" i="78"/>
  <c r="G3" i="78"/>
  <c r="B3" i="78"/>
  <c r="B3" i="77"/>
  <c r="F3" i="77"/>
  <c r="H3" i="77"/>
  <c r="K3" i="77"/>
  <c r="F9" i="18"/>
  <c r="E25" i="16"/>
  <c r="F25" i="16" s="1"/>
  <c r="G25" i="16" s="1"/>
  <c r="H25" i="16" s="1"/>
  <c r="I25" i="16" s="1"/>
  <c r="J25" i="16" s="1"/>
  <c r="K25" i="16" s="1"/>
  <c r="L25" i="16" s="1"/>
  <c r="M25" i="16" s="1"/>
  <c r="N25" i="16" s="1"/>
  <c r="O25" i="16" s="1"/>
  <c r="P25" i="16" s="1"/>
  <c r="Q25" i="16" s="1"/>
  <c r="R25" i="16" s="1"/>
  <c r="S25" i="16" s="1"/>
  <c r="K40" i="16"/>
  <c r="K9" i="16" s="1"/>
  <c r="N9" i="16" s="1"/>
  <c r="B67" i="46"/>
  <c r="B78" i="46" s="1"/>
  <c r="B87" i="46"/>
  <c r="B101" i="46" s="1"/>
  <c r="B119" i="46" s="1"/>
  <c r="I16" i="45"/>
  <c r="I17" i="45"/>
  <c r="G16" i="45"/>
  <c r="G17" i="45"/>
  <c r="B3" i="63"/>
  <c r="F3" i="63"/>
  <c r="H3" i="63"/>
  <c r="K3" i="63"/>
  <c r="A1" i="61"/>
  <c r="B3" i="61"/>
  <c r="F3" i="61"/>
  <c r="H3" i="61"/>
  <c r="K3" i="61"/>
  <c r="F35" i="52"/>
  <c r="E35" i="52"/>
  <c r="G35" i="52"/>
  <c r="C12" i="46"/>
  <c r="C70" i="46" s="1"/>
  <c r="B171" i="46"/>
  <c r="C67" i="46"/>
  <c r="C69" i="46" s="1"/>
  <c r="C14" i="46"/>
  <c r="C90" i="46" s="1"/>
  <c r="C19" i="46"/>
  <c r="C140" i="46" s="1"/>
  <c r="C137" i="46"/>
  <c r="C139" i="46" s="1"/>
  <c r="C20" i="46"/>
  <c r="C149" i="46" s="1"/>
  <c r="B49" i="46"/>
  <c r="C49" i="46" s="1"/>
  <c r="C51" i="46" s="1"/>
  <c r="C21" i="46"/>
  <c r="C158" i="46" s="1"/>
  <c r="C22" i="46"/>
  <c r="C167" i="46" s="1"/>
  <c r="B164" i="46"/>
  <c r="C164" i="46" s="1"/>
  <c r="C166" i="46" s="1"/>
  <c r="C17" i="46"/>
  <c r="C122" i="46" s="1"/>
  <c r="C18" i="46"/>
  <c r="C131" i="46" s="1"/>
  <c r="B128" i="46"/>
  <c r="C128" i="46" s="1"/>
  <c r="C130" i="46" s="1"/>
  <c r="C34" i="46"/>
  <c r="C31" i="46"/>
  <c r="C33" i="46" s="1"/>
  <c r="C43" i="46"/>
  <c r="C40" i="46"/>
  <c r="C42" i="46" s="1"/>
  <c r="C52" i="46"/>
  <c r="B58" i="46"/>
  <c r="C58" i="46" s="1"/>
  <c r="C60" i="46" s="1"/>
  <c r="C61" i="46"/>
  <c r="B60" i="52"/>
  <c r="B62" i="53" s="1"/>
  <c r="C60" i="52"/>
  <c r="D60" i="52"/>
  <c r="E60" i="52"/>
  <c r="D118" i="48"/>
  <c r="F112" i="52"/>
  <c r="E76" i="46"/>
  <c r="G76" i="46" s="1"/>
  <c r="I76" i="46" s="1"/>
  <c r="K76" i="46" s="1"/>
  <c r="E79" i="46"/>
  <c r="G79" i="46" s="1"/>
  <c r="I79" i="46" s="1"/>
  <c r="K79" i="46" s="1"/>
  <c r="E70" i="42"/>
  <c r="E53" i="45" s="1"/>
  <c r="E12" i="46"/>
  <c r="E70" i="46" s="1"/>
  <c r="E66" i="46"/>
  <c r="E68" i="46"/>
  <c r="G68" i="46" s="1"/>
  <c r="I68" i="46" s="1"/>
  <c r="K68" i="46" s="1"/>
  <c r="E14" i="46"/>
  <c r="E90" i="46" s="1"/>
  <c r="E86" i="46"/>
  <c r="G86" i="46" s="1"/>
  <c r="I86" i="46" s="1"/>
  <c r="E88" i="46"/>
  <c r="G88" i="46" s="1"/>
  <c r="I88" i="46" s="1"/>
  <c r="K88" i="46" s="1"/>
  <c r="E19" i="46"/>
  <c r="E140" i="46" s="1"/>
  <c r="E136" i="46"/>
  <c r="G136" i="46" s="1"/>
  <c r="G137" i="46" s="1"/>
  <c r="E138" i="46"/>
  <c r="G138" i="46" s="1"/>
  <c r="I138" i="46" s="1"/>
  <c r="K138" i="46" s="1"/>
  <c r="E20" i="46"/>
  <c r="E149" i="46" s="1"/>
  <c r="E145" i="46"/>
  <c r="G145" i="46" s="1"/>
  <c r="E147" i="46"/>
  <c r="G147" i="46" s="1"/>
  <c r="I147" i="46" s="1"/>
  <c r="K147" i="46" s="1"/>
  <c r="E21" i="46"/>
  <c r="E158" i="46" s="1"/>
  <c r="E154" i="46"/>
  <c r="E156" i="46"/>
  <c r="G156" i="46" s="1"/>
  <c r="I156" i="46" s="1"/>
  <c r="K156" i="46" s="1"/>
  <c r="E22" i="46"/>
  <c r="E167" i="46" s="1"/>
  <c r="E163" i="46"/>
  <c r="E165" i="46"/>
  <c r="G165" i="46" s="1"/>
  <c r="I165" i="46" s="1"/>
  <c r="K165" i="46" s="1"/>
  <c r="E18" i="46"/>
  <c r="E131" i="46" s="1"/>
  <c r="E127" i="46"/>
  <c r="G127" i="46" s="1"/>
  <c r="E129" i="46"/>
  <c r="G129" i="46" s="1"/>
  <c r="I129" i="46" s="1"/>
  <c r="K129" i="46" s="1"/>
  <c r="E17" i="46"/>
  <c r="E122" i="46" s="1"/>
  <c r="E118" i="46"/>
  <c r="G118" i="46" s="1"/>
  <c r="I118" i="46" s="1"/>
  <c r="K118" i="46" s="1"/>
  <c r="E120" i="46"/>
  <c r="G120" i="46" s="1"/>
  <c r="I120" i="46" s="1"/>
  <c r="K120" i="46" s="1"/>
  <c r="E8" i="46"/>
  <c r="E34" i="46" s="1"/>
  <c r="E30" i="46"/>
  <c r="E31" i="46" s="1"/>
  <c r="E32" i="46"/>
  <c r="G32" i="46" s="1"/>
  <c r="I32" i="46" s="1"/>
  <c r="K32" i="46" s="1"/>
  <c r="E9" i="46"/>
  <c r="E43" i="46"/>
  <c r="E39" i="46"/>
  <c r="E40" i="46" s="1"/>
  <c r="E41" i="46"/>
  <c r="G41" i="46" s="1"/>
  <c r="I41" i="46" s="1"/>
  <c r="K41" i="46" s="1"/>
  <c r="E10" i="46"/>
  <c r="G10" i="46" s="1"/>
  <c r="G52" i="46" s="1"/>
  <c r="E52" i="46"/>
  <c r="E48" i="46"/>
  <c r="G48" i="46" s="1"/>
  <c r="I48" i="46" s="1"/>
  <c r="E50" i="46"/>
  <c r="E57" i="46"/>
  <c r="E59" i="46"/>
  <c r="G59" i="46" s="1"/>
  <c r="I59" i="46" s="1"/>
  <c r="K59" i="46" s="1"/>
  <c r="B137" i="52"/>
  <c r="C62" i="53" s="1"/>
  <c r="C137" i="52"/>
  <c r="D137" i="52"/>
  <c r="E137" i="52"/>
  <c r="F118" i="48"/>
  <c r="G19" i="46"/>
  <c r="G140" i="46" s="1"/>
  <c r="G20" i="46"/>
  <c r="G149" i="46" s="1"/>
  <c r="G21" i="46"/>
  <c r="G158" i="46" s="1"/>
  <c r="G22" i="46"/>
  <c r="G167" i="46" s="1"/>
  <c r="G18" i="46"/>
  <c r="G131" i="46" s="1"/>
  <c r="G17" i="46"/>
  <c r="G122" i="46" s="1"/>
  <c r="G8" i="46"/>
  <c r="G34" i="46" s="1"/>
  <c r="G9" i="46"/>
  <c r="G43" i="46" s="1"/>
  <c r="B214" i="52"/>
  <c r="D62" i="53" s="1"/>
  <c r="C214" i="52"/>
  <c r="D214" i="52"/>
  <c r="E214" i="52"/>
  <c r="H118" i="48"/>
  <c r="I19" i="46"/>
  <c r="I140" i="46" s="1"/>
  <c r="I20" i="46"/>
  <c r="I149" i="46" s="1"/>
  <c r="I21" i="46"/>
  <c r="I158" i="46" s="1"/>
  <c r="I22" i="46"/>
  <c r="I167" i="46" s="1"/>
  <c r="I18" i="46"/>
  <c r="I131" i="46" s="1"/>
  <c r="I17" i="46"/>
  <c r="I122" i="46" s="1"/>
  <c r="I8" i="46"/>
  <c r="I34" i="46" s="1"/>
  <c r="I9" i="46"/>
  <c r="I43" i="46" s="1"/>
  <c r="B291" i="52"/>
  <c r="E62" i="53" s="1"/>
  <c r="C291" i="52"/>
  <c r="D291" i="52"/>
  <c r="E291" i="52"/>
  <c r="J118" i="48"/>
  <c r="K19" i="46"/>
  <c r="K140" i="46" s="1"/>
  <c r="K20" i="46"/>
  <c r="K149" i="46" s="1"/>
  <c r="K21" i="46"/>
  <c r="K158" i="46" s="1"/>
  <c r="K22" i="46"/>
  <c r="K167" i="46" s="1"/>
  <c r="K18" i="46"/>
  <c r="K131" i="46" s="1"/>
  <c r="K17" i="46"/>
  <c r="K122" i="46" s="1"/>
  <c r="K8" i="46"/>
  <c r="K34" i="46" s="1"/>
  <c r="K9" i="46"/>
  <c r="K43" i="46" s="1"/>
  <c r="B368" i="52"/>
  <c r="F62" i="53" s="1"/>
  <c r="C368" i="52"/>
  <c r="D368" i="52"/>
  <c r="E368" i="52"/>
  <c r="L118" i="48"/>
  <c r="A38" i="61"/>
  <c r="A40" i="61"/>
  <c r="A41" i="61"/>
  <c r="A42" i="61"/>
  <c r="A43" i="61"/>
  <c r="A44" i="61"/>
  <c r="A45" i="61"/>
  <c r="A46" i="61"/>
  <c r="A47" i="61"/>
  <c r="A48" i="61"/>
  <c r="A49" i="61"/>
  <c r="A50" i="61"/>
  <c r="A51" i="61"/>
  <c r="A52" i="61"/>
  <c r="A53" i="61"/>
  <c r="C53" i="61"/>
  <c r="E53" i="61"/>
  <c r="G53" i="61"/>
  <c r="I53" i="61"/>
  <c r="K53" i="61"/>
  <c r="A54" i="61"/>
  <c r="A55" i="61"/>
  <c r="A56" i="61"/>
  <c r="A57" i="61"/>
  <c r="A58" i="61"/>
  <c r="A61" i="61"/>
  <c r="A63" i="61"/>
  <c r="A64" i="61"/>
  <c r="A65" i="61"/>
  <c r="A66" i="61"/>
  <c r="D67" i="45"/>
  <c r="F67" i="45" s="1"/>
  <c r="H67" i="45" s="1"/>
  <c r="J67" i="45" s="1"/>
  <c r="A67" i="61"/>
  <c r="A68" i="61"/>
  <c r="A69" i="61"/>
  <c r="A70" i="61"/>
  <c r="A71" i="61"/>
  <c r="A74" i="61"/>
  <c r="A76" i="61"/>
  <c r="A77" i="61"/>
  <c r="A78" i="61"/>
  <c r="A79" i="61"/>
  <c r="A80" i="61"/>
  <c r="A81" i="61"/>
  <c r="G62" i="53"/>
  <c r="H62" i="53"/>
  <c r="I62" i="53"/>
  <c r="J62" i="53"/>
  <c r="K62" i="53"/>
  <c r="A82" i="61"/>
  <c r="A83" i="61"/>
  <c r="A84" i="61"/>
  <c r="A87" i="61"/>
  <c r="A89" i="61"/>
  <c r="A90" i="61"/>
  <c r="A91" i="61"/>
  <c r="A92" i="61"/>
  <c r="A93" i="61"/>
  <c r="A94" i="61"/>
  <c r="A95" i="61"/>
  <c r="M62" i="53"/>
  <c r="A98" i="61"/>
  <c r="A100" i="61"/>
  <c r="A101" i="61"/>
  <c r="A102" i="61"/>
  <c r="A103" i="61"/>
  <c r="A104" i="61"/>
  <c r="A105" i="61"/>
  <c r="A106" i="61"/>
  <c r="C57" i="43"/>
  <c r="E57" i="43"/>
  <c r="G57" i="43"/>
  <c r="I57" i="43"/>
  <c r="K57" i="43"/>
  <c r="A109" i="61"/>
  <c r="A111" i="61"/>
  <c r="A112" i="61"/>
  <c r="C15" i="46"/>
  <c r="C104" i="46" s="1"/>
  <c r="C16" i="46"/>
  <c r="C113" i="46" s="1"/>
  <c r="C99" i="45"/>
  <c r="C100" i="45"/>
  <c r="C101" i="45"/>
  <c r="E15" i="46"/>
  <c r="E104" i="46" s="1"/>
  <c r="E100" i="46"/>
  <c r="E102" i="46"/>
  <c r="E109" i="46"/>
  <c r="G109" i="46" s="1"/>
  <c r="I109" i="46" s="1"/>
  <c r="I110" i="46" s="1"/>
  <c r="E111" i="46"/>
  <c r="G111" i="46" s="1"/>
  <c r="I111" i="46" s="1"/>
  <c r="K111" i="46" s="1"/>
  <c r="E16" i="46"/>
  <c r="E113" i="46" s="1"/>
  <c r="D99" i="45"/>
  <c r="E99" i="45" s="1"/>
  <c r="D100" i="45"/>
  <c r="D101" i="45"/>
  <c r="E101" i="45" s="1"/>
  <c r="G15" i="46"/>
  <c r="G104" i="46" s="1"/>
  <c r="G16" i="46"/>
  <c r="G113" i="46" s="1"/>
  <c r="I15" i="46"/>
  <c r="I104" i="46" s="1"/>
  <c r="I16" i="46"/>
  <c r="I113" i="46" s="1"/>
  <c r="K15" i="46"/>
  <c r="K104" i="46" s="1"/>
  <c r="K16" i="46"/>
  <c r="K113" i="46" s="1"/>
  <c r="A113" i="61"/>
  <c r="A114" i="61"/>
  <c r="A115" i="61"/>
  <c r="C71" i="44"/>
  <c r="E71" i="44"/>
  <c r="G71" i="44"/>
  <c r="I71" i="44"/>
  <c r="K71" i="44"/>
  <c r="A118" i="61"/>
  <c r="A120" i="61"/>
  <c r="A121" i="61"/>
  <c r="B3" i="60"/>
  <c r="F3" i="60"/>
  <c r="H3" i="60"/>
  <c r="I3" i="60"/>
  <c r="K3" i="60"/>
  <c r="B3" i="59"/>
  <c r="F3" i="59"/>
  <c r="H3" i="59"/>
  <c r="K3" i="59"/>
  <c r="B12" i="56"/>
  <c r="C12" i="56" s="1"/>
  <c r="B13" i="56"/>
  <c r="B14" i="56"/>
  <c r="B15" i="56"/>
  <c r="B16" i="56"/>
  <c r="B17" i="56"/>
  <c r="B18" i="56"/>
  <c r="C18" i="56" s="1"/>
  <c r="B19" i="56"/>
  <c r="B22" i="56"/>
  <c r="C9" i="57"/>
  <c r="E20" i="50"/>
  <c r="C11" i="57" s="1"/>
  <c r="C13" i="57"/>
  <c r="G18" i="50"/>
  <c r="G21" i="50"/>
  <c r="E13" i="57" s="1"/>
  <c r="C28" i="57"/>
  <c r="E32" i="50"/>
  <c r="G32" i="50" s="1"/>
  <c r="I32" i="50" s="1"/>
  <c r="K32" i="50" s="1"/>
  <c r="M32" i="50" s="1"/>
  <c r="E28" i="57"/>
  <c r="G28" i="57"/>
  <c r="I28" i="57"/>
  <c r="D25" i="50"/>
  <c r="B3" i="58"/>
  <c r="F3" i="58"/>
  <c r="H3" i="58"/>
  <c r="K3" i="58"/>
  <c r="E49" i="58"/>
  <c r="G49" i="58"/>
  <c r="I49" i="58"/>
  <c r="K49" i="58"/>
  <c r="C60" i="44"/>
  <c r="C51" i="58" s="1"/>
  <c r="E60" i="44"/>
  <c r="E51" i="58" s="1"/>
  <c r="G60" i="44"/>
  <c r="G51" i="58" s="1"/>
  <c r="I60" i="44"/>
  <c r="I51" i="58" s="1"/>
  <c r="K60" i="44"/>
  <c r="K51" i="58" s="1"/>
  <c r="E57" i="44"/>
  <c r="D78" i="45"/>
  <c r="F78" i="45" s="1"/>
  <c r="H78" i="45" s="1"/>
  <c r="J78" i="45" s="1"/>
  <c r="F79" i="45"/>
  <c r="H79" i="45" s="1"/>
  <c r="G57" i="44"/>
  <c r="I57" i="44"/>
  <c r="K57" i="44"/>
  <c r="B3" i="57"/>
  <c r="F3" i="57"/>
  <c r="H3" i="57"/>
  <c r="K3" i="57"/>
  <c r="C17" i="57"/>
  <c r="B33" i="56"/>
  <c r="B34" i="56"/>
  <c r="B3" i="56"/>
  <c r="F3" i="56"/>
  <c r="H3" i="56"/>
  <c r="K3" i="56"/>
  <c r="C6" i="56"/>
  <c r="B3" i="55"/>
  <c r="F3" i="55"/>
  <c r="H3" i="55"/>
  <c r="K3" i="55"/>
  <c r="L20" i="55"/>
  <c r="M20" i="55"/>
  <c r="N20" i="55"/>
  <c r="O20" i="55"/>
  <c r="P20" i="55"/>
  <c r="Q20" i="55"/>
  <c r="R20" i="55"/>
  <c r="S20" i="55"/>
  <c r="T20" i="55"/>
  <c r="U20" i="55"/>
  <c r="V20" i="55"/>
  <c r="W20" i="55"/>
  <c r="X20" i="55"/>
  <c r="Y20" i="55"/>
  <c r="Z20" i="55"/>
  <c r="AA20" i="55"/>
  <c r="AB20" i="55"/>
  <c r="AC20" i="55"/>
  <c r="AD20" i="55"/>
  <c r="AE20" i="55"/>
  <c r="AF20" i="55"/>
  <c r="AG20" i="55"/>
  <c r="AH20" i="55"/>
  <c r="AI20" i="55"/>
  <c r="AJ20" i="55"/>
  <c r="AK20" i="55"/>
  <c r="AL20" i="55"/>
  <c r="AM20" i="55"/>
  <c r="AN20" i="55"/>
  <c r="AO20" i="55"/>
  <c r="AP20" i="55"/>
  <c r="AQ20" i="55"/>
  <c r="AR20" i="55"/>
  <c r="AS20" i="55"/>
  <c r="AT20" i="55"/>
  <c r="AU20" i="55"/>
  <c r="AV20" i="55"/>
  <c r="AW20" i="55"/>
  <c r="AX20" i="55"/>
  <c r="AY20" i="55"/>
  <c r="AZ20" i="55"/>
  <c r="BA20" i="55"/>
  <c r="BB20" i="55"/>
  <c r="BC20" i="55"/>
  <c r="BD20" i="55"/>
  <c r="BE20" i="55"/>
  <c r="BF20" i="55"/>
  <c r="BG20" i="55"/>
  <c r="BH20" i="55"/>
  <c r="BI20" i="55"/>
  <c r="BJ20" i="55"/>
  <c r="BK20" i="55"/>
  <c r="BL20" i="55"/>
  <c r="BM20" i="55"/>
  <c r="BN20" i="55"/>
  <c r="BO20" i="55"/>
  <c r="BP20" i="55"/>
  <c r="BQ20" i="55"/>
  <c r="BR20" i="55"/>
  <c r="BS20" i="55"/>
  <c r="BT20" i="55"/>
  <c r="BU20" i="55"/>
  <c r="BV20" i="55"/>
  <c r="BW20" i="55"/>
  <c r="BX20" i="55"/>
  <c r="BY20" i="55"/>
  <c r="BZ20" i="55"/>
  <c r="CA20" i="55"/>
  <c r="CB20" i="55"/>
  <c r="CC20" i="55"/>
  <c r="CD20" i="55"/>
  <c r="CE20" i="55"/>
  <c r="CF20" i="55"/>
  <c r="CG20" i="55"/>
  <c r="CH20" i="55"/>
  <c r="CI20" i="55"/>
  <c r="CJ20" i="55"/>
  <c r="CK20" i="55"/>
  <c r="CL20" i="55"/>
  <c r="CM20" i="55"/>
  <c r="CN20" i="55"/>
  <c r="CO20" i="55"/>
  <c r="CP20" i="55"/>
  <c r="CQ20" i="55"/>
  <c r="CR20" i="55"/>
  <c r="CS20" i="55"/>
  <c r="CT20" i="55"/>
  <c r="CU20" i="55"/>
  <c r="CV20" i="55"/>
  <c r="CW20" i="55"/>
  <c r="CX20" i="55"/>
  <c r="CY20" i="55"/>
  <c r="CZ20" i="55"/>
  <c r="DA20" i="55"/>
  <c r="DB20" i="55"/>
  <c r="DC20" i="55"/>
  <c r="DD20" i="55"/>
  <c r="DE20" i="55"/>
  <c r="DF20" i="55"/>
  <c r="DG20" i="55"/>
  <c r="DH20" i="55"/>
  <c r="DI20" i="55"/>
  <c r="DJ20" i="55"/>
  <c r="DK20" i="55"/>
  <c r="DL20" i="55"/>
  <c r="DM20" i="55"/>
  <c r="DN20" i="55"/>
  <c r="DO20" i="55"/>
  <c r="DP20" i="55"/>
  <c r="DQ20" i="55"/>
  <c r="DR20" i="55"/>
  <c r="DS20" i="55"/>
  <c r="DT20" i="55"/>
  <c r="DU20" i="55"/>
  <c r="DV20" i="55"/>
  <c r="DW20" i="55"/>
  <c r="DX20" i="55"/>
  <c r="DY20" i="55"/>
  <c r="DZ20" i="55"/>
  <c r="EA20" i="55"/>
  <c r="EB20" i="55"/>
  <c r="EC20" i="55"/>
  <c r="ED20" i="55"/>
  <c r="EE20" i="55"/>
  <c r="EF20" i="55"/>
  <c r="EG20" i="55"/>
  <c r="EH20" i="55"/>
  <c r="EI20" i="55"/>
  <c r="EJ20" i="55"/>
  <c r="EK20" i="55"/>
  <c r="EL20" i="55"/>
  <c r="EM20" i="55"/>
  <c r="EN20" i="55"/>
  <c r="EO20" i="55"/>
  <c r="EP20" i="55"/>
  <c r="EQ20" i="55"/>
  <c r="ER20" i="55"/>
  <c r="ES20" i="55"/>
  <c r="ET20" i="55"/>
  <c r="EU20" i="55"/>
  <c r="EV20" i="55"/>
  <c r="EW20" i="55"/>
  <c r="EX20" i="55"/>
  <c r="EY20" i="55"/>
  <c r="EZ20" i="55"/>
  <c r="FA20" i="55"/>
  <c r="FB20" i="55"/>
  <c r="FC20" i="55"/>
  <c r="FD20" i="55"/>
  <c r="FE20" i="55"/>
  <c r="FF20" i="55"/>
  <c r="FG20" i="55"/>
  <c r="FH20" i="55"/>
  <c r="FI20" i="55"/>
  <c r="FJ20" i="55"/>
  <c r="FK20" i="55"/>
  <c r="FL20" i="55"/>
  <c r="FM20" i="55"/>
  <c r="FN20" i="55"/>
  <c r="FO20" i="55"/>
  <c r="FP20" i="55"/>
  <c r="FQ20" i="55"/>
  <c r="FR20" i="55"/>
  <c r="FS20" i="55"/>
  <c r="FT20" i="55"/>
  <c r="FU20" i="55"/>
  <c r="FV20" i="55"/>
  <c r="FW20" i="55"/>
  <c r="FX20" i="55"/>
  <c r="FY20" i="55"/>
  <c r="FZ20" i="55"/>
  <c r="GA20" i="55"/>
  <c r="GB20" i="55"/>
  <c r="GC20" i="55"/>
  <c r="GD20" i="55"/>
  <c r="GE20" i="55"/>
  <c r="GF20" i="55"/>
  <c r="GG20" i="55"/>
  <c r="GH20" i="55"/>
  <c r="GI20" i="55"/>
  <c r="GJ20" i="55"/>
  <c r="GK20" i="55"/>
  <c r="GL20" i="55"/>
  <c r="GM20" i="55"/>
  <c r="GN20" i="55"/>
  <c r="GO20" i="55"/>
  <c r="GP20" i="55"/>
  <c r="GQ20" i="55"/>
  <c r="GR20" i="55"/>
  <c r="GS20" i="55"/>
  <c r="GT20" i="55"/>
  <c r="GU20" i="55"/>
  <c r="GV20" i="55"/>
  <c r="GW20" i="55"/>
  <c r="GX20" i="55"/>
  <c r="GY20" i="55"/>
  <c r="GZ20" i="55"/>
  <c r="HA20" i="55"/>
  <c r="HB20" i="55"/>
  <c r="HC20" i="55"/>
  <c r="HD20" i="55"/>
  <c r="HE20" i="55"/>
  <c r="HF20" i="55"/>
  <c r="HG20" i="55"/>
  <c r="HH20" i="55"/>
  <c r="HI20" i="55"/>
  <c r="HJ20" i="55"/>
  <c r="HK20" i="55"/>
  <c r="HL20" i="55"/>
  <c r="HM20" i="55"/>
  <c r="HN20" i="55"/>
  <c r="HO20" i="55"/>
  <c r="HP20" i="55"/>
  <c r="HQ20" i="55"/>
  <c r="HR20" i="55"/>
  <c r="HS20" i="55"/>
  <c r="HT20" i="55"/>
  <c r="HU20" i="55"/>
  <c r="HV20" i="55"/>
  <c r="HW20" i="55"/>
  <c r="HX20" i="55"/>
  <c r="HY20" i="55"/>
  <c r="HZ20" i="55"/>
  <c r="IA20" i="55"/>
  <c r="IB20" i="55"/>
  <c r="IC20" i="55"/>
  <c r="ID20" i="55"/>
  <c r="IE20" i="55"/>
  <c r="IF20" i="55"/>
  <c r="IG20" i="55"/>
  <c r="IH20" i="55"/>
  <c r="II20" i="55"/>
  <c r="IJ20" i="55"/>
  <c r="IK20" i="55"/>
  <c r="IL20" i="55"/>
  <c r="IM20" i="55"/>
  <c r="IN20" i="55"/>
  <c r="IO20" i="55"/>
  <c r="IP20" i="55"/>
  <c r="IQ20" i="55"/>
  <c r="IR20" i="55"/>
  <c r="IS20" i="55"/>
  <c r="IT20" i="55"/>
  <c r="IU20" i="55"/>
  <c r="IV20" i="55"/>
  <c r="B3" i="54"/>
  <c r="F3" i="54"/>
  <c r="H3" i="54"/>
  <c r="K3" i="54"/>
  <c r="C5" i="54"/>
  <c r="K68" i="47"/>
  <c r="K69" i="47"/>
  <c r="K70" i="47"/>
  <c r="K71" i="47"/>
  <c r="K72" i="47"/>
  <c r="K73" i="47"/>
  <c r="K74" i="47"/>
  <c r="K75" i="47"/>
  <c r="K76" i="47"/>
  <c r="K77" i="47"/>
  <c r="K78" i="47"/>
  <c r="K79" i="47"/>
  <c r="K82" i="47"/>
  <c r="K83" i="47"/>
  <c r="K84" i="47"/>
  <c r="K85" i="47"/>
  <c r="K81" i="47"/>
  <c r="K63" i="47"/>
  <c r="B3" i="53"/>
  <c r="K3" i="53"/>
  <c r="M3" i="53"/>
  <c r="N3" i="53"/>
  <c r="P3" i="53"/>
  <c r="C5" i="47"/>
  <c r="C5" i="51" s="1"/>
  <c r="B6" i="53" s="1"/>
  <c r="L6" i="53" s="1"/>
  <c r="L62" i="53"/>
  <c r="N62" i="53"/>
  <c r="O62" i="53"/>
  <c r="P62" i="53"/>
  <c r="P84" i="53"/>
  <c r="B86" i="53"/>
  <c r="K86" i="53"/>
  <c r="M86" i="53"/>
  <c r="N86" i="53"/>
  <c r="P86" i="53"/>
  <c r="B95" i="53"/>
  <c r="C95" i="53"/>
  <c r="D95" i="53"/>
  <c r="E95" i="53"/>
  <c r="F95" i="53"/>
  <c r="C82" i="45"/>
  <c r="D77" i="45"/>
  <c r="F77" i="45" s="1"/>
  <c r="H77" i="45" s="1"/>
  <c r="J77" i="45" s="1"/>
  <c r="D82" i="45"/>
  <c r="F82" i="45" s="1"/>
  <c r="H82" i="45" s="1"/>
  <c r="J82" i="45" s="1"/>
  <c r="K82" i="45" s="1"/>
  <c r="L117" i="53"/>
  <c r="M117" i="53"/>
  <c r="N117" i="53"/>
  <c r="O117" i="53"/>
  <c r="P117" i="53"/>
  <c r="L120" i="53"/>
  <c r="B145" i="53"/>
  <c r="C145" i="53"/>
  <c r="D145" i="53"/>
  <c r="E145" i="53"/>
  <c r="F145" i="53"/>
  <c r="L150" i="53"/>
  <c r="M150" i="53"/>
  <c r="N150" i="53"/>
  <c r="O150" i="53"/>
  <c r="P150" i="53"/>
  <c r="F71" i="50"/>
  <c r="H71" i="50" s="1"/>
  <c r="J71" i="50" s="1"/>
  <c r="L71" i="50" s="1"/>
  <c r="F72" i="50"/>
  <c r="H72" i="50" s="1"/>
  <c r="J72" i="50" s="1"/>
  <c r="B157" i="53"/>
  <c r="C157" i="53"/>
  <c r="D157" i="53"/>
  <c r="E157" i="53"/>
  <c r="F157" i="53"/>
  <c r="G157" i="53"/>
  <c r="H157" i="53"/>
  <c r="I157" i="53"/>
  <c r="J157" i="53"/>
  <c r="K157" i="53"/>
  <c r="L164" i="53"/>
  <c r="M164" i="53"/>
  <c r="N164" i="53"/>
  <c r="O164" i="53"/>
  <c r="P164" i="53"/>
  <c r="B3" i="52"/>
  <c r="I3" i="52"/>
  <c r="B5" i="52"/>
  <c r="E12" i="52"/>
  <c r="E70" i="52"/>
  <c r="F70" i="52"/>
  <c r="I78" i="52"/>
  <c r="B80" i="52"/>
  <c r="F80" i="52"/>
  <c r="G80" i="52"/>
  <c r="I80" i="52"/>
  <c r="E83" i="52"/>
  <c r="F83" i="52"/>
  <c r="E89" i="52"/>
  <c r="E147" i="52"/>
  <c r="F147" i="52"/>
  <c r="I155" i="52"/>
  <c r="B157" i="52"/>
  <c r="F157" i="52"/>
  <c r="G157" i="52"/>
  <c r="H157" i="52"/>
  <c r="I157" i="52"/>
  <c r="E160" i="52"/>
  <c r="F160" i="52"/>
  <c r="E166" i="52"/>
  <c r="H166" i="52" s="1"/>
  <c r="G186" i="52"/>
  <c r="E224" i="52"/>
  <c r="F224" i="52"/>
  <c r="I232" i="52"/>
  <c r="B234" i="52"/>
  <c r="F234" i="52"/>
  <c r="G234" i="52"/>
  <c r="H234" i="52"/>
  <c r="I234" i="52"/>
  <c r="E237" i="52"/>
  <c r="F237" i="52"/>
  <c r="E243" i="52"/>
  <c r="H243" i="52" s="1"/>
  <c r="E301" i="52"/>
  <c r="F301" i="52"/>
  <c r="I309" i="52"/>
  <c r="B311" i="52"/>
  <c r="F311" i="52"/>
  <c r="G311" i="52"/>
  <c r="H311" i="52"/>
  <c r="I311" i="52"/>
  <c r="E314" i="52"/>
  <c r="F314" i="52"/>
  <c r="E320" i="52"/>
  <c r="H320" i="52" s="1"/>
  <c r="E378" i="52"/>
  <c r="F378" i="52"/>
  <c r="B3" i="51"/>
  <c r="F3" i="51"/>
  <c r="H3" i="51"/>
  <c r="I3" i="51"/>
  <c r="K3" i="51"/>
  <c r="B18" i="51"/>
  <c r="B19" i="51"/>
  <c r="B20" i="51"/>
  <c r="B21" i="51"/>
  <c r="B22" i="51"/>
  <c r="B23" i="51"/>
  <c r="B14" i="43"/>
  <c r="C41" i="43" s="1"/>
  <c r="B24" i="51"/>
  <c r="B25" i="51"/>
  <c r="B26" i="51"/>
  <c r="B27" i="51"/>
  <c r="G26" i="51" s="1"/>
  <c r="B33" i="51"/>
  <c r="I33" i="51" s="1"/>
  <c r="B34" i="51"/>
  <c r="E34" i="51" s="1"/>
  <c r="B35" i="51"/>
  <c r="I35" i="51" s="1"/>
  <c r="B36" i="51"/>
  <c r="B37" i="51"/>
  <c r="B38" i="51"/>
  <c r="E38" i="51" s="1"/>
  <c r="B39" i="51"/>
  <c r="I39" i="51" s="1"/>
  <c r="B40" i="51"/>
  <c r="I40" i="51" s="1"/>
  <c r="B44" i="51"/>
  <c r="B45" i="51"/>
  <c r="B46" i="51"/>
  <c r="B47" i="51"/>
  <c r="B48" i="51"/>
  <c r="B49" i="51"/>
  <c r="B50" i="51"/>
  <c r="B53" i="51"/>
  <c r="B3" i="50"/>
  <c r="H3" i="50"/>
  <c r="J3" i="50"/>
  <c r="K3" i="50"/>
  <c r="M3" i="50"/>
  <c r="E6" i="50"/>
  <c r="A32" i="50" s="1"/>
  <c r="E24" i="50"/>
  <c r="G24" i="50" s="1"/>
  <c r="I24" i="50" s="1"/>
  <c r="D26" i="50"/>
  <c r="G33" i="50"/>
  <c r="I33" i="50" s="1"/>
  <c r="K33" i="50" s="1"/>
  <c r="M33" i="50" s="1"/>
  <c r="I34" i="50"/>
  <c r="K34" i="50"/>
  <c r="M34" i="50"/>
  <c r="K35" i="50"/>
  <c r="M35" i="50"/>
  <c r="M36" i="50"/>
  <c r="E39" i="50"/>
  <c r="G39" i="50"/>
  <c r="I39" i="50"/>
  <c r="K39" i="50"/>
  <c r="M39" i="50"/>
  <c r="C30" i="57"/>
  <c r="G54" i="50"/>
  <c r="I54" i="50"/>
  <c r="K54" i="50" s="1"/>
  <c r="M54" i="50" s="1"/>
  <c r="F70" i="50"/>
  <c r="H70" i="50" s="1"/>
  <c r="J70" i="50" s="1"/>
  <c r="L70" i="50" s="1"/>
  <c r="F73" i="50"/>
  <c r="H73" i="50" s="1"/>
  <c r="J73" i="50" s="1"/>
  <c r="L73" i="50" s="1"/>
  <c r="F82" i="50"/>
  <c r="H82" i="50" s="1"/>
  <c r="J82" i="50" s="1"/>
  <c r="L82" i="50" s="1"/>
  <c r="B3" i="48"/>
  <c r="G3" i="48"/>
  <c r="I3" i="48"/>
  <c r="J3" i="48"/>
  <c r="K3" i="41"/>
  <c r="K3" i="45" s="1"/>
  <c r="D6" i="48"/>
  <c r="R20" i="48" s="1"/>
  <c r="R31" i="48" s="1"/>
  <c r="H26" i="48"/>
  <c r="J26" i="48"/>
  <c r="S31" i="48"/>
  <c r="S39" i="48"/>
  <c r="V39" i="48"/>
  <c r="W39" i="48"/>
  <c r="X39" i="48"/>
  <c r="S40" i="48"/>
  <c r="D41" i="48"/>
  <c r="D45" i="48" s="1"/>
  <c r="F41" i="48"/>
  <c r="F45" i="48" s="1"/>
  <c r="H41" i="48"/>
  <c r="H45" i="48" s="1"/>
  <c r="J41" i="48"/>
  <c r="J45" i="48" s="1"/>
  <c r="L41" i="48"/>
  <c r="L45" i="48" s="1"/>
  <c r="S44" i="48"/>
  <c r="V44" i="48" s="1"/>
  <c r="S45" i="48"/>
  <c r="F91" i="48"/>
  <c r="F114" i="48" s="1"/>
  <c r="S46" i="48"/>
  <c r="S47" i="48"/>
  <c r="W47" i="48"/>
  <c r="X47" i="48"/>
  <c r="S48" i="48"/>
  <c r="S52" i="48"/>
  <c r="S53" i="48"/>
  <c r="V53" i="48" s="1"/>
  <c r="D54" i="48"/>
  <c r="F54" i="48"/>
  <c r="S21" i="48" s="1"/>
  <c r="H54" i="48"/>
  <c r="S22" i="48" s="1"/>
  <c r="J54" i="48"/>
  <c r="S23" i="48" s="1"/>
  <c r="L54" i="48"/>
  <c r="S24" i="48" s="1"/>
  <c r="S54" i="48"/>
  <c r="W54" i="48"/>
  <c r="S55" i="48"/>
  <c r="X55" i="48"/>
  <c r="S57" i="48"/>
  <c r="S61" i="48"/>
  <c r="W61" i="48" s="1"/>
  <c r="S63" i="48"/>
  <c r="S64" i="48"/>
  <c r="S66" i="48"/>
  <c r="X66" i="48" s="1"/>
  <c r="S70" i="48"/>
  <c r="X70" i="48" s="1"/>
  <c r="C71" i="48"/>
  <c r="S71" i="48"/>
  <c r="C72" i="48"/>
  <c r="S72" i="48"/>
  <c r="X72" i="48" s="1"/>
  <c r="L97" i="48"/>
  <c r="B99" i="48"/>
  <c r="G99" i="48"/>
  <c r="I99" i="48"/>
  <c r="D102" i="48"/>
  <c r="F102" i="48" s="1"/>
  <c r="H102" i="48" s="1"/>
  <c r="J102" i="48" s="1"/>
  <c r="L102" i="48" s="1"/>
  <c r="D131" i="48"/>
  <c r="F131" i="48"/>
  <c r="H131" i="48"/>
  <c r="J131" i="48"/>
  <c r="L131" i="48"/>
  <c r="D135" i="48"/>
  <c r="F135" i="48"/>
  <c r="H135" i="48"/>
  <c r="J135" i="48"/>
  <c r="L135" i="48"/>
  <c r="B3" i="47"/>
  <c r="F3" i="47"/>
  <c r="H3" i="47"/>
  <c r="I3" i="47"/>
  <c r="K80" i="47"/>
  <c r="B3" i="46"/>
  <c r="B95" i="46" s="1"/>
  <c r="F3" i="46"/>
  <c r="F95" i="46" s="1"/>
  <c r="H3" i="46"/>
  <c r="H95" i="46" s="1"/>
  <c r="I3" i="46"/>
  <c r="C5" i="45"/>
  <c r="C5" i="46" s="1"/>
  <c r="C97" i="46" s="1"/>
  <c r="C89" i="42"/>
  <c r="E89" i="42"/>
  <c r="K93" i="46"/>
  <c r="B3" i="45"/>
  <c r="F3" i="45"/>
  <c r="H3" i="45"/>
  <c r="I3" i="45"/>
  <c r="A51" i="45"/>
  <c r="D51" i="45"/>
  <c r="F51" i="45" s="1"/>
  <c r="H51" i="45" s="1"/>
  <c r="J51" i="45" s="1"/>
  <c r="A52" i="45"/>
  <c r="D52" i="45"/>
  <c r="F52" i="45" s="1"/>
  <c r="H52" i="45" s="1"/>
  <c r="J52" i="45" s="1"/>
  <c r="D53" i="45"/>
  <c r="F53" i="45" s="1"/>
  <c r="H53" i="45" s="1"/>
  <c r="J53" i="45" s="1"/>
  <c r="D68" i="45"/>
  <c r="F68" i="45" s="1"/>
  <c r="H68" i="45" s="1"/>
  <c r="J68" i="45" s="1"/>
  <c r="D76" i="45"/>
  <c r="F76" i="45" s="1"/>
  <c r="H76" i="45" s="1"/>
  <c r="J76" i="45" s="1"/>
  <c r="D80" i="45"/>
  <c r="F80" i="45" s="1"/>
  <c r="H80" i="45" s="1"/>
  <c r="J80" i="45" s="1"/>
  <c r="D81" i="45"/>
  <c r="F81" i="45" s="1"/>
  <c r="H81" i="45" s="1"/>
  <c r="J81" i="45" s="1"/>
  <c r="D83" i="45"/>
  <c r="E83" i="45" s="1"/>
  <c r="C106" i="53" s="1"/>
  <c r="E88" i="45"/>
  <c r="G88" i="45" s="1"/>
  <c r="I88" i="45" s="1"/>
  <c r="K88" i="45" s="1"/>
  <c r="D91" i="45"/>
  <c r="F91" i="45" s="1"/>
  <c r="H91" i="45" s="1"/>
  <c r="J91" i="45" s="1"/>
  <c r="D92" i="45"/>
  <c r="F92" i="45" s="1"/>
  <c r="H92" i="45" s="1"/>
  <c r="J92" i="45" s="1"/>
  <c r="A99" i="45"/>
  <c r="A100" i="45"/>
  <c r="A101" i="45"/>
  <c r="B3" i="44"/>
  <c r="F3" i="44"/>
  <c r="H3" i="44"/>
  <c r="I3" i="44"/>
  <c r="C5" i="42"/>
  <c r="C5" i="44" s="1"/>
  <c r="C52" i="44"/>
  <c r="G97" i="53" s="1"/>
  <c r="E52" i="44"/>
  <c r="H97" i="53" s="1"/>
  <c r="G52" i="44"/>
  <c r="F168" i="52" s="1"/>
  <c r="I52" i="44"/>
  <c r="K52" i="44"/>
  <c r="K97" i="53" s="1"/>
  <c r="B3" i="43"/>
  <c r="F3" i="43"/>
  <c r="H3" i="43"/>
  <c r="I3" i="43"/>
  <c r="C5" i="43"/>
  <c r="C64" i="43"/>
  <c r="E64" i="43"/>
  <c r="G64" i="43"/>
  <c r="I64" i="43"/>
  <c r="K64" i="43"/>
  <c r="B3" i="42"/>
  <c r="F3" i="42"/>
  <c r="H3" i="42"/>
  <c r="I3" i="42"/>
  <c r="K3" i="42"/>
  <c r="F10" i="42"/>
  <c r="H10" i="42" s="1"/>
  <c r="J10" i="42" s="1"/>
  <c r="F11" i="42"/>
  <c r="F12" i="42"/>
  <c r="H12" i="42" s="1"/>
  <c r="J12" i="42" s="1"/>
  <c r="F13" i="42"/>
  <c r="F14" i="42"/>
  <c r="F15" i="42"/>
  <c r="H15" i="42" s="1"/>
  <c r="J15" i="42" s="1"/>
  <c r="C66" i="42"/>
  <c r="C52" i="45" s="1"/>
  <c r="E66" i="42"/>
  <c r="E52" i="45" s="1"/>
  <c r="G66" i="42"/>
  <c r="G52" i="45" s="1"/>
  <c r="I66" i="42"/>
  <c r="I52" i="45" s="1"/>
  <c r="K66" i="42"/>
  <c r="K52" i="45" s="1"/>
  <c r="C70" i="42"/>
  <c r="C53" i="45" s="1"/>
  <c r="G70" i="42"/>
  <c r="G53" i="45" s="1"/>
  <c r="I70" i="42"/>
  <c r="I53" i="45" s="1"/>
  <c r="K70" i="42"/>
  <c r="K53" i="45" s="1"/>
  <c r="B3" i="41"/>
  <c r="F3" i="41"/>
  <c r="H3" i="41"/>
  <c r="I3" i="41"/>
  <c r="A16" i="41"/>
  <c r="A22" i="41"/>
  <c r="A29" i="41"/>
  <c r="A35" i="41"/>
  <c r="B41" i="41"/>
  <c r="B42" i="41" s="1"/>
  <c r="B47" i="41"/>
  <c r="B48" i="41" s="1"/>
  <c r="D47" i="41"/>
  <c r="D48" i="41" s="1"/>
  <c r="C4" i="40"/>
  <c r="D6" i="40"/>
  <c r="AW6" i="40" s="1"/>
  <c r="F7" i="32"/>
  <c r="G7" i="32"/>
  <c r="H7" i="32"/>
  <c r="I7" i="32"/>
  <c r="J7" i="32"/>
  <c r="K7" i="32"/>
  <c r="L7" i="32"/>
  <c r="M7" i="32"/>
  <c r="N7" i="32"/>
  <c r="O7" i="32"/>
  <c r="P7" i="32"/>
  <c r="Q7" i="32"/>
  <c r="R7" i="32"/>
  <c r="S7" i="32"/>
  <c r="E8" i="32"/>
  <c r="F8" i="32"/>
  <c r="G8" i="32"/>
  <c r="H8" i="32"/>
  <c r="I8" i="32"/>
  <c r="J8" i="32"/>
  <c r="K8" i="32"/>
  <c r="L8" i="32"/>
  <c r="M8" i="32"/>
  <c r="N8" i="32"/>
  <c r="O8" i="32"/>
  <c r="P8" i="32"/>
  <c r="Q8" i="32"/>
  <c r="R8" i="32"/>
  <c r="S8" i="32"/>
  <c r="E9" i="32"/>
  <c r="F9" i="32"/>
  <c r="G9" i="32"/>
  <c r="H9" i="32"/>
  <c r="I9" i="32"/>
  <c r="J9" i="32"/>
  <c r="K9" i="32"/>
  <c r="L9" i="32"/>
  <c r="M9" i="32"/>
  <c r="N9" i="32"/>
  <c r="O9" i="32"/>
  <c r="P9" i="32"/>
  <c r="Q9" i="32"/>
  <c r="R9" i="32"/>
  <c r="S9" i="32"/>
  <c r="E10" i="32"/>
  <c r="F10" i="32"/>
  <c r="G10" i="32"/>
  <c r="H10" i="32"/>
  <c r="I10" i="32"/>
  <c r="J10" i="32"/>
  <c r="K10" i="32"/>
  <c r="L10" i="32"/>
  <c r="M10" i="32"/>
  <c r="N10" i="32"/>
  <c r="O10" i="32"/>
  <c r="P10" i="32"/>
  <c r="Q10" i="32"/>
  <c r="R10" i="32"/>
  <c r="S10" i="32"/>
  <c r="E11" i="32"/>
  <c r="F11" i="32"/>
  <c r="G11" i="32"/>
  <c r="H11" i="32"/>
  <c r="I11" i="32"/>
  <c r="J11" i="32"/>
  <c r="K11" i="32"/>
  <c r="L11" i="32"/>
  <c r="M11" i="32"/>
  <c r="N11" i="32"/>
  <c r="O11" i="32"/>
  <c r="P11" i="32"/>
  <c r="Q11" i="32"/>
  <c r="R11" i="32"/>
  <c r="S11" i="32"/>
  <c r="E12" i="32"/>
  <c r="F12" i="32"/>
  <c r="G12" i="32"/>
  <c r="H12" i="32"/>
  <c r="I12" i="32"/>
  <c r="J12" i="32"/>
  <c r="K12" i="32"/>
  <c r="L12" i="32"/>
  <c r="M12" i="32"/>
  <c r="N12" i="32"/>
  <c r="O12" i="32"/>
  <c r="P12" i="32"/>
  <c r="Q12" i="32"/>
  <c r="R12" i="32"/>
  <c r="S12" i="32"/>
  <c r="E13" i="32"/>
  <c r="F13" i="32"/>
  <c r="G13" i="32"/>
  <c r="H13" i="32"/>
  <c r="I13" i="32"/>
  <c r="J13" i="32"/>
  <c r="K13" i="32"/>
  <c r="L13" i="32"/>
  <c r="M13" i="32"/>
  <c r="N13" i="32"/>
  <c r="O13" i="32"/>
  <c r="P13" i="32"/>
  <c r="Q13" i="32"/>
  <c r="R13" i="32"/>
  <c r="S13" i="32"/>
  <c r="C15" i="40"/>
  <c r="BY16" i="40" s="1"/>
  <c r="BZ16" i="40" s="1"/>
  <c r="CA16" i="40" s="1"/>
  <c r="CB16" i="40" s="1"/>
  <c r="CC16" i="40" s="1"/>
  <c r="CD16" i="40" s="1"/>
  <c r="CE16" i="40" s="1"/>
  <c r="CF16" i="40" s="1"/>
  <c r="CG16" i="40" s="1"/>
  <c r="CH16" i="40" s="1"/>
  <c r="O7" i="34"/>
  <c r="P7" i="34"/>
  <c r="Q7" i="34"/>
  <c r="R7" i="34"/>
  <c r="S7" i="34"/>
  <c r="O8" i="34"/>
  <c r="P8" i="34"/>
  <c r="Q8" i="34"/>
  <c r="R8" i="34"/>
  <c r="S8" i="34"/>
  <c r="O9" i="34"/>
  <c r="P9" i="34"/>
  <c r="Q9" i="34"/>
  <c r="R9" i="34"/>
  <c r="S9" i="34"/>
  <c r="O10" i="34"/>
  <c r="P10" i="34"/>
  <c r="Q10" i="34"/>
  <c r="R10" i="34"/>
  <c r="S10" i="34"/>
  <c r="O11" i="34"/>
  <c r="P11" i="34"/>
  <c r="Q11" i="34"/>
  <c r="R11" i="34"/>
  <c r="S11" i="34"/>
  <c r="O12" i="34"/>
  <c r="P12" i="34"/>
  <c r="Q12" i="34"/>
  <c r="R12" i="34"/>
  <c r="S12" i="34"/>
  <c r="O13" i="34"/>
  <c r="P13" i="34"/>
  <c r="Q13" i="34"/>
  <c r="R13" i="34"/>
  <c r="S13" i="34"/>
  <c r="C26" i="40"/>
  <c r="BY27" i="40" s="1"/>
  <c r="BZ27" i="40" s="1"/>
  <c r="CA27" i="40" s="1"/>
  <c r="CB27" i="40" s="1"/>
  <c r="CC27" i="40" s="1"/>
  <c r="CD27" i="40" s="1"/>
  <c r="CE27" i="40" s="1"/>
  <c r="CF27" i="40" s="1"/>
  <c r="CG27" i="40" s="1"/>
  <c r="CH27" i="40" s="1"/>
  <c r="C36" i="40"/>
  <c r="BU36" i="40"/>
  <c r="O7" i="36"/>
  <c r="P7" i="36"/>
  <c r="Q7" i="36"/>
  <c r="R7" i="36"/>
  <c r="S7" i="36"/>
  <c r="O8" i="36"/>
  <c r="P8" i="36"/>
  <c r="Q8" i="36"/>
  <c r="R8" i="36"/>
  <c r="S8" i="36"/>
  <c r="O9" i="36"/>
  <c r="P9" i="36"/>
  <c r="Q9" i="36"/>
  <c r="R9" i="36"/>
  <c r="S9" i="36"/>
  <c r="O10" i="36"/>
  <c r="P10" i="36"/>
  <c r="Q10" i="36"/>
  <c r="R10" i="36"/>
  <c r="S10" i="36"/>
  <c r="O11" i="36"/>
  <c r="P11" i="36"/>
  <c r="Q11" i="36"/>
  <c r="R11" i="36"/>
  <c r="S11" i="36"/>
  <c r="O12" i="36"/>
  <c r="P12" i="36"/>
  <c r="Q12" i="36"/>
  <c r="R12" i="36"/>
  <c r="S12" i="36"/>
  <c r="O13" i="36"/>
  <c r="P13" i="36"/>
  <c r="Q13" i="36"/>
  <c r="R13" i="36"/>
  <c r="S13" i="36"/>
  <c r="C46" i="40"/>
  <c r="BU46" i="40"/>
  <c r="F7" i="38"/>
  <c r="G7" i="38"/>
  <c r="H7" i="38"/>
  <c r="I7" i="38"/>
  <c r="J7" i="38"/>
  <c r="K7" i="38"/>
  <c r="L7" i="38"/>
  <c r="M7" i="38"/>
  <c r="N7" i="38"/>
  <c r="O7" i="38"/>
  <c r="P7" i="38"/>
  <c r="Q7" i="38"/>
  <c r="R7" i="38"/>
  <c r="S7" i="38"/>
  <c r="T7" i="38"/>
  <c r="F8" i="38"/>
  <c r="G8" i="38"/>
  <c r="H8" i="38"/>
  <c r="I8" i="38"/>
  <c r="J8" i="38"/>
  <c r="K8" i="38"/>
  <c r="L8" i="38"/>
  <c r="M8" i="38"/>
  <c r="N8" i="38"/>
  <c r="O8" i="38"/>
  <c r="P8" i="38"/>
  <c r="Q8" i="38"/>
  <c r="R8" i="38"/>
  <c r="S8" i="38"/>
  <c r="T8" i="38"/>
  <c r="F14" i="38"/>
  <c r="G14" i="38"/>
  <c r="H14" i="38"/>
  <c r="I14" i="38"/>
  <c r="J14" i="38"/>
  <c r="K14" i="38"/>
  <c r="L14" i="38"/>
  <c r="M14" i="38"/>
  <c r="N14" i="38"/>
  <c r="O14" i="38"/>
  <c r="P14" i="38"/>
  <c r="Q14" i="38"/>
  <c r="R14" i="38"/>
  <c r="S14" i="38"/>
  <c r="T14" i="38"/>
  <c r="F15" i="38"/>
  <c r="G15" i="38"/>
  <c r="H15" i="38"/>
  <c r="I15" i="38"/>
  <c r="J15" i="38"/>
  <c r="K15" i="38"/>
  <c r="L15" i="38"/>
  <c r="M15" i="38"/>
  <c r="N15" i="38"/>
  <c r="O15" i="38"/>
  <c r="P15" i="38"/>
  <c r="Q15" i="38"/>
  <c r="R15" i="38"/>
  <c r="S15" i="38"/>
  <c r="T15" i="38"/>
  <c r="A1" i="39"/>
  <c r="C3" i="39"/>
  <c r="H3" i="39"/>
  <c r="I3" i="39"/>
  <c r="K3" i="39"/>
  <c r="F16" i="37"/>
  <c r="G16" i="37"/>
  <c r="H16" i="37"/>
  <c r="I16" i="37"/>
  <c r="J16" i="37"/>
  <c r="K16" i="37"/>
  <c r="L16" i="37"/>
  <c r="M16" i="37"/>
  <c r="N16" i="37"/>
  <c r="O16" i="37"/>
  <c r="P16" i="37"/>
  <c r="Q16" i="37"/>
  <c r="R16" i="37"/>
  <c r="S16" i="37"/>
  <c r="T16" i="37"/>
  <c r="A1" i="29"/>
  <c r="C3" i="29"/>
  <c r="H3" i="29"/>
  <c r="I3" i="29"/>
  <c r="K3" i="29"/>
  <c r="C16" i="29"/>
  <c r="A1" i="28"/>
  <c r="B3" i="28"/>
  <c r="H3" i="28"/>
  <c r="I3" i="28"/>
  <c r="K3" i="28"/>
  <c r="A1" i="26"/>
  <c r="C3" i="26"/>
  <c r="H3" i="26"/>
  <c r="I3" i="26"/>
  <c r="K3" i="26"/>
  <c r="C3" i="25"/>
  <c r="H3" i="25"/>
  <c r="I3" i="25"/>
  <c r="K3" i="25"/>
  <c r="A1" i="24"/>
  <c r="C3" i="24"/>
  <c r="I3" i="24"/>
  <c r="J3" i="24"/>
  <c r="M3" i="24"/>
  <c r="A1" i="22"/>
  <c r="A1" i="23" s="1"/>
  <c r="H3" i="23"/>
  <c r="I3" i="23"/>
  <c r="C3" i="22"/>
  <c r="H3" i="22"/>
  <c r="I3" i="22"/>
  <c r="K3" i="22"/>
  <c r="D19" i="22"/>
  <c r="E19" i="22"/>
  <c r="F19" i="22"/>
  <c r="G19" i="22"/>
  <c r="H19" i="22"/>
  <c r="I19" i="22"/>
  <c r="J19" i="22"/>
  <c r="K19" i="22"/>
  <c r="A1" i="21"/>
  <c r="C3" i="21"/>
  <c r="H3" i="21"/>
  <c r="I3" i="21"/>
  <c r="K3" i="21"/>
  <c r="C3" i="20"/>
  <c r="I3" i="20"/>
  <c r="J3" i="20"/>
  <c r="M3" i="20"/>
  <c r="K8" i="20"/>
  <c r="L8" i="20"/>
  <c r="K9" i="20"/>
  <c r="L9" i="20"/>
  <c r="K10" i="20"/>
  <c r="L10" i="20"/>
  <c r="K11" i="20"/>
  <c r="L11" i="20"/>
  <c r="K12" i="20"/>
  <c r="L12" i="20"/>
  <c r="K13" i="20"/>
  <c r="L13" i="20"/>
  <c r="K14" i="20"/>
  <c r="A1" i="17"/>
  <c r="A1" i="18" s="1"/>
  <c r="A1" i="19" s="1"/>
  <c r="C3" i="19"/>
  <c r="H3" i="19"/>
  <c r="I3" i="19"/>
  <c r="K3" i="19"/>
  <c r="G7" i="17"/>
  <c r="H7" i="17" s="1"/>
  <c r="I7" i="17" s="1"/>
  <c r="I7" i="19" s="1"/>
  <c r="J7" i="19" s="1"/>
  <c r="K7" i="19" s="1"/>
  <c r="C3" i="18"/>
  <c r="H3" i="18"/>
  <c r="I3" i="18"/>
  <c r="K3" i="18"/>
  <c r="D8" i="18"/>
  <c r="E8" i="18"/>
  <c r="F8" i="18"/>
  <c r="D9" i="18"/>
  <c r="E9" i="18"/>
  <c r="C3" i="17"/>
  <c r="H3" i="17"/>
  <c r="I3" i="17"/>
  <c r="K3" i="17"/>
  <c r="D8" i="17"/>
  <c r="E8" i="17"/>
  <c r="F8" i="17"/>
  <c r="G8" i="17"/>
  <c r="H8" i="17"/>
  <c r="I8" i="17"/>
  <c r="J8" i="17"/>
  <c r="K8" i="17"/>
  <c r="D9" i="17"/>
  <c r="E9" i="17"/>
  <c r="F9" i="17"/>
  <c r="F10" i="17" s="1"/>
  <c r="G9" i="17"/>
  <c r="G10" i="17" s="1"/>
  <c r="H9" i="17"/>
  <c r="H10" i="17" s="1"/>
  <c r="I9" i="17"/>
  <c r="J9" i="17"/>
  <c r="J10" i="17" s="1"/>
  <c r="K9" i="17"/>
  <c r="K10" i="17" s="1"/>
  <c r="D10" i="17"/>
  <c r="I10" i="17"/>
  <c r="E12" i="16"/>
  <c r="G12" i="16"/>
  <c r="I12" i="16"/>
  <c r="K12" i="16"/>
  <c r="M12" i="16"/>
  <c r="O12" i="16"/>
  <c r="Q12" i="16"/>
  <c r="S12" i="16"/>
  <c r="E21" i="16"/>
  <c r="G21" i="16"/>
  <c r="I21" i="16"/>
  <c r="K21" i="16"/>
  <c r="M21" i="16"/>
  <c r="O21" i="16"/>
  <c r="T27" i="16"/>
  <c r="T28" i="16"/>
  <c r="T29" i="16"/>
  <c r="T30" i="16"/>
  <c r="T31" i="16"/>
  <c r="T32" i="16"/>
  <c r="T33" i="16"/>
  <c r="E34" i="16"/>
  <c r="F34" i="16"/>
  <c r="G34" i="16"/>
  <c r="H34" i="16"/>
  <c r="I34" i="16"/>
  <c r="J34" i="16"/>
  <c r="K34" i="16"/>
  <c r="L34" i="16"/>
  <c r="M34" i="16"/>
  <c r="N34" i="16"/>
  <c r="O34" i="16"/>
  <c r="P34" i="16"/>
  <c r="Q34" i="16"/>
  <c r="R34" i="16"/>
  <c r="S34" i="16"/>
  <c r="T34" i="16"/>
  <c r="E43" i="16"/>
  <c r="C8" i="26" s="1"/>
  <c r="G43" i="16"/>
  <c r="E8" i="26" s="1"/>
  <c r="K49" i="16"/>
  <c r="I49" i="16" s="1"/>
  <c r="G49" i="16" s="1"/>
  <c r="E49" i="16" s="1"/>
  <c r="E52" i="16"/>
  <c r="G52" i="16"/>
  <c r="I52" i="16"/>
  <c r="K52" i="16"/>
  <c r="C60" i="42" s="1"/>
  <c r="M52" i="16"/>
  <c r="E60" i="42" s="1"/>
  <c r="E58" i="55" s="1"/>
  <c r="O52" i="16"/>
  <c r="G60" i="42" s="1"/>
  <c r="Q52" i="16"/>
  <c r="I60" i="42" s="1"/>
  <c r="I58" i="55" s="1"/>
  <c r="I60" i="55" s="1"/>
  <c r="I91" i="61" s="1"/>
  <c r="S52" i="16"/>
  <c r="K60" i="42" s="1"/>
  <c r="T62" i="16"/>
  <c r="T63" i="16"/>
  <c r="E64" i="16"/>
  <c r="F64" i="16"/>
  <c r="G64" i="16"/>
  <c r="H64" i="16"/>
  <c r="I64" i="16"/>
  <c r="J64" i="16"/>
  <c r="K64" i="16"/>
  <c r="L64" i="16"/>
  <c r="M64" i="16"/>
  <c r="N64" i="16"/>
  <c r="O64" i="16"/>
  <c r="P64" i="16"/>
  <c r="Q64" i="16"/>
  <c r="R64" i="16"/>
  <c r="S64" i="16"/>
  <c r="T64" i="16"/>
  <c r="T70" i="16"/>
  <c r="T71" i="16"/>
  <c r="E72" i="16"/>
  <c r="F72" i="16"/>
  <c r="G72" i="16"/>
  <c r="H72" i="16"/>
  <c r="I72" i="16"/>
  <c r="J72" i="16"/>
  <c r="K72" i="16"/>
  <c r="L72" i="16"/>
  <c r="M72" i="16"/>
  <c r="N72" i="16"/>
  <c r="O72" i="16"/>
  <c r="P72" i="16"/>
  <c r="Q72" i="16"/>
  <c r="R72" i="16"/>
  <c r="S72" i="16"/>
  <c r="T72" i="16"/>
  <c r="C3" i="15"/>
  <c r="H3" i="15"/>
  <c r="I3" i="15"/>
  <c r="K3" i="15"/>
  <c r="A1" i="14"/>
  <c r="D3" i="14"/>
  <c r="H3" i="14"/>
  <c r="I3" i="14"/>
  <c r="K3" i="14"/>
  <c r="A1" i="13"/>
  <c r="D3" i="13"/>
  <c r="H3" i="13"/>
  <c r="I3" i="13"/>
  <c r="K3" i="13"/>
  <c r="C3" i="12"/>
  <c r="H3" i="12"/>
  <c r="I3" i="12"/>
  <c r="K3" i="12"/>
  <c r="A1" i="11"/>
  <c r="C3" i="11"/>
  <c r="H3" i="11"/>
  <c r="I3" i="11"/>
  <c r="K3" i="11"/>
  <c r="A1" i="10"/>
  <c r="C3" i="10"/>
  <c r="H3" i="10"/>
  <c r="I3" i="10"/>
  <c r="K3" i="10"/>
  <c r="C3" i="9"/>
  <c r="H3" i="9"/>
  <c r="K3" i="9"/>
  <c r="A1" i="8"/>
  <c r="C3" i="8"/>
  <c r="H3" i="8"/>
  <c r="I3" i="8"/>
  <c r="K3" i="8"/>
  <c r="A1" i="7"/>
  <c r="C3" i="7"/>
  <c r="H3" i="7"/>
  <c r="I3" i="7"/>
  <c r="K3" i="7"/>
  <c r="D3" i="6"/>
  <c r="H3" i="6"/>
  <c r="I3" i="6"/>
  <c r="K3" i="6"/>
  <c r="A1" i="5"/>
  <c r="C3" i="5"/>
  <c r="H3" i="5"/>
  <c r="I3" i="5"/>
  <c r="K3" i="5"/>
  <c r="D3" i="4"/>
  <c r="H3" i="4"/>
  <c r="I3" i="4"/>
  <c r="L3" i="4"/>
  <c r="A1" i="2"/>
  <c r="A4" i="2"/>
  <c r="A6" i="2"/>
  <c r="A9" i="2"/>
  <c r="F17" i="2"/>
  <c r="C19" i="2"/>
  <c r="F19" i="2"/>
  <c r="F20" i="2"/>
  <c r="F21" i="2"/>
  <c r="C23" i="2"/>
  <c r="F23" i="2"/>
  <c r="F24" i="2"/>
  <c r="F25" i="2"/>
  <c r="C27" i="2"/>
  <c r="F27" i="2"/>
  <c r="F28" i="2"/>
  <c r="F29" i="2"/>
  <c r="C31" i="2"/>
  <c r="F31" i="2"/>
  <c r="F33" i="2"/>
  <c r="F34" i="2"/>
  <c r="F35" i="2"/>
  <c r="F36" i="2"/>
  <c r="F37" i="2"/>
  <c r="F38" i="2"/>
  <c r="F39" i="2"/>
  <c r="F40" i="2"/>
  <c r="C42" i="2"/>
  <c r="F42" i="2"/>
  <c r="F43" i="2"/>
  <c r="F44" i="2"/>
  <c r="F45" i="2"/>
  <c r="F46" i="2"/>
  <c r="C48" i="2"/>
  <c r="F48" i="2"/>
  <c r="F49" i="2"/>
  <c r="F50" i="2"/>
  <c r="F51" i="2"/>
  <c r="F52" i="2"/>
  <c r="F53" i="2"/>
  <c r="F54" i="2"/>
  <c r="F55" i="2"/>
  <c r="F57" i="2"/>
  <c r="F58" i="2"/>
  <c r="F59" i="2"/>
  <c r="F60" i="2"/>
  <c r="F61" i="2"/>
  <c r="F62" i="2"/>
  <c r="F63" i="2"/>
  <c r="F64" i="2"/>
  <c r="F65" i="2"/>
  <c r="F66" i="2"/>
  <c r="F67" i="2"/>
  <c r="H11" i="42"/>
  <c r="J11" i="42" s="1"/>
  <c r="G72" i="50"/>
  <c r="M155" i="53" s="1"/>
  <c r="I37" i="51"/>
  <c r="G50" i="46"/>
  <c r="I50" i="46" s="1"/>
  <c r="K50" i="46" s="1"/>
  <c r="G102" i="46"/>
  <c r="I102" i="46" s="1"/>
  <c r="K102" i="46" s="1"/>
  <c r="C37" i="51"/>
  <c r="I36" i="51"/>
  <c r="G37" i="51"/>
  <c r="J97" i="53"/>
  <c r="F245" i="52"/>
  <c r="H245" i="52" s="1"/>
  <c r="G25" i="47"/>
  <c r="E33" i="51"/>
  <c r="E15" i="57"/>
  <c r="C15" i="57"/>
  <c r="X58" i="48"/>
  <c r="V41" i="48"/>
  <c r="G10" i="42"/>
  <c r="G21" i="42" s="1"/>
  <c r="J21" i="45"/>
  <c r="H44" i="41"/>
  <c r="J44" i="41" s="1"/>
  <c r="F43" i="41"/>
  <c r="D120" i="53"/>
  <c r="V45" i="48"/>
  <c r="H91" i="48"/>
  <c r="H114" i="48" s="1"/>
  <c r="F45" i="41"/>
  <c r="H45" i="41" s="1"/>
  <c r="H39" i="41"/>
  <c r="J39" i="41" s="1"/>
  <c r="H43" i="41"/>
  <c r="J43" i="41" s="1"/>
  <c r="I10" i="42"/>
  <c r="K10" i="42" s="1"/>
  <c r="K21" i="42" s="1"/>
  <c r="X54" i="48"/>
  <c r="W37" i="48"/>
  <c r="J91" i="48"/>
  <c r="J114" i="48" s="1"/>
  <c r="G14" i="46"/>
  <c r="G90" i="46" s="1"/>
  <c r="E25" i="42"/>
  <c r="H40" i="41"/>
  <c r="J40" i="41" s="1"/>
  <c r="K25" i="44"/>
  <c r="J9" i="18"/>
  <c r="Q21" i="16"/>
  <c r="S21" i="16"/>
  <c r="K9" i="18"/>
  <c r="U38" i="48"/>
  <c r="X38" i="48"/>
  <c r="L92" i="48"/>
  <c r="L115" i="48" s="1"/>
  <c r="F92" i="48"/>
  <c r="F115" i="48" s="1"/>
  <c r="J92" i="48"/>
  <c r="J115" i="48" s="1"/>
  <c r="H92" i="48"/>
  <c r="H115" i="48" s="1"/>
  <c r="W44" i="48"/>
  <c r="V40" i="48"/>
  <c r="L91" i="48"/>
  <c r="L114" i="48" s="1"/>
  <c r="H46" i="45"/>
  <c r="J46" i="45" s="1"/>
  <c r="K86" i="42"/>
  <c r="H46" i="41"/>
  <c r="J46" i="41" s="1"/>
  <c r="K24" i="50" l="1"/>
  <c r="G15" i="57"/>
  <c r="E18" i="56"/>
  <c r="W46" i="48"/>
  <c r="U40" i="48"/>
  <c r="G25" i="44"/>
  <c r="V46" i="48"/>
  <c r="E37" i="51"/>
  <c r="C39" i="51"/>
  <c r="W63" i="48"/>
  <c r="U46" i="48"/>
  <c r="V21" i="48"/>
  <c r="C19" i="56"/>
  <c r="E67" i="46"/>
  <c r="I25" i="44"/>
  <c r="F29" i="78"/>
  <c r="G82" i="45"/>
  <c r="G11" i="42"/>
  <c r="G22" i="42" s="1"/>
  <c r="G12" i="42"/>
  <c r="G23" i="42" s="1"/>
  <c r="E72" i="50"/>
  <c r="L155" i="53" s="1"/>
  <c r="K36" i="51"/>
  <c r="G36" i="51"/>
  <c r="G39" i="51"/>
  <c r="G13" i="42"/>
  <c r="G24" i="42" s="1"/>
  <c r="T33" i="48"/>
  <c r="D87" i="48" s="1"/>
  <c r="D110" i="48" s="1"/>
  <c r="G14" i="42"/>
  <c r="G25" i="42" s="1"/>
  <c r="F41" i="41"/>
  <c r="F42" i="41" s="1"/>
  <c r="X60" i="48"/>
  <c r="I25" i="51"/>
  <c r="F83" i="45"/>
  <c r="E82" i="45"/>
  <c r="AT7" i="40"/>
  <c r="X52" i="48"/>
  <c r="X44" i="48"/>
  <c r="U43" i="48"/>
  <c r="M120" i="53"/>
  <c r="G112" i="52"/>
  <c r="C120" i="53"/>
  <c r="E112" i="52"/>
  <c r="I120" i="53"/>
  <c r="G145" i="52"/>
  <c r="I145" i="52" s="1"/>
  <c r="I82" i="45"/>
  <c r="I11" i="42"/>
  <c r="L72" i="50"/>
  <c r="K72" i="50"/>
  <c r="J41" i="41"/>
  <c r="J42" i="41" s="1"/>
  <c r="H13" i="42"/>
  <c r="J13" i="42" s="1"/>
  <c r="K29" i="78"/>
  <c r="L29" i="78" s="1"/>
  <c r="X45" i="48"/>
  <c r="G30" i="78"/>
  <c r="H29" i="78"/>
  <c r="H41" i="41"/>
  <c r="H42" i="41" s="1"/>
  <c r="I12" i="42"/>
  <c r="W21" i="48"/>
  <c r="V26" i="48" s="1"/>
  <c r="H82" i="48" s="1"/>
  <c r="H105" i="48" s="1"/>
  <c r="G33" i="51"/>
  <c r="F322" i="52"/>
  <c r="I322" i="52" s="1"/>
  <c r="D41" i="41"/>
  <c r="D42" i="41" s="1"/>
  <c r="X24" i="48"/>
  <c r="S20" i="48"/>
  <c r="B9" i="56"/>
  <c r="W22" i="48"/>
  <c r="U36" i="48"/>
  <c r="F90" i="48" s="1"/>
  <c r="F113" i="48" s="1"/>
  <c r="U37" i="48"/>
  <c r="I21" i="42"/>
  <c r="G18" i="56"/>
  <c r="I18" i="56" s="1"/>
  <c r="K18" i="56" s="1"/>
  <c r="X61" i="48"/>
  <c r="X51" i="48"/>
  <c r="F91" i="52"/>
  <c r="I91" i="52" s="1"/>
  <c r="W52" i="48"/>
  <c r="X40" i="48"/>
  <c r="V37" i="48"/>
  <c r="K45" i="55"/>
  <c r="K76" i="61" s="1"/>
  <c r="K78" i="61" s="1"/>
  <c r="C45" i="55"/>
  <c r="C76" i="61" s="1"/>
  <c r="C78" i="61" s="1"/>
  <c r="K34" i="51"/>
  <c r="F14" i="52"/>
  <c r="H14" i="52" s="1"/>
  <c r="G15" i="42"/>
  <c r="X71" i="48"/>
  <c r="X57" i="48"/>
  <c r="U21" i="48"/>
  <c r="V52" i="48"/>
  <c r="U45" i="48"/>
  <c r="U44" i="48"/>
  <c r="C22" i="56"/>
  <c r="E22" i="56" s="1"/>
  <c r="G22" i="56" s="1"/>
  <c r="I22" i="56" s="1"/>
  <c r="K22" i="56" s="1"/>
  <c r="E12" i="56"/>
  <c r="E164" i="46"/>
  <c r="X23" i="48"/>
  <c r="V38" i="48"/>
  <c r="F189" i="52"/>
  <c r="N120" i="53"/>
  <c r="X36" i="48"/>
  <c r="W36" i="48"/>
  <c r="V36" i="48"/>
  <c r="C9" i="41"/>
  <c r="F94" i="53"/>
  <c r="AQ7" i="40"/>
  <c r="F40" i="45"/>
  <c r="H39" i="45"/>
  <c r="G8" i="41"/>
  <c r="H10" i="18"/>
  <c r="U23" i="40"/>
  <c r="N14" i="34"/>
  <c r="F52" i="78"/>
  <c r="G46" i="47"/>
  <c r="D203" i="52" s="1"/>
  <c r="T9" i="38"/>
  <c r="C45" i="47"/>
  <c r="D48" i="52" s="1"/>
  <c r="R7" i="40"/>
  <c r="E38" i="47"/>
  <c r="B118" i="52" s="1"/>
  <c r="I37" i="47"/>
  <c r="C271" i="52" s="1"/>
  <c r="C40" i="47"/>
  <c r="D43" i="52" s="1"/>
  <c r="G50" i="47"/>
  <c r="D138" i="53" s="1"/>
  <c r="E46" i="47"/>
  <c r="C126" i="52" s="1"/>
  <c r="G51" i="47"/>
  <c r="B208" i="52" s="1"/>
  <c r="G44" i="47"/>
  <c r="D201" i="52" s="1"/>
  <c r="C33" i="47"/>
  <c r="U34" i="48"/>
  <c r="G14" i="34"/>
  <c r="C8" i="41"/>
  <c r="I38" i="47"/>
  <c r="E272" i="52" s="1"/>
  <c r="E50" i="47"/>
  <c r="F130" i="52" s="1"/>
  <c r="H322" i="52"/>
  <c r="H14" i="36"/>
  <c r="N14" i="36"/>
  <c r="I46" i="47"/>
  <c r="O51" i="53" s="1"/>
  <c r="E42" i="47"/>
  <c r="E122" i="52" s="1"/>
  <c r="G48" i="47"/>
  <c r="D136" i="53" s="1"/>
  <c r="G49" i="47"/>
  <c r="D54" i="53" s="1"/>
  <c r="C51" i="47"/>
  <c r="G56" i="53" s="1"/>
  <c r="B36" i="45"/>
  <c r="C36" i="45" s="1"/>
  <c r="C18" i="45" s="1"/>
  <c r="AB23" i="40"/>
  <c r="W42" i="40"/>
  <c r="Y41" i="40"/>
  <c r="AA40" i="40"/>
  <c r="Y31" i="40"/>
  <c r="S31" i="40"/>
  <c r="G6" i="53"/>
  <c r="I14" i="52"/>
  <c r="AE40" i="40"/>
  <c r="W11" i="40"/>
  <c r="R10" i="40"/>
  <c r="Z39" i="40"/>
  <c r="E7" i="18"/>
  <c r="C32" i="21" s="1"/>
  <c r="J41" i="45"/>
  <c r="F32" i="45"/>
  <c r="J39" i="45"/>
  <c r="K18" i="16"/>
  <c r="N18" i="16" s="1"/>
  <c r="L9" i="38"/>
  <c r="R12" i="40"/>
  <c r="X10" i="40"/>
  <c r="AC7" i="40"/>
  <c r="Y7" i="40"/>
  <c r="Z42" i="40"/>
  <c r="V42" i="40"/>
  <c r="R42" i="40"/>
  <c r="V40" i="40"/>
  <c r="F10" i="19"/>
  <c r="J10" i="19"/>
  <c r="I10" i="19"/>
  <c r="E10" i="19"/>
  <c r="Y33" i="40"/>
  <c r="AF23" i="40"/>
  <c r="S44" i="40"/>
  <c r="Y39" i="40"/>
  <c r="AA31" i="40"/>
  <c r="J33" i="45"/>
  <c r="H7" i="18"/>
  <c r="I7" i="18" s="1"/>
  <c r="J7" i="18" s="1"/>
  <c r="K7" i="18" s="1"/>
  <c r="AF8" i="40"/>
  <c r="V41" i="40"/>
  <c r="AD23" i="40"/>
  <c r="T11" i="40"/>
  <c r="AA10" i="40"/>
  <c r="Z9" i="40"/>
  <c r="U8" i="40"/>
  <c r="D31" i="45"/>
  <c r="E31" i="45" s="1"/>
  <c r="E13" i="45" s="1"/>
  <c r="V32" i="48"/>
  <c r="W57" i="48"/>
  <c r="W48" i="48"/>
  <c r="W40" i="48"/>
  <c r="W41" i="48"/>
  <c r="W42" i="48"/>
  <c r="V33" i="48"/>
  <c r="G9" i="11"/>
  <c r="B38" i="45"/>
  <c r="C38" i="45" s="1"/>
  <c r="C20" i="45" s="1"/>
  <c r="B33" i="45"/>
  <c r="C33" i="45" s="1"/>
  <c r="C15" i="45" s="1"/>
  <c r="D38" i="45"/>
  <c r="E38" i="45" s="1"/>
  <c r="E20" i="45" s="1"/>
  <c r="D28" i="45"/>
  <c r="E28" i="45" s="1"/>
  <c r="E10" i="45" s="1"/>
  <c r="AA41" i="40"/>
  <c r="W39" i="40"/>
  <c r="F14" i="36"/>
  <c r="L14" i="36"/>
  <c r="U38" i="40"/>
  <c r="I8" i="25"/>
  <c r="Y34" i="40"/>
  <c r="S34" i="40"/>
  <c r="Z17" i="40"/>
  <c r="K14" i="36"/>
  <c r="G14" i="36"/>
  <c r="J14" i="34"/>
  <c r="F14" i="34"/>
  <c r="M55" i="53"/>
  <c r="E6" i="40"/>
  <c r="F6" i="40" s="1"/>
  <c r="G6" i="40" s="1"/>
  <c r="H6" i="40" s="1"/>
  <c r="I6" i="40" s="1"/>
  <c r="J6" i="40" s="1"/>
  <c r="K6" i="40" s="1"/>
  <c r="L6" i="40" s="1"/>
  <c r="M6" i="40" s="1"/>
  <c r="P14" i="36"/>
  <c r="E19" i="56"/>
  <c r="G19" i="56" s="1"/>
  <c r="I19" i="56" s="1"/>
  <c r="K19" i="56" s="1"/>
  <c r="H91" i="52"/>
  <c r="J14" i="32"/>
  <c r="F101" i="45"/>
  <c r="H101" i="45" s="1"/>
  <c r="I101" i="45" s="1"/>
  <c r="C35" i="46"/>
  <c r="C14" i="56"/>
  <c r="T9" i="36"/>
  <c r="C14" i="25"/>
  <c r="X22" i="40"/>
  <c r="T33" i="40"/>
  <c r="E14" i="34"/>
  <c r="Z32" i="40"/>
  <c r="K14" i="34"/>
  <c r="V21" i="40"/>
  <c r="T32" i="40"/>
  <c r="AA19" i="40"/>
  <c r="Y30" i="40"/>
  <c r="U30" i="40"/>
  <c r="S19" i="40"/>
  <c r="AA29" i="40"/>
  <c r="U29" i="40"/>
  <c r="I61" i="44"/>
  <c r="I63" i="44" s="1"/>
  <c r="E61" i="44"/>
  <c r="E63" i="44" s="1"/>
  <c r="C61" i="44"/>
  <c r="C62" i="44" s="1"/>
  <c r="G41" i="44"/>
  <c r="G22" i="51" s="1"/>
  <c r="G72" i="53"/>
  <c r="G73" i="53" s="1"/>
  <c r="G34" i="44"/>
  <c r="AS7" i="40"/>
  <c r="AP7" i="40"/>
  <c r="AW16" i="40"/>
  <c r="BK16" i="40" s="1"/>
  <c r="BK6" i="40"/>
  <c r="S38" i="40"/>
  <c r="X40" i="40"/>
  <c r="X43" i="40"/>
  <c r="S9" i="40"/>
  <c r="T41" i="40"/>
  <c r="AA44" i="40"/>
  <c r="W17" i="40"/>
  <c r="U18" i="40"/>
  <c r="Z21" i="40"/>
  <c r="R23" i="40"/>
  <c r="Y19" i="40"/>
  <c r="X20" i="40"/>
  <c r="S22" i="40"/>
  <c r="AF57" i="40"/>
  <c r="X57" i="40"/>
  <c r="AA56" i="40"/>
  <c r="S56" i="40"/>
  <c r="Z50" i="40"/>
  <c r="R50" i="40"/>
  <c r="U49" i="40"/>
  <c r="AF42" i="40"/>
  <c r="AC41" i="40"/>
  <c r="AB39" i="40"/>
  <c r="AF34" i="40"/>
  <c r="U34" i="40"/>
  <c r="V33" i="40"/>
  <c r="V32" i="40"/>
  <c r="W31" i="40"/>
  <c r="V30" i="40"/>
  <c r="X29" i="40"/>
  <c r="W28" i="40"/>
  <c r="AE23" i="40"/>
  <c r="AF22" i="40"/>
  <c r="AE19" i="40"/>
  <c r="AB18" i="40"/>
  <c r="AC17" i="40"/>
  <c r="AB13" i="40"/>
  <c r="T13" i="40"/>
  <c r="X12" i="40"/>
  <c r="AB11" i="40"/>
  <c r="U11" i="40"/>
  <c r="Z10" i="40"/>
  <c r="S10" i="40"/>
  <c r="AA9" i="40"/>
  <c r="X9" i="40"/>
  <c r="X8" i="40"/>
  <c r="U20" i="40"/>
  <c r="AA23" i="40"/>
  <c r="U40" i="40"/>
  <c r="W44" i="40"/>
  <c r="U39" i="40"/>
  <c r="AD7" i="40"/>
  <c r="G10" i="18"/>
  <c r="M9" i="16"/>
  <c r="O9" i="16" s="1"/>
  <c r="Q9" i="16" s="1"/>
  <c r="T17" i="40"/>
  <c r="R20" i="40"/>
  <c r="Z22" i="40"/>
  <c r="W19" i="40"/>
  <c r="X21" i="40"/>
  <c r="I40" i="16"/>
  <c r="G40" i="16" s="1"/>
  <c r="E40" i="16" s="1"/>
  <c r="B7" i="20"/>
  <c r="C7" i="20" s="1"/>
  <c r="D7" i="20" s="1"/>
  <c r="E7" i="20" s="1"/>
  <c r="F7" i="20" s="1"/>
  <c r="G7" i="20" s="1"/>
  <c r="H7" i="20" s="1"/>
  <c r="I7" i="20" s="1"/>
  <c r="J7" i="20" s="1"/>
  <c r="K7" i="20" s="1"/>
  <c r="L7" i="20" s="1"/>
  <c r="AC57" i="40"/>
  <c r="U57" i="40"/>
  <c r="AB56" i="40"/>
  <c r="T56" i="40"/>
  <c r="AA50" i="40"/>
  <c r="S50" i="40"/>
  <c r="V49" i="40"/>
  <c r="AE44" i="40"/>
  <c r="AB43" i="40"/>
  <c r="AD41" i="40"/>
  <c r="W34" i="40"/>
  <c r="AF33" i="40"/>
  <c r="R33" i="40"/>
  <c r="R32" i="40"/>
  <c r="W30" i="40"/>
  <c r="Y29" i="40"/>
  <c r="T29" i="40"/>
  <c r="S28" i="40"/>
  <c r="AD21" i="40"/>
  <c r="AF19" i="40"/>
  <c r="AD17" i="40"/>
  <c r="AC13" i="40"/>
  <c r="U13" i="40"/>
  <c r="AB12" i="40"/>
  <c r="AF9" i="40"/>
  <c r="Y9" i="40"/>
  <c r="AC8" i="40"/>
  <c r="V8" i="40"/>
  <c r="V7" i="40"/>
  <c r="E49" i="51"/>
  <c r="I166" i="52"/>
  <c r="M14" i="36"/>
  <c r="E14" i="36"/>
  <c r="G9" i="41"/>
  <c r="Y18" i="40"/>
  <c r="Z19" i="40"/>
  <c r="T23" i="40"/>
  <c r="Y38" i="40"/>
  <c r="CF7" i="40" s="1"/>
  <c r="Y42" i="40"/>
  <c r="U44" i="40"/>
  <c r="AA7" i="40"/>
  <c r="S23" i="40"/>
  <c r="Y40" i="40"/>
  <c r="AA43" i="40"/>
  <c r="AB7" i="40"/>
  <c r="AE8" i="40"/>
  <c r="E100" i="52"/>
  <c r="H100" i="52" s="1"/>
  <c r="H41" i="45"/>
  <c r="K77" i="45"/>
  <c r="K48" i="51" s="1"/>
  <c r="I48" i="42"/>
  <c r="C242" i="52" s="1"/>
  <c r="C247" i="52" s="1"/>
  <c r="F33" i="45"/>
  <c r="I38" i="78"/>
  <c r="K38" i="78" s="1"/>
  <c r="K31" i="58" s="1"/>
  <c r="H145" i="52"/>
  <c r="I9" i="16"/>
  <c r="G9" i="16" s="1"/>
  <c r="E9" i="16" s="1"/>
  <c r="S17" i="40"/>
  <c r="Y17" i="40"/>
  <c r="BR7" i="40" s="1"/>
  <c r="AA18" i="40"/>
  <c r="R22" i="40"/>
  <c r="V17" i="40"/>
  <c r="U19" i="40"/>
  <c r="T20" i="40"/>
  <c r="U21" i="40"/>
  <c r="X23" i="40"/>
  <c r="AG50" i="40"/>
  <c r="AH50" i="40" s="1"/>
  <c r="M40" i="16"/>
  <c r="P40" i="16" s="1"/>
  <c r="AF40" i="40"/>
  <c r="AC40" i="40"/>
  <c r="AC34" i="40"/>
  <c r="X34" i="40"/>
  <c r="Y32" i="40"/>
  <c r="T31" i="40"/>
  <c r="S30" i="40"/>
  <c r="Z28" i="40"/>
  <c r="T28" i="40"/>
  <c r="AD22" i="40"/>
  <c r="AE21" i="40"/>
  <c r="AF20" i="40"/>
  <c r="AB20" i="40"/>
  <c r="AC19" i="40"/>
  <c r="AD18" i="40"/>
  <c r="AE17" i="40"/>
  <c r="D16" i="40"/>
  <c r="D27" i="40" s="1"/>
  <c r="AD13" i="40"/>
  <c r="Z13" i="40"/>
  <c r="V13" i="40"/>
  <c r="R13" i="40"/>
  <c r="AC12" i="40"/>
  <c r="Z12" i="40"/>
  <c r="V12" i="40"/>
  <c r="AE10" i="40"/>
  <c r="U10" i="40"/>
  <c r="V9" i="40"/>
  <c r="AD8" i="40"/>
  <c r="W8" i="40"/>
  <c r="S8" i="40"/>
  <c r="W7" i="40"/>
  <c r="S7" i="40"/>
  <c r="K3" i="46"/>
  <c r="K95" i="46" s="1"/>
  <c r="T30" i="48"/>
  <c r="G20" i="50"/>
  <c r="B28" i="45"/>
  <c r="C28" i="45" s="1"/>
  <c r="C10" i="45" s="1"/>
  <c r="D32" i="45"/>
  <c r="E32" i="45" s="1"/>
  <c r="E14" i="45" s="1"/>
  <c r="F28" i="45"/>
  <c r="Z43" i="40"/>
  <c r="H40" i="45"/>
  <c r="AA33" i="40"/>
  <c r="Z31" i="40"/>
  <c r="V31" i="40"/>
  <c r="R29" i="40"/>
  <c r="Y28" i="40"/>
  <c r="BD38" i="40"/>
  <c r="V22" i="40"/>
  <c r="T39" i="40"/>
  <c r="T42" i="40"/>
  <c r="Z44" i="40"/>
  <c r="X39" i="40"/>
  <c r="S43" i="40"/>
  <c r="AF7" i="40"/>
  <c r="AD28" i="40"/>
  <c r="Y20" i="40"/>
  <c r="S18" i="40"/>
  <c r="AB57" i="40"/>
  <c r="T57" i="40"/>
  <c r="AE56" i="40"/>
  <c r="W56" i="40"/>
  <c r="AD50" i="40"/>
  <c r="V50" i="40"/>
  <c r="Y49" i="40"/>
  <c r="AD44" i="40"/>
  <c r="AE43" i="40"/>
  <c r="AB42" i="40"/>
  <c r="AF39" i="40"/>
  <c r="AC38" i="40"/>
  <c r="AA34" i="40"/>
  <c r="AB33" i="40"/>
  <c r="AD32" i="40"/>
  <c r="AC31" i="40"/>
  <c r="AA30" i="40"/>
  <c r="AF29" i="40"/>
  <c r="S29" i="40"/>
  <c r="R28" i="40"/>
  <c r="AC23" i="40"/>
  <c r="AB22" i="40"/>
  <c r="AD20" i="40"/>
  <c r="AF18" i="40"/>
  <c r="AF13" i="40"/>
  <c r="X13" i="40"/>
  <c r="AE12" i="40"/>
  <c r="AA12" i="40"/>
  <c r="X11" i="40"/>
  <c r="AC10" i="40"/>
  <c r="W10" i="40"/>
  <c r="AE9" i="40"/>
  <c r="T9" i="40"/>
  <c r="AB8" i="40"/>
  <c r="W20" i="40"/>
  <c r="D118" i="52"/>
  <c r="S20" i="40"/>
  <c r="R39" i="40"/>
  <c r="R43" i="40"/>
  <c r="R41" i="40"/>
  <c r="X44" i="40"/>
  <c r="T18" i="40"/>
  <c r="W21" i="40"/>
  <c r="V20" i="40"/>
  <c r="Y23" i="40"/>
  <c r="BY6" i="40"/>
  <c r="BZ6" i="40" s="1"/>
  <c r="CA6" i="40" s="1"/>
  <c r="CB6" i="40" s="1"/>
  <c r="CC6" i="40" s="1"/>
  <c r="CD6" i="40" s="1"/>
  <c r="CE6" i="40" s="1"/>
  <c r="CF6" i="40" s="1"/>
  <c r="CG6" i="40" s="1"/>
  <c r="CH6" i="40" s="1"/>
  <c r="G14" i="32"/>
  <c r="J14" i="36"/>
  <c r="Y57" i="40"/>
  <c r="AF56" i="40"/>
  <c r="X56" i="40"/>
  <c r="AE50" i="40"/>
  <c r="W50" i="40"/>
  <c r="AD49" i="40"/>
  <c r="AF43" i="40"/>
  <c r="AC42" i="40"/>
  <c r="AB40" i="40"/>
  <c r="AB34" i="40"/>
  <c r="X33" i="40"/>
  <c r="X32" i="40"/>
  <c r="X31" i="40"/>
  <c r="R30" i="40"/>
  <c r="X28" i="40"/>
  <c r="AD34" i="40"/>
  <c r="AC22" i="40"/>
  <c r="AB19" i="40"/>
  <c r="AF12" i="40"/>
  <c r="Y12" i="40"/>
  <c r="AB9" i="40"/>
  <c r="U9" i="40"/>
  <c r="Y8" i="40"/>
  <c r="R8" i="40"/>
  <c r="Z7" i="40"/>
  <c r="BE48" i="40" s="1"/>
  <c r="C132" i="46"/>
  <c r="C141" i="46"/>
  <c r="I14" i="36"/>
  <c r="J10" i="18"/>
  <c r="T13" i="34"/>
  <c r="W18" i="40"/>
  <c r="X7" i="40"/>
  <c r="R17" i="40"/>
  <c r="S40" i="40"/>
  <c r="V43" i="40"/>
  <c r="Z8" i="40"/>
  <c r="J7" i="17"/>
  <c r="K7" i="17" s="1"/>
  <c r="I8" i="41"/>
  <c r="K9" i="41"/>
  <c r="H33" i="45"/>
  <c r="H32" i="45"/>
  <c r="F41" i="45"/>
  <c r="X17" i="40"/>
  <c r="V18" i="40"/>
  <c r="R21" i="40"/>
  <c r="AA21" i="40"/>
  <c r="V23" i="40"/>
  <c r="T19" i="40"/>
  <c r="AA20" i="40"/>
  <c r="AA22" i="40"/>
  <c r="N40" i="16"/>
  <c r="L14" i="34"/>
  <c r="AE57" i="40"/>
  <c r="AA57" i="40"/>
  <c r="W57" i="40"/>
  <c r="S57" i="40"/>
  <c r="AD56" i="40"/>
  <c r="Z56" i="40"/>
  <c r="V56" i="40"/>
  <c r="R56" i="40"/>
  <c r="AC50" i="40"/>
  <c r="Y50" i="40"/>
  <c r="U50" i="40"/>
  <c r="AF49" i="40"/>
  <c r="X49" i="40"/>
  <c r="AC44" i="40"/>
  <c r="AD43" i="40"/>
  <c r="AE42" i="40"/>
  <c r="AF41" i="40"/>
  <c r="AB41" i="40"/>
  <c r="AD40" i="40"/>
  <c r="AE39" i="40"/>
  <c r="AF38" i="40"/>
  <c r="AE34" i="40"/>
  <c r="T34" i="40"/>
  <c r="Z33" i="40"/>
  <c r="U33" i="40"/>
  <c r="U32" i="40"/>
  <c r="U31" i="40"/>
  <c r="Z30" i="40"/>
  <c r="AB29" i="40"/>
  <c r="W29" i="40"/>
  <c r="AA28" i="40"/>
  <c r="V28" i="40"/>
  <c r="W12" i="40"/>
  <c r="S12" i="40"/>
  <c r="AE11" i="40"/>
  <c r="AA11" i="40"/>
  <c r="AF10" i="40"/>
  <c r="AB10" i="40"/>
  <c r="Y10" i="40"/>
  <c r="AD9" i="40"/>
  <c r="K3" i="47"/>
  <c r="L99" i="48"/>
  <c r="B40" i="45"/>
  <c r="C40" i="45" s="1"/>
  <c r="C22" i="45" s="1"/>
  <c r="B29" i="45"/>
  <c r="C29" i="45" s="1"/>
  <c r="C11" i="45" s="1"/>
  <c r="D40" i="45"/>
  <c r="E40" i="45" s="1"/>
  <c r="E22" i="45" s="1"/>
  <c r="U42" i="40"/>
  <c r="X41" i="40"/>
  <c r="Z40" i="40"/>
  <c r="V39" i="40"/>
  <c r="I10" i="25"/>
  <c r="Z34" i="40"/>
  <c r="V34" i="40"/>
  <c r="W33" i="40"/>
  <c r="U22" i="40"/>
  <c r="S33" i="40"/>
  <c r="AA32" i="40"/>
  <c r="Y21" i="40"/>
  <c r="W32" i="40"/>
  <c r="R31" i="40"/>
  <c r="V19" i="40"/>
  <c r="T30" i="40"/>
  <c r="AA17" i="40"/>
  <c r="G11" i="11"/>
  <c r="I15" i="20"/>
  <c r="A20" i="54"/>
  <c r="G139" i="46"/>
  <c r="G141" i="46" s="1"/>
  <c r="K61" i="44"/>
  <c r="G61" i="44"/>
  <c r="C34" i="51"/>
  <c r="K38" i="51"/>
  <c r="G35" i="51"/>
  <c r="K37" i="51"/>
  <c r="C35" i="51"/>
  <c r="K39" i="51"/>
  <c r="C38" i="51"/>
  <c r="E36" i="51"/>
  <c r="C36" i="51"/>
  <c r="E35" i="51"/>
  <c r="K35" i="51"/>
  <c r="E39" i="51"/>
  <c r="C26" i="51"/>
  <c r="K26" i="51"/>
  <c r="E26" i="51"/>
  <c r="C40" i="51"/>
  <c r="C33" i="51"/>
  <c r="K33" i="51"/>
  <c r="G31" i="50"/>
  <c r="G51" i="78"/>
  <c r="W43" i="48"/>
  <c r="V51" i="48"/>
  <c r="X43" i="48"/>
  <c r="V43" i="48"/>
  <c r="X69" i="48"/>
  <c r="X42" i="48"/>
  <c r="W34" i="48"/>
  <c r="U42" i="48"/>
  <c r="F88" i="48" s="1"/>
  <c r="F111" i="48" s="1"/>
  <c r="V42" i="48"/>
  <c r="X41" i="48"/>
  <c r="U41" i="48"/>
  <c r="F87" i="48" s="1"/>
  <c r="F110" i="48" s="1"/>
  <c r="V48" i="48"/>
  <c r="H86" i="48" s="1"/>
  <c r="H109" i="48" s="1"/>
  <c r="X32" i="48"/>
  <c r="W32" i="48"/>
  <c r="U32" i="48"/>
  <c r="T32" i="48"/>
  <c r="V22" i="48"/>
  <c r="W23" i="48"/>
  <c r="H63" i="78"/>
  <c r="H70" i="78" s="1"/>
  <c r="B130" i="52"/>
  <c r="I134" i="53"/>
  <c r="I48" i="47"/>
  <c r="F282" i="52" s="1"/>
  <c r="G42" i="47"/>
  <c r="C199" i="52" s="1"/>
  <c r="K44" i="47"/>
  <c r="I42" i="47"/>
  <c r="J47" i="53" s="1"/>
  <c r="I50" i="47"/>
  <c r="D284" i="52" s="1"/>
  <c r="G43" i="47"/>
  <c r="N131" i="53" s="1"/>
  <c r="I39" i="47"/>
  <c r="E44" i="53" s="1"/>
  <c r="I28" i="47"/>
  <c r="G52" i="47"/>
  <c r="I140" i="53" s="1"/>
  <c r="G47" i="47"/>
  <c r="D52" i="53" s="1"/>
  <c r="I41" i="47"/>
  <c r="E46" i="53" s="1"/>
  <c r="D121" i="52"/>
  <c r="G38" i="47"/>
  <c r="B195" i="52" s="1"/>
  <c r="E33" i="47"/>
  <c r="G41" i="47"/>
  <c r="I129" i="53" s="1"/>
  <c r="E189" i="52"/>
  <c r="H129" i="53"/>
  <c r="M46" i="53"/>
  <c r="H46" i="53"/>
  <c r="K38" i="47"/>
  <c r="F126" i="53" s="1"/>
  <c r="I45" i="47"/>
  <c r="O50" i="53" s="1"/>
  <c r="G45" i="47"/>
  <c r="E202" i="52" s="1"/>
  <c r="G189" i="52"/>
  <c r="I53" i="47"/>
  <c r="G37" i="47"/>
  <c r="N42" i="53" s="1"/>
  <c r="E166" i="46"/>
  <c r="E168" i="46" s="1"/>
  <c r="E69" i="46"/>
  <c r="E71" i="46" s="1"/>
  <c r="E42" i="46"/>
  <c r="E44" i="46" s="1"/>
  <c r="G110" i="46"/>
  <c r="G112" i="46" s="1"/>
  <c r="G114" i="46" s="1"/>
  <c r="C101" i="46"/>
  <c r="C103" i="46" s="1"/>
  <c r="C105" i="46" s="1"/>
  <c r="E101" i="46"/>
  <c r="E103" i="46" s="1"/>
  <c r="E105" i="46" s="1"/>
  <c r="C87" i="46"/>
  <c r="C89" i="46" s="1"/>
  <c r="E110" i="46"/>
  <c r="E112" i="46" s="1"/>
  <c r="E114" i="46" s="1"/>
  <c r="E58" i="46"/>
  <c r="E60" i="46" s="1"/>
  <c r="E62" i="46" s="1"/>
  <c r="E87" i="46"/>
  <c r="E89" i="46" s="1"/>
  <c r="E91" i="46" s="1"/>
  <c r="G87" i="46"/>
  <c r="G89" i="46" s="1"/>
  <c r="G91" i="46" s="1"/>
  <c r="G39" i="46"/>
  <c r="I39" i="46" s="1"/>
  <c r="K39" i="46" s="1"/>
  <c r="E33" i="46"/>
  <c r="E35" i="46" s="1"/>
  <c r="E146" i="46"/>
  <c r="E148" i="46" s="1"/>
  <c r="E150" i="46" s="1"/>
  <c r="G30" i="46"/>
  <c r="I136" i="46"/>
  <c r="K136" i="46" s="1"/>
  <c r="K137" i="46" s="1"/>
  <c r="G57" i="46"/>
  <c r="I57" i="46" s="1"/>
  <c r="I58" i="46" s="1"/>
  <c r="I60" i="46" s="1"/>
  <c r="E49" i="46"/>
  <c r="E51" i="46" s="1"/>
  <c r="E53" i="46" s="1"/>
  <c r="K109" i="46"/>
  <c r="K110" i="46" s="1"/>
  <c r="I87" i="46"/>
  <c r="I89" i="46" s="1"/>
  <c r="K86" i="46"/>
  <c r="K87" i="46" s="1"/>
  <c r="G146" i="46"/>
  <c r="G148" i="46" s="1"/>
  <c r="G150" i="46" s="1"/>
  <c r="I145" i="46"/>
  <c r="I112" i="46"/>
  <c r="I114" i="46" s="1"/>
  <c r="I49" i="46"/>
  <c r="I51" i="46" s="1"/>
  <c r="K48" i="46"/>
  <c r="K49" i="46" s="1"/>
  <c r="K51" i="46" s="1"/>
  <c r="G128" i="46"/>
  <c r="G130" i="46" s="1"/>
  <c r="G132" i="46" s="1"/>
  <c r="I127" i="46"/>
  <c r="G66" i="46"/>
  <c r="G163" i="46"/>
  <c r="G49" i="46"/>
  <c r="G51" i="46" s="1"/>
  <c r="G53" i="46" s="1"/>
  <c r="G100" i="46"/>
  <c r="G11" i="46"/>
  <c r="G61" i="46" s="1"/>
  <c r="I245" i="52"/>
  <c r="H168" i="52"/>
  <c r="I168" i="52"/>
  <c r="I97" i="53"/>
  <c r="E33" i="45"/>
  <c r="E15" i="45" s="1"/>
  <c r="E40" i="44"/>
  <c r="C14" i="78"/>
  <c r="C83" i="78" s="1"/>
  <c r="D9" i="50" s="1"/>
  <c r="AK8" i="40"/>
  <c r="BR38" i="40"/>
  <c r="G89" i="42"/>
  <c r="G13" i="46" s="1"/>
  <c r="I88" i="42"/>
  <c r="I14" i="46"/>
  <c r="I90" i="46" s="1"/>
  <c r="K14" i="46"/>
  <c r="K90" i="46" s="1"/>
  <c r="I14" i="42"/>
  <c r="J45" i="41"/>
  <c r="J47" i="41" s="1"/>
  <c r="J48" i="41" s="1"/>
  <c r="H47" i="41"/>
  <c r="H48" i="41" s="1"/>
  <c r="F47" i="41"/>
  <c r="F48" i="41" s="1"/>
  <c r="E20" i="41"/>
  <c r="C20" i="41"/>
  <c r="C27" i="41" s="1"/>
  <c r="C33" i="41" s="1"/>
  <c r="K21" i="41"/>
  <c r="K20" i="41"/>
  <c r="G20" i="41"/>
  <c r="G27" i="41" s="1"/>
  <c r="I21" i="41"/>
  <c r="E271" i="52"/>
  <c r="J42" i="53"/>
  <c r="E194" i="52"/>
  <c r="E62" i="55"/>
  <c r="E93" i="61" s="1"/>
  <c r="E60" i="55"/>
  <c r="E91" i="61" s="1"/>
  <c r="D19" i="20"/>
  <c r="F19" i="20"/>
  <c r="C80" i="45"/>
  <c r="C23" i="51"/>
  <c r="B121" i="52"/>
  <c r="F121" i="52"/>
  <c r="C121" i="52"/>
  <c r="G121" i="52"/>
  <c r="C46" i="53"/>
  <c r="M129" i="53"/>
  <c r="E48" i="47"/>
  <c r="C41" i="47"/>
  <c r="C47" i="47"/>
  <c r="E50" i="52" s="1"/>
  <c r="C52" i="47"/>
  <c r="G57" i="53" s="1"/>
  <c r="G39" i="47"/>
  <c r="G40" i="47"/>
  <c r="I51" i="47"/>
  <c r="E139" i="53" s="1"/>
  <c r="E39" i="47"/>
  <c r="C127" i="53" s="1"/>
  <c r="E51" i="47"/>
  <c r="B131" i="52" s="1"/>
  <c r="C37" i="47"/>
  <c r="C43" i="47"/>
  <c r="C48" i="47"/>
  <c r="C53" i="47"/>
  <c r="S32" i="40"/>
  <c r="S21" i="40"/>
  <c r="X30" i="40"/>
  <c r="X19" i="40"/>
  <c r="I13" i="25"/>
  <c r="Z38" i="40"/>
  <c r="CG48" i="40" s="1"/>
  <c r="I63" i="78"/>
  <c r="J63" i="78" s="1"/>
  <c r="J70" i="78" s="1"/>
  <c r="I31" i="58"/>
  <c r="I320" i="52"/>
  <c r="R9" i="38"/>
  <c r="R14" i="32"/>
  <c r="T7" i="32"/>
  <c r="AD33" i="40"/>
  <c r="AE28" i="40"/>
  <c r="B128" i="53"/>
  <c r="G21" i="41"/>
  <c r="M14" i="34"/>
  <c r="I89" i="52"/>
  <c r="H89" i="52"/>
  <c r="U28" i="40"/>
  <c r="H14" i="34"/>
  <c r="U17" i="40"/>
  <c r="C43" i="53"/>
  <c r="G201" i="52"/>
  <c r="D130" i="52"/>
  <c r="V38" i="40"/>
  <c r="I125" i="53"/>
  <c r="E32" i="58"/>
  <c r="J9" i="38"/>
  <c r="E7" i="25"/>
  <c r="C7" i="25" s="1"/>
  <c r="F14" i="32"/>
  <c r="AD29" i="40"/>
  <c r="E13" i="46"/>
  <c r="F99" i="45"/>
  <c r="H99" i="45" s="1"/>
  <c r="E121" i="52"/>
  <c r="E43" i="52"/>
  <c r="C49" i="47"/>
  <c r="C39" i="47"/>
  <c r="E47" i="47"/>
  <c r="C21" i="41"/>
  <c r="R11" i="40"/>
  <c r="T11" i="32"/>
  <c r="D52" i="78"/>
  <c r="B106" i="53"/>
  <c r="E23" i="52"/>
  <c r="H23" i="52" s="1"/>
  <c r="E53" i="42"/>
  <c r="C146" i="52" s="1"/>
  <c r="C147" i="52" s="1"/>
  <c r="C33" i="56"/>
  <c r="C52" i="55" s="1"/>
  <c r="C53" i="55" s="1"/>
  <c r="C84" i="61" s="1"/>
  <c r="C69" i="52"/>
  <c r="C70" i="52" s="1"/>
  <c r="K15" i="44"/>
  <c r="K47" i="58" s="1"/>
  <c r="I15" i="44"/>
  <c r="I47" i="58" s="1"/>
  <c r="M43" i="53"/>
  <c r="G89" i="53"/>
  <c r="G31" i="58"/>
  <c r="P14" i="34"/>
  <c r="T9" i="34"/>
  <c r="AE32" i="40"/>
  <c r="N14" i="32"/>
  <c r="G139" i="53"/>
  <c r="C44" i="47"/>
  <c r="I20" i="41"/>
  <c r="C44" i="46"/>
  <c r="Y43" i="40"/>
  <c r="U43" i="40"/>
  <c r="AA42" i="40"/>
  <c r="X42" i="40"/>
  <c r="W41" i="40"/>
  <c r="S41" i="40"/>
  <c r="R40" i="40"/>
  <c r="AA38" i="40"/>
  <c r="CH7" i="40" s="1"/>
  <c r="X38" i="40"/>
  <c r="T38" i="40"/>
  <c r="I9" i="25"/>
  <c r="I11" i="25"/>
  <c r="E8" i="41"/>
  <c r="B22" i="57"/>
  <c r="B38" i="57" s="1"/>
  <c r="I9" i="41"/>
  <c r="AF28" i="40"/>
  <c r="X18" i="40"/>
  <c r="Z20" i="40"/>
  <c r="Y22" i="40"/>
  <c r="W23" i="40"/>
  <c r="T22" i="40"/>
  <c r="AG49" i="40"/>
  <c r="AH49" i="40" s="1"/>
  <c r="F10" i="18"/>
  <c r="AD57" i="40"/>
  <c r="Z57" i="40"/>
  <c r="V57" i="40"/>
  <c r="R57" i="40"/>
  <c r="AC56" i="40"/>
  <c r="Y56" i="40"/>
  <c r="U56" i="40"/>
  <c r="AF50" i="40"/>
  <c r="AB50" i="40"/>
  <c r="X50" i="40"/>
  <c r="T50" i="40"/>
  <c r="AE49" i="40"/>
  <c r="AA49" i="40"/>
  <c r="W49" i="40"/>
  <c r="S49" i="40"/>
  <c r="AF44" i="40"/>
  <c r="AB44" i="40"/>
  <c r="AD42" i="40"/>
  <c r="AE41" i="40"/>
  <c r="AD39" i="40"/>
  <c r="AE38" i="40"/>
  <c r="R34" i="40"/>
  <c r="AE29" i="40"/>
  <c r="Z29" i="40"/>
  <c r="V29" i="40"/>
  <c r="AE33" i="40"/>
  <c r="AF21" i="40"/>
  <c r="AB21" i="40"/>
  <c r="AC20" i="40"/>
  <c r="AE18" i="40"/>
  <c r="AE13" i="40"/>
  <c r="AA13" i="40"/>
  <c r="W13" i="40"/>
  <c r="AD12" i="40"/>
  <c r="T12" i="40"/>
  <c r="AC11" i="40"/>
  <c r="Y11" i="40"/>
  <c r="V11" i="40"/>
  <c r="S11" i="40"/>
  <c r="AD10" i="40"/>
  <c r="T10" i="40"/>
  <c r="W9" i="40"/>
  <c r="AA8" i="40"/>
  <c r="T8" i="40"/>
  <c r="AE7" i="40"/>
  <c r="K14" i="32"/>
  <c r="T7" i="40"/>
  <c r="C13" i="46"/>
  <c r="C49" i="51"/>
  <c r="B36" i="56"/>
  <c r="G48" i="42"/>
  <c r="G46" i="55" s="1"/>
  <c r="G77" i="61" s="1"/>
  <c r="B41" i="45"/>
  <c r="C41" i="45" s="1"/>
  <c r="C23" i="45" s="1"/>
  <c r="B39" i="45"/>
  <c r="C39" i="45" s="1"/>
  <c r="C21" i="45" s="1"/>
  <c r="B37" i="45"/>
  <c r="C37" i="45" s="1"/>
  <c r="C19" i="45" s="1"/>
  <c r="B31" i="45"/>
  <c r="C31" i="45" s="1"/>
  <c r="C13" i="45" s="1"/>
  <c r="D39" i="45"/>
  <c r="E39" i="45" s="1"/>
  <c r="E21" i="45" s="1"/>
  <c r="V44" i="40"/>
  <c r="E44" i="47"/>
  <c r="E124" i="52" s="1"/>
  <c r="D10" i="19"/>
  <c r="H10" i="19"/>
  <c r="G10" i="19"/>
  <c r="E9" i="41"/>
  <c r="I12" i="25"/>
  <c r="K10" i="18"/>
  <c r="I10" i="18"/>
  <c r="K58" i="55"/>
  <c r="K62" i="42"/>
  <c r="C58" i="55"/>
  <c r="C62" i="42"/>
  <c r="G58" i="55"/>
  <c r="G62" i="42"/>
  <c r="E62" i="42"/>
  <c r="I62" i="55"/>
  <c r="I93" i="61" s="1"/>
  <c r="E89" i="61"/>
  <c r="I89" i="61"/>
  <c r="I62" i="42"/>
  <c r="E45" i="55"/>
  <c r="E76" i="61" s="1"/>
  <c r="E78" i="61" s="1"/>
  <c r="C60" i="45"/>
  <c r="C22" i="52" s="1"/>
  <c r="E27" i="43"/>
  <c r="E77" i="45" s="1"/>
  <c r="E48" i="51" s="1"/>
  <c r="E48" i="42"/>
  <c r="D25" i="44"/>
  <c r="E94" i="53"/>
  <c r="E242" i="52"/>
  <c r="C22" i="51"/>
  <c r="D27" i="78"/>
  <c r="G94" i="53"/>
  <c r="F11" i="52"/>
  <c r="C48" i="42"/>
  <c r="C11" i="52" s="1"/>
  <c r="E60" i="45"/>
  <c r="C99" i="52" s="1"/>
  <c r="G79" i="45"/>
  <c r="G45" i="55"/>
  <c r="G76" i="61" s="1"/>
  <c r="G78" i="61" s="1"/>
  <c r="C40" i="44"/>
  <c r="E165" i="52"/>
  <c r="G77" i="45"/>
  <c r="C27" i="43"/>
  <c r="I45" i="55"/>
  <c r="I76" i="61" s="1"/>
  <c r="I78" i="61" s="1"/>
  <c r="I77" i="45"/>
  <c r="I8" i="26"/>
  <c r="M12" i="20"/>
  <c r="E15" i="20"/>
  <c r="J22" i="40"/>
  <c r="K33" i="40" s="1"/>
  <c r="L43" i="40" s="1"/>
  <c r="M53" i="40" s="1"/>
  <c r="N12" i="40"/>
  <c r="C66" i="41" s="1"/>
  <c r="M14" i="20"/>
  <c r="M13" i="20"/>
  <c r="N22" i="40"/>
  <c r="E66" i="41" s="1"/>
  <c r="L15" i="20"/>
  <c r="M10" i="20"/>
  <c r="J14" i="40"/>
  <c r="K17" i="40"/>
  <c r="L17" i="40"/>
  <c r="BD7" i="40"/>
  <c r="M17" i="40"/>
  <c r="L14" i="40"/>
  <c r="G15" i="20"/>
  <c r="M14" i="40"/>
  <c r="J15" i="20"/>
  <c r="K28" i="40"/>
  <c r="J48" i="40"/>
  <c r="E14" i="25"/>
  <c r="M11" i="20"/>
  <c r="G14" i="25"/>
  <c r="K8" i="41"/>
  <c r="E10" i="17"/>
  <c r="L3" i="48"/>
  <c r="K3" i="43"/>
  <c r="K3" i="44"/>
  <c r="D7" i="18"/>
  <c r="F32" i="21"/>
  <c r="I32" i="21"/>
  <c r="Y44" i="40"/>
  <c r="R44" i="40"/>
  <c r="T43" i="40"/>
  <c r="S42" i="40"/>
  <c r="Z41" i="40"/>
  <c r="AA39" i="40"/>
  <c r="W38" i="40"/>
  <c r="T44" i="40"/>
  <c r="W43" i="40"/>
  <c r="U41" i="40"/>
  <c r="W40" i="40"/>
  <c r="T40" i="40"/>
  <c r="S39" i="40"/>
  <c r="R19" i="40"/>
  <c r="Z18" i="40"/>
  <c r="I136" i="53"/>
  <c r="E33" i="56"/>
  <c r="E52" i="55" s="1"/>
  <c r="D53" i="53"/>
  <c r="G53" i="42"/>
  <c r="J79" i="45"/>
  <c r="K79" i="45" s="1"/>
  <c r="I79" i="45"/>
  <c r="E126" i="52"/>
  <c r="O42" i="53"/>
  <c r="B271" i="52"/>
  <c r="D41" i="78"/>
  <c r="O125" i="53"/>
  <c r="D271" i="52"/>
  <c r="Q9" i="38"/>
  <c r="T7" i="36"/>
  <c r="AD19" i="40"/>
  <c r="Q14" i="34"/>
  <c r="V10" i="40"/>
  <c r="T10" i="32"/>
  <c r="I14" i="32"/>
  <c r="AC9" i="40"/>
  <c r="P14" i="32"/>
  <c r="O14" i="32"/>
  <c r="I12" i="52"/>
  <c r="H12" i="52"/>
  <c r="I18" i="50"/>
  <c r="E9" i="57"/>
  <c r="I19" i="40"/>
  <c r="H14" i="40"/>
  <c r="F9" i="40"/>
  <c r="C15" i="20"/>
  <c r="K8" i="40"/>
  <c r="H15" i="20"/>
  <c r="I8" i="40"/>
  <c r="F15" i="20"/>
  <c r="J39" i="40"/>
  <c r="G7" i="40"/>
  <c r="D15" i="20"/>
  <c r="E7" i="40"/>
  <c r="B15" i="20"/>
  <c r="AL7" i="40"/>
  <c r="AM7" i="40"/>
  <c r="AN7" i="40"/>
  <c r="AO7" i="40"/>
  <c r="AN8" i="40"/>
  <c r="AO8" i="40"/>
  <c r="AP8" i="40"/>
  <c r="AQ8" i="40"/>
  <c r="AR8" i="40"/>
  <c r="CF39" i="40" s="1"/>
  <c r="AS8" i="40"/>
  <c r="AL9" i="40"/>
  <c r="AM9" i="40"/>
  <c r="AN9" i="40"/>
  <c r="AO9" i="40"/>
  <c r="AS9" i="40"/>
  <c r="AL10" i="40"/>
  <c r="AM10" i="40"/>
  <c r="AN10" i="40"/>
  <c r="AO10" i="40"/>
  <c r="AP10" i="40"/>
  <c r="AT10" i="40"/>
  <c r="BF10" i="40" s="1"/>
  <c r="AN11" i="40"/>
  <c r="AR11" i="40"/>
  <c r="AL12" i="40"/>
  <c r="AP13" i="40"/>
  <c r="AK7" i="40"/>
  <c r="AQ9" i="40"/>
  <c r="AK10" i="40"/>
  <c r="AR10" i="40"/>
  <c r="AP11" i="40"/>
  <c r="AT11" i="40"/>
  <c r="AO12" i="40"/>
  <c r="AM13" i="40"/>
  <c r="BM13" i="40" s="1"/>
  <c r="AN13" i="40"/>
  <c r="AR13" i="40"/>
  <c r="AL8" i="40"/>
  <c r="AM8" i="40"/>
  <c r="AT8" i="40"/>
  <c r="AK9" i="40"/>
  <c r="AP9" i="40"/>
  <c r="AT9" i="40"/>
  <c r="BT19" i="40" s="1"/>
  <c r="AQ10" i="40"/>
  <c r="AK11" i="40"/>
  <c r="AO11" i="40"/>
  <c r="AS11" i="40"/>
  <c r="AM12" i="40"/>
  <c r="AN12" i="40"/>
  <c r="AL13" i="40"/>
  <c r="AQ13" i="40"/>
  <c r="AS13" i="40"/>
  <c r="AT13" i="40"/>
  <c r="AR9" i="40"/>
  <c r="AL11" i="40"/>
  <c r="AM11" i="40"/>
  <c r="AQ11" i="40"/>
  <c r="AP12" i="40"/>
  <c r="AQ12" i="40"/>
  <c r="AR12" i="40"/>
  <c r="AS12" i="40"/>
  <c r="AT12" i="40"/>
  <c r="AK13" i="40"/>
  <c r="AO13" i="40"/>
  <c r="AS10" i="40"/>
  <c r="T11" i="36"/>
  <c r="AB49" i="40"/>
  <c r="P9" i="38"/>
  <c r="T49" i="40"/>
  <c r="H9" i="38"/>
  <c r="AC43" i="40"/>
  <c r="T12" i="36"/>
  <c r="AE20" i="40"/>
  <c r="T10" i="34"/>
  <c r="R14" i="34"/>
  <c r="AE31" i="40"/>
  <c r="AF17" i="40"/>
  <c r="S14" i="34"/>
  <c r="AB17" i="40"/>
  <c r="T7" i="34"/>
  <c r="O14" i="34"/>
  <c r="AB28" i="40"/>
  <c r="S13" i="40"/>
  <c r="T13" i="32"/>
  <c r="AF11" i="40"/>
  <c r="S14" i="32"/>
  <c r="R9" i="40"/>
  <c r="T9" i="32"/>
  <c r="E100" i="45"/>
  <c r="E102" i="45" s="1"/>
  <c r="F100" i="45"/>
  <c r="I14" i="34"/>
  <c r="T12" i="34"/>
  <c r="AK12" i="40"/>
  <c r="N49" i="16"/>
  <c r="M49" i="16"/>
  <c r="E10" i="18"/>
  <c r="M9" i="38"/>
  <c r="AC39" i="40"/>
  <c r="T8" i="36"/>
  <c r="AC21" i="40"/>
  <c r="AC32" i="40"/>
  <c r="T11" i="34"/>
  <c r="U12" i="40"/>
  <c r="T12" i="32"/>
  <c r="T8" i="32"/>
  <c r="E14" i="32"/>
  <c r="E40" i="51"/>
  <c r="G40" i="51"/>
  <c r="K40" i="51"/>
  <c r="E25" i="51"/>
  <c r="K25" i="51"/>
  <c r="C25" i="51"/>
  <c r="G25" i="51"/>
  <c r="L29" i="40"/>
  <c r="F43" i="40"/>
  <c r="J41" i="40"/>
  <c r="M9" i="20"/>
  <c r="K15" i="20"/>
  <c r="Z49" i="40"/>
  <c r="N9" i="38"/>
  <c r="R49" i="40"/>
  <c r="F9" i="38"/>
  <c r="AD30" i="40"/>
  <c r="AC18" i="40"/>
  <c r="AC29" i="40"/>
  <c r="T8" i="34"/>
  <c r="Y13" i="40"/>
  <c r="L14" i="32"/>
  <c r="AD11" i="40"/>
  <c r="Q14" i="32"/>
  <c r="Z11" i="40"/>
  <c r="M14" i="32"/>
  <c r="U7" i="40"/>
  <c r="H14" i="32"/>
  <c r="AX6" i="40"/>
  <c r="AV5" i="40"/>
  <c r="K37" i="47"/>
  <c r="D10" i="18"/>
  <c r="E19" i="20"/>
  <c r="T10" i="36"/>
  <c r="I9" i="38"/>
  <c r="AC49" i="40"/>
  <c r="AB30" i="40"/>
  <c r="I243" i="52"/>
  <c r="E5" i="41"/>
  <c r="C6" i="57"/>
  <c r="C5" i="59"/>
  <c r="W53" i="48"/>
  <c r="X53" i="48"/>
  <c r="K48" i="42"/>
  <c r="K49" i="55"/>
  <c r="K80" i="61" s="1"/>
  <c r="G55" i="52"/>
  <c r="B50" i="52"/>
  <c r="X35" i="48"/>
  <c r="V35" i="48"/>
  <c r="H89" i="48" s="1"/>
  <c r="H112" i="48" s="1"/>
  <c r="W35" i="48"/>
  <c r="U35" i="48"/>
  <c r="F89" i="48" s="1"/>
  <c r="F112" i="48" s="1"/>
  <c r="M8" i="20"/>
  <c r="Q14" i="36"/>
  <c r="C75" i="48"/>
  <c r="X68" i="48"/>
  <c r="W59" i="48"/>
  <c r="X59" i="48"/>
  <c r="V49" i="48"/>
  <c r="R14" i="36"/>
  <c r="AF30" i="40"/>
  <c r="C110" i="46"/>
  <c r="C112" i="46" s="1"/>
  <c r="C114" i="46" s="1"/>
  <c r="W49" i="48"/>
  <c r="X49" i="48"/>
  <c r="H19" i="45"/>
  <c r="F37" i="45"/>
  <c r="F11" i="45"/>
  <c r="D29" i="45"/>
  <c r="E29" i="45" s="1"/>
  <c r="B155" i="46"/>
  <c r="C155" i="46" s="1"/>
  <c r="C157" i="46" s="1"/>
  <c r="C159" i="46" s="1"/>
  <c r="C146" i="46"/>
  <c r="C148" i="46" s="1"/>
  <c r="C150" i="46" s="1"/>
  <c r="F124" i="52"/>
  <c r="C102" i="45"/>
  <c r="G110" i="53" s="1"/>
  <c r="C168" i="46"/>
  <c r="C71" i="46"/>
  <c r="X48" i="48"/>
  <c r="W58" i="48"/>
  <c r="D36" i="45"/>
  <c r="E36" i="45" s="1"/>
  <c r="F39" i="45"/>
  <c r="G10" i="11"/>
  <c r="G13" i="11"/>
  <c r="C53" i="46"/>
  <c r="C91" i="46"/>
  <c r="G12" i="56"/>
  <c r="I12" i="56" s="1"/>
  <c r="K12" i="56" s="1"/>
  <c r="E155" i="46"/>
  <c r="E157" i="46" s="1"/>
  <c r="E159" i="46" s="1"/>
  <c r="C62" i="46"/>
  <c r="X34" i="48"/>
  <c r="E41" i="44"/>
  <c r="D30" i="45"/>
  <c r="E30" i="45" s="1"/>
  <c r="E12" i="45" s="1"/>
  <c r="D37" i="45"/>
  <c r="E37" i="45" s="1"/>
  <c r="E19" i="45" s="1"/>
  <c r="D41" i="45"/>
  <c r="E41" i="45" s="1"/>
  <c r="E23" i="45" s="1"/>
  <c r="B30" i="45"/>
  <c r="C30" i="45" s="1"/>
  <c r="C12" i="45" s="1"/>
  <c r="B32" i="45"/>
  <c r="C32" i="45" s="1"/>
  <c r="C14" i="45" s="1"/>
  <c r="E37" i="47"/>
  <c r="G30" i="47"/>
  <c r="I30" i="47" s="1"/>
  <c r="C54" i="47"/>
  <c r="C50" i="47"/>
  <c r="C46" i="47"/>
  <c r="C42" i="47"/>
  <c r="C38" i="47"/>
  <c r="T36" i="48"/>
  <c r="D90" i="48" s="1"/>
  <c r="D113" i="48" s="1"/>
  <c r="C17" i="56" s="1"/>
  <c r="T34" i="48"/>
  <c r="D88" i="48" s="1"/>
  <c r="D111" i="48" s="1"/>
  <c r="C15" i="56" s="1"/>
  <c r="F63" i="78"/>
  <c r="F70" i="78" s="1"/>
  <c r="E53" i="47"/>
  <c r="R38" i="40"/>
  <c r="K10" i="19"/>
  <c r="T38" i="48"/>
  <c r="T35" i="48"/>
  <c r="D89" i="48" s="1"/>
  <c r="D112" i="48" s="1"/>
  <c r="C16" i="56" s="1"/>
  <c r="E15" i="44"/>
  <c r="E47" i="58" s="1"/>
  <c r="E21" i="41"/>
  <c r="Z23" i="40"/>
  <c r="W22" i="40"/>
  <c r="T21" i="40"/>
  <c r="R18" i="40"/>
  <c r="J32" i="45"/>
  <c r="J40" i="45"/>
  <c r="J125" i="53"/>
  <c r="E42" i="53"/>
  <c r="F271" i="52"/>
  <c r="E125" i="53"/>
  <c r="G271" i="52"/>
  <c r="I72" i="50"/>
  <c r="K51" i="47"/>
  <c r="E7" i="17"/>
  <c r="E7" i="19" s="1"/>
  <c r="F7" i="19" s="1"/>
  <c r="G7" i="19" s="1"/>
  <c r="F7" i="17"/>
  <c r="D7" i="17" s="1"/>
  <c r="S14" i="36"/>
  <c r="O14" i="36"/>
  <c r="T13" i="36"/>
  <c r="O9" i="38"/>
  <c r="G9" i="38"/>
  <c r="AD38" i="40"/>
  <c r="AB38" i="40"/>
  <c r="AC33" i="40"/>
  <c r="AF32" i="40"/>
  <c r="AB32" i="40"/>
  <c r="AD31" i="40"/>
  <c r="AE30" i="40"/>
  <c r="AE22" i="40"/>
  <c r="S9" i="38"/>
  <c r="K9" i="38"/>
  <c r="AF31" i="40"/>
  <c r="AB31" i="40"/>
  <c r="AC30" i="40"/>
  <c r="AC28" i="40"/>
  <c r="E6" i="58"/>
  <c r="E5" i="43"/>
  <c r="C44" i="59"/>
  <c r="G41" i="50"/>
  <c r="G38" i="51"/>
  <c r="G34" i="51"/>
  <c r="I26" i="51"/>
  <c r="I21" i="50"/>
  <c r="B20" i="56"/>
  <c r="B25" i="56" s="1"/>
  <c r="I38" i="59"/>
  <c r="I10" i="46"/>
  <c r="E128" i="46"/>
  <c r="E130" i="46" s="1"/>
  <c r="E132" i="46" s="1"/>
  <c r="E137" i="46"/>
  <c r="E139" i="46" s="1"/>
  <c r="E141" i="46" s="1"/>
  <c r="V50" i="48"/>
  <c r="I35" i="44"/>
  <c r="H18" i="45"/>
  <c r="F36" i="45"/>
  <c r="J10" i="45"/>
  <c r="J28" i="45" s="1"/>
  <c r="H28" i="45"/>
  <c r="G38" i="59"/>
  <c r="C38" i="59"/>
  <c r="D6" i="78"/>
  <c r="C19" i="61"/>
  <c r="W50" i="48"/>
  <c r="X50" i="48"/>
  <c r="F38" i="45"/>
  <c r="G38" i="45" s="1"/>
  <c r="G20" i="45" s="1"/>
  <c r="H20" i="45"/>
  <c r="I38" i="51"/>
  <c r="I34" i="51"/>
  <c r="G154" i="46"/>
  <c r="X67" i="48"/>
  <c r="I39" i="78"/>
  <c r="G32" i="58"/>
  <c r="K38" i="59"/>
  <c r="E38" i="59"/>
  <c r="H13" i="45"/>
  <c r="F31" i="45"/>
  <c r="G31" i="45" s="1"/>
  <c r="G13" i="45" s="1"/>
  <c r="F30" i="45"/>
  <c r="G30" i="45" s="1"/>
  <c r="G12" i="45" s="1"/>
  <c r="H12" i="45"/>
  <c r="X22" i="48"/>
  <c r="X26" i="48" s="1"/>
  <c r="L82" i="48" s="1"/>
  <c r="L105" i="48" s="1"/>
  <c r="E54" i="47"/>
  <c r="E49" i="47"/>
  <c r="E45" i="47"/>
  <c r="E40" i="47"/>
  <c r="BP10" i="40"/>
  <c r="E52" i="47"/>
  <c r="E43" i="47"/>
  <c r="M18" i="40"/>
  <c r="W51" i="48"/>
  <c r="G15" i="44"/>
  <c r="G47" i="58" s="1"/>
  <c r="BF7" i="40" l="1"/>
  <c r="G68" i="52"/>
  <c r="E17" i="56"/>
  <c r="G17" i="56" s="1"/>
  <c r="B122" i="52"/>
  <c r="W26" i="48"/>
  <c r="J82" i="48" s="1"/>
  <c r="J105" i="48" s="1"/>
  <c r="BT7" i="40"/>
  <c r="M24" i="50"/>
  <c r="K15" i="57" s="1"/>
  <c r="I15" i="57"/>
  <c r="H90" i="48"/>
  <c r="H113" i="48" s="1"/>
  <c r="C276" i="52"/>
  <c r="I48" i="51"/>
  <c r="G83" i="45"/>
  <c r="H83" i="45"/>
  <c r="D208" i="52"/>
  <c r="I11" i="46"/>
  <c r="I31" i="50"/>
  <c r="K31" i="50" s="1"/>
  <c r="G37" i="45"/>
  <c r="G19" i="45" s="1"/>
  <c r="G140" i="53"/>
  <c r="F48" i="52"/>
  <c r="G10" i="41"/>
  <c r="G40" i="45"/>
  <c r="G22" i="45" s="1"/>
  <c r="BB7" i="40"/>
  <c r="C10" i="41"/>
  <c r="C16" i="41" s="1"/>
  <c r="T20" i="48"/>
  <c r="T26" i="48" s="1"/>
  <c r="D82" i="48" s="1"/>
  <c r="D105" i="48" s="1"/>
  <c r="V20" i="48"/>
  <c r="U20" i="48"/>
  <c r="U26" i="48" s="1"/>
  <c r="F82" i="48" s="1"/>
  <c r="F105" i="48" s="1"/>
  <c r="I13" i="42"/>
  <c r="I24" i="42" s="1"/>
  <c r="G32" i="45"/>
  <c r="G14" i="45" s="1"/>
  <c r="I30" i="78"/>
  <c r="H30" i="78"/>
  <c r="J90" i="48"/>
  <c r="J113" i="48" s="1"/>
  <c r="I15" i="42"/>
  <c r="G26" i="42"/>
  <c r="G41" i="45" s="1"/>
  <c r="G23" i="45" s="1"/>
  <c r="K12" i="42"/>
  <c r="K23" i="42" s="1"/>
  <c r="I23" i="42"/>
  <c r="O155" i="53"/>
  <c r="G299" i="52"/>
  <c r="K11" i="42"/>
  <c r="K22" i="42" s="1"/>
  <c r="I22" i="42"/>
  <c r="L90" i="48"/>
  <c r="L113" i="48" s="1"/>
  <c r="H134" i="53"/>
  <c r="C272" i="52"/>
  <c r="B126" i="52"/>
  <c r="D126" i="52"/>
  <c r="I23" i="52"/>
  <c r="C28" i="41"/>
  <c r="C46" i="41" s="1"/>
  <c r="D13" i="40" s="1"/>
  <c r="E23" i="40" s="1"/>
  <c r="L45" i="53"/>
  <c r="I51" i="53"/>
  <c r="F43" i="52"/>
  <c r="G28" i="41"/>
  <c r="G44" i="41" s="1"/>
  <c r="D31" i="40" s="1"/>
  <c r="D51" i="53"/>
  <c r="BS7" i="40"/>
  <c r="C40" i="41"/>
  <c r="C52" i="41" s="1"/>
  <c r="C31" i="42" s="1"/>
  <c r="CE28" i="40"/>
  <c r="G122" i="52"/>
  <c r="G128" i="53"/>
  <c r="D134" i="53"/>
  <c r="F203" i="52"/>
  <c r="C122" i="52"/>
  <c r="AY11" i="40"/>
  <c r="E203" i="52"/>
  <c r="C43" i="52"/>
  <c r="C201" i="52"/>
  <c r="B201" i="52"/>
  <c r="N51" i="53"/>
  <c r="M130" i="53"/>
  <c r="BQ7" i="40"/>
  <c r="BC17" i="40"/>
  <c r="H47" i="53"/>
  <c r="G101" i="45"/>
  <c r="J101" i="45"/>
  <c r="K101" i="45" s="1"/>
  <c r="CC40" i="40"/>
  <c r="G126" i="52"/>
  <c r="G205" i="52"/>
  <c r="G50" i="53"/>
  <c r="C51" i="53"/>
  <c r="F126" i="52"/>
  <c r="I53" i="53"/>
  <c r="J126" i="53"/>
  <c r="M134" i="53"/>
  <c r="BS20" i="40"/>
  <c r="H51" i="53"/>
  <c r="F205" i="52"/>
  <c r="D272" i="52"/>
  <c r="O43" i="53"/>
  <c r="BL8" i="40"/>
  <c r="L133" i="53"/>
  <c r="C134" i="53"/>
  <c r="M51" i="53"/>
  <c r="C205" i="52"/>
  <c r="F272" i="52"/>
  <c r="O126" i="53"/>
  <c r="L135" i="53"/>
  <c r="O40" i="16"/>
  <c r="Q40" i="16" s="1"/>
  <c r="T40" i="16" s="1"/>
  <c r="F207" i="52"/>
  <c r="B50" i="53"/>
  <c r="E54" i="52"/>
  <c r="I132" i="53"/>
  <c r="E201" i="52"/>
  <c r="L50" i="53"/>
  <c r="D124" i="52"/>
  <c r="B135" i="53"/>
  <c r="BB22" i="40"/>
  <c r="BC49" i="40"/>
  <c r="E205" i="52"/>
  <c r="N136" i="53"/>
  <c r="G19" i="51"/>
  <c r="B205" i="52"/>
  <c r="CG20" i="40"/>
  <c r="BF17" i="40"/>
  <c r="I10" i="41"/>
  <c r="I22" i="41" s="1"/>
  <c r="I27" i="41"/>
  <c r="C207" i="52"/>
  <c r="E43" i="53"/>
  <c r="N134" i="53"/>
  <c r="L128" i="53"/>
  <c r="B43" i="52"/>
  <c r="B48" i="52"/>
  <c r="G48" i="52"/>
  <c r="B56" i="53"/>
  <c r="D132" i="53"/>
  <c r="B272" i="52"/>
  <c r="J43" i="53"/>
  <c r="G272" i="52"/>
  <c r="N132" i="53"/>
  <c r="G203" i="52"/>
  <c r="BE9" i="40"/>
  <c r="E48" i="52"/>
  <c r="B133" i="53"/>
  <c r="L52" i="53"/>
  <c r="BC10" i="40"/>
  <c r="D205" i="52"/>
  <c r="N53" i="53"/>
  <c r="CD7" i="40"/>
  <c r="B45" i="53"/>
  <c r="C48" i="52"/>
  <c r="B203" i="52"/>
  <c r="G43" i="52"/>
  <c r="G45" i="53"/>
  <c r="G133" i="53"/>
  <c r="R9" i="16"/>
  <c r="D49" i="53"/>
  <c r="E207" i="52"/>
  <c r="E126" i="53"/>
  <c r="C203" i="52"/>
  <c r="I49" i="53"/>
  <c r="D207" i="52"/>
  <c r="E208" i="52"/>
  <c r="N56" i="53"/>
  <c r="D56" i="53"/>
  <c r="G208" i="52"/>
  <c r="BB8" i="40"/>
  <c r="L57" i="53"/>
  <c r="CF28" i="40"/>
  <c r="G118" i="52"/>
  <c r="F118" i="52"/>
  <c r="E51" i="53"/>
  <c r="F27" i="52"/>
  <c r="H27" i="52" s="1"/>
  <c r="BE17" i="40"/>
  <c r="D55" i="52"/>
  <c r="C55" i="52"/>
  <c r="M139" i="53"/>
  <c r="BB13" i="40"/>
  <c r="AX16" i="40"/>
  <c r="AY16" i="40" s="1"/>
  <c r="CF38" i="40"/>
  <c r="G54" i="52"/>
  <c r="B139" i="53"/>
  <c r="D206" i="52"/>
  <c r="H43" i="53"/>
  <c r="N49" i="53"/>
  <c r="C208" i="52"/>
  <c r="F54" i="52"/>
  <c r="L139" i="53"/>
  <c r="M126" i="53"/>
  <c r="I55" i="53"/>
  <c r="G207" i="52"/>
  <c r="C118" i="52"/>
  <c r="F201" i="52"/>
  <c r="I138" i="53"/>
  <c r="D55" i="53"/>
  <c r="H130" i="53"/>
  <c r="F122" i="52"/>
  <c r="B54" i="52"/>
  <c r="M47" i="53"/>
  <c r="D139" i="53"/>
  <c r="I56" i="53"/>
  <c r="F208" i="52"/>
  <c r="B57" i="53"/>
  <c r="H126" i="53"/>
  <c r="B280" i="52"/>
  <c r="I139" i="53"/>
  <c r="L140" i="53"/>
  <c r="C131" i="52"/>
  <c r="BF12" i="40"/>
  <c r="AX10" i="40"/>
  <c r="C54" i="52"/>
  <c r="C47" i="53"/>
  <c r="C126" i="53"/>
  <c r="I100" i="52"/>
  <c r="E118" i="52"/>
  <c r="L56" i="53"/>
  <c r="I54" i="53"/>
  <c r="D54" i="52"/>
  <c r="N55" i="53"/>
  <c r="N138" i="53"/>
  <c r="B207" i="52"/>
  <c r="C130" i="53"/>
  <c r="D122" i="52"/>
  <c r="N139" i="53"/>
  <c r="M138" i="53"/>
  <c r="H55" i="53"/>
  <c r="H56" i="53"/>
  <c r="AW53" i="40"/>
  <c r="BC12" i="40"/>
  <c r="AX11" i="40"/>
  <c r="AW27" i="40"/>
  <c r="AX27" i="40" s="1"/>
  <c r="AY27" i="40" s="1"/>
  <c r="BQ17" i="40"/>
  <c r="J24" i="78"/>
  <c r="E206" i="52"/>
  <c r="O134" i="53"/>
  <c r="D137" i="53"/>
  <c r="D280" i="52"/>
  <c r="G206" i="52"/>
  <c r="E280" i="52"/>
  <c r="B206" i="52"/>
  <c r="C138" i="53"/>
  <c r="E130" i="52"/>
  <c r="BF21" i="40"/>
  <c r="F25" i="52"/>
  <c r="H25" i="52" s="1"/>
  <c r="BQ28" i="40"/>
  <c r="M56" i="53"/>
  <c r="CD11" i="40"/>
  <c r="BN10" i="40"/>
  <c r="BM7" i="40"/>
  <c r="I137" i="53"/>
  <c r="G280" i="52"/>
  <c r="F280" i="52"/>
  <c r="C280" i="52"/>
  <c r="E16" i="40"/>
  <c r="F16" i="40" s="1"/>
  <c r="G16" i="40" s="1"/>
  <c r="H16" i="40" s="1"/>
  <c r="I16" i="40" s="1"/>
  <c r="J16" i="40" s="1"/>
  <c r="K16" i="40" s="1"/>
  <c r="L16" i="40" s="1"/>
  <c r="M16" i="40" s="1"/>
  <c r="J134" i="53"/>
  <c r="E134" i="53"/>
  <c r="C55" i="53"/>
  <c r="E131" i="52"/>
  <c r="C206" i="52"/>
  <c r="N54" i="53"/>
  <c r="H138" i="53"/>
  <c r="J51" i="53"/>
  <c r="F206" i="52"/>
  <c r="N137" i="53"/>
  <c r="G130" i="52"/>
  <c r="C130" i="52"/>
  <c r="K28" i="41"/>
  <c r="K44" i="41" s="1"/>
  <c r="D51" i="40" s="1"/>
  <c r="BP38" i="40"/>
  <c r="F105" i="53"/>
  <c r="BT30" i="40"/>
  <c r="G11" i="53"/>
  <c r="G16" i="53" s="1"/>
  <c r="G80" i="53" s="1"/>
  <c r="CF31" i="40"/>
  <c r="AY10" i="40"/>
  <c r="M18" i="16"/>
  <c r="I18" i="16"/>
  <c r="G18" i="16" s="1"/>
  <c r="E18" i="16" s="1"/>
  <c r="BF52" i="40"/>
  <c r="CG30" i="40"/>
  <c r="E14" i="56"/>
  <c r="H87" i="48"/>
  <c r="H110" i="48" s="1"/>
  <c r="J87" i="48"/>
  <c r="J110" i="48" s="1"/>
  <c r="L87" i="48"/>
  <c r="L110" i="48" s="1"/>
  <c r="H88" i="48"/>
  <c r="H111" i="48" s="1"/>
  <c r="E15" i="56"/>
  <c r="G33" i="41"/>
  <c r="G39" i="41"/>
  <c r="G51" i="41" s="1"/>
  <c r="G30" i="42" s="1"/>
  <c r="BC8" i="40"/>
  <c r="CG19" i="40"/>
  <c r="AG20" i="40"/>
  <c r="AH20" i="40" s="1"/>
  <c r="BA11" i="40"/>
  <c r="CD50" i="40"/>
  <c r="BZ8" i="40"/>
  <c r="BA12" i="40"/>
  <c r="CD31" i="40"/>
  <c r="BA7" i="40"/>
  <c r="P9" i="16"/>
  <c r="J44" i="53"/>
  <c r="E330" i="52"/>
  <c r="B124" i="52"/>
  <c r="G52" i="53"/>
  <c r="E55" i="52"/>
  <c r="CA19" i="40"/>
  <c r="BP17" i="40"/>
  <c r="BP7" i="40"/>
  <c r="BC7" i="40"/>
  <c r="BR32" i="40"/>
  <c r="BB17" i="40"/>
  <c r="AH51" i="40"/>
  <c r="BC9" i="40"/>
  <c r="BS48" i="40"/>
  <c r="E28" i="41"/>
  <c r="E43" i="41" s="1"/>
  <c r="G198" i="52"/>
  <c r="C198" i="52"/>
  <c r="C63" i="44"/>
  <c r="G33" i="45"/>
  <c r="G15" i="45" s="1"/>
  <c r="G36" i="45"/>
  <c r="G18" i="45" s="1"/>
  <c r="G40" i="44"/>
  <c r="C182" i="52" s="1"/>
  <c r="G39" i="45"/>
  <c r="G21" i="45" s="1"/>
  <c r="G28" i="45"/>
  <c r="G10" i="45" s="1"/>
  <c r="H27" i="78"/>
  <c r="F165" i="52"/>
  <c r="I94" i="53"/>
  <c r="G46" i="45"/>
  <c r="I34" i="44"/>
  <c r="BC13" i="40"/>
  <c r="AZ9" i="40"/>
  <c r="AG23" i="40"/>
  <c r="AH23" i="40" s="1"/>
  <c r="CF43" i="40"/>
  <c r="BM22" i="40"/>
  <c r="CC39" i="40"/>
  <c r="AG8" i="40"/>
  <c r="AH8" i="40" s="1"/>
  <c r="AG57" i="40"/>
  <c r="AH57" i="40" s="1"/>
  <c r="AG34" i="40"/>
  <c r="AH34" i="40" s="1"/>
  <c r="BS42" i="40"/>
  <c r="BM18" i="40"/>
  <c r="AG56" i="40"/>
  <c r="AH56" i="40" s="1"/>
  <c r="AH58" i="40" s="1"/>
  <c r="BE10" i="40"/>
  <c r="BQ9" i="40"/>
  <c r="CD19" i="40"/>
  <c r="AX33" i="40"/>
  <c r="BP44" i="40"/>
  <c r="CF18" i="40"/>
  <c r="CG7" i="40"/>
  <c r="BF23" i="40"/>
  <c r="CH32" i="40"/>
  <c r="CG17" i="40"/>
  <c r="BD10" i="40"/>
  <c r="BE7" i="40"/>
  <c r="BF53" i="40"/>
  <c r="BC11" i="40"/>
  <c r="AX8" i="40"/>
  <c r="I19" i="51"/>
  <c r="I46" i="55"/>
  <c r="I77" i="61" s="1"/>
  <c r="J11" i="53"/>
  <c r="J16" i="53" s="1"/>
  <c r="CD43" i="40"/>
  <c r="AX12" i="40"/>
  <c r="BC29" i="40"/>
  <c r="BB12" i="40"/>
  <c r="BB31" i="40"/>
  <c r="AG19" i="40"/>
  <c r="AH19" i="40" s="1"/>
  <c r="AG42" i="40"/>
  <c r="AH42" i="40" s="1"/>
  <c r="G40" i="41"/>
  <c r="D29" i="40" s="1"/>
  <c r="BK29" i="40" s="1"/>
  <c r="N48" i="53"/>
  <c r="CD22" i="40"/>
  <c r="E79" i="45"/>
  <c r="E99" i="52" s="1"/>
  <c r="AG28" i="40"/>
  <c r="AH28" i="40" s="1"/>
  <c r="AG33" i="40"/>
  <c r="AH33" i="40" s="1"/>
  <c r="AG18" i="40"/>
  <c r="AH18" i="40" s="1"/>
  <c r="BB10" i="40"/>
  <c r="G135" i="53"/>
  <c r="B52" i="53"/>
  <c r="D50" i="52"/>
  <c r="BC40" i="40"/>
  <c r="BB33" i="40"/>
  <c r="BP31" i="40"/>
  <c r="BS43" i="40"/>
  <c r="CE42" i="40"/>
  <c r="CF52" i="40"/>
  <c r="BS19" i="40"/>
  <c r="AX9" i="40"/>
  <c r="BB38" i="40"/>
  <c r="I14" i="25"/>
  <c r="K13" i="25" s="1"/>
  <c r="D48" i="53"/>
  <c r="H28" i="53"/>
  <c r="BC28" i="40"/>
  <c r="E11" i="57"/>
  <c r="E44" i="59" s="1"/>
  <c r="I20" i="50"/>
  <c r="BP20" i="40"/>
  <c r="T14" i="34"/>
  <c r="AG40" i="40"/>
  <c r="AH40" i="40" s="1"/>
  <c r="BP51" i="40"/>
  <c r="CD33" i="40"/>
  <c r="BB53" i="40"/>
  <c r="BM10" i="40"/>
  <c r="F50" i="52"/>
  <c r="N33" i="40"/>
  <c r="G66" i="41" s="1"/>
  <c r="K41" i="51"/>
  <c r="BO34" i="40"/>
  <c r="BE13" i="40"/>
  <c r="CB13" i="40"/>
  <c r="CB21" i="40"/>
  <c r="BE49" i="40"/>
  <c r="C285" i="52"/>
  <c r="C83" i="61"/>
  <c r="G14" i="11"/>
  <c r="C44" i="41"/>
  <c r="C54" i="41" s="1"/>
  <c r="C33" i="42" s="1"/>
  <c r="K63" i="44"/>
  <c r="G63" i="44"/>
  <c r="E41" i="51"/>
  <c r="C41" i="51"/>
  <c r="G37" i="50"/>
  <c r="G43" i="50" s="1"/>
  <c r="E37" i="50"/>
  <c r="I37" i="50"/>
  <c r="G32" i="57" s="1"/>
  <c r="K63" i="78"/>
  <c r="L63" i="78" s="1"/>
  <c r="L70" i="78" s="1"/>
  <c r="I51" i="78"/>
  <c r="J89" i="48"/>
  <c r="J112" i="48" s="1"/>
  <c r="E16" i="56"/>
  <c r="G16" i="56" s="1"/>
  <c r="L89" i="48"/>
  <c r="L112" i="48" s="1"/>
  <c r="L88" i="48"/>
  <c r="L111" i="48" s="1"/>
  <c r="J88" i="48"/>
  <c r="J111" i="48" s="1"/>
  <c r="L86" i="48"/>
  <c r="X74" i="48"/>
  <c r="U74" i="48"/>
  <c r="F86" i="48"/>
  <c r="T74" i="48"/>
  <c r="D86" i="48"/>
  <c r="J86" i="48"/>
  <c r="V74" i="48"/>
  <c r="W74" i="48"/>
  <c r="G41" i="51"/>
  <c r="O139" i="53"/>
  <c r="P43" i="53"/>
  <c r="E204" i="52"/>
  <c r="F43" i="53"/>
  <c r="C349" i="52"/>
  <c r="G349" i="52"/>
  <c r="K43" i="53"/>
  <c r="G53" i="47"/>
  <c r="D141" i="53" s="1"/>
  <c r="G204" i="52"/>
  <c r="C204" i="52"/>
  <c r="D50" i="53"/>
  <c r="E279" i="52"/>
  <c r="M49" i="53"/>
  <c r="M132" i="53"/>
  <c r="C132" i="53"/>
  <c r="B200" i="52"/>
  <c r="J130" i="53"/>
  <c r="F131" i="52"/>
  <c r="D131" i="52"/>
  <c r="C56" i="53"/>
  <c r="C139" i="53"/>
  <c r="H139" i="53"/>
  <c r="G131" i="52"/>
  <c r="I135" i="53"/>
  <c r="I52" i="53"/>
  <c r="F204" i="52"/>
  <c r="N135" i="53"/>
  <c r="N52" i="53"/>
  <c r="D276" i="52"/>
  <c r="N46" i="53"/>
  <c r="N129" i="53"/>
  <c r="D46" i="53"/>
  <c r="F198" i="52"/>
  <c r="D198" i="52"/>
  <c r="D129" i="53"/>
  <c r="K41" i="47"/>
  <c r="E198" i="52"/>
  <c r="D126" i="53"/>
  <c r="B279" i="52"/>
  <c r="F279" i="52"/>
  <c r="C282" i="52"/>
  <c r="J50" i="53"/>
  <c r="E50" i="53"/>
  <c r="I44" i="47"/>
  <c r="O49" i="53" s="1"/>
  <c r="E355" i="52"/>
  <c r="G355" i="52"/>
  <c r="I47" i="53"/>
  <c r="I130" i="53"/>
  <c r="D47" i="53"/>
  <c r="D199" i="52"/>
  <c r="G199" i="52"/>
  <c r="E199" i="52"/>
  <c r="F285" i="52"/>
  <c r="G285" i="52"/>
  <c r="J53" i="53"/>
  <c r="O56" i="53"/>
  <c r="D285" i="52"/>
  <c r="J46" i="53"/>
  <c r="O136" i="53"/>
  <c r="B276" i="52"/>
  <c r="O47" i="53"/>
  <c r="F199" i="52"/>
  <c r="B199" i="52"/>
  <c r="K39" i="47"/>
  <c r="C350" i="52" s="1"/>
  <c r="J56" i="53"/>
  <c r="N47" i="53"/>
  <c r="D130" i="53"/>
  <c r="E56" i="53"/>
  <c r="C200" i="52"/>
  <c r="J136" i="53"/>
  <c r="E130" i="53"/>
  <c r="G276" i="52"/>
  <c r="N130" i="53"/>
  <c r="K50" i="47"/>
  <c r="D361" i="52" s="1"/>
  <c r="D202" i="52"/>
  <c r="N133" i="53"/>
  <c r="I50" i="53"/>
  <c r="B202" i="52"/>
  <c r="J120" i="53"/>
  <c r="G266" i="52"/>
  <c r="O120" i="53"/>
  <c r="E266" i="52"/>
  <c r="F266" i="52"/>
  <c r="E120" i="53"/>
  <c r="K47" i="47"/>
  <c r="I47" i="47"/>
  <c r="E284" i="52"/>
  <c r="G284" i="52"/>
  <c r="E55" i="53"/>
  <c r="C284" i="52"/>
  <c r="E138" i="53"/>
  <c r="F284" i="52"/>
  <c r="J138" i="53"/>
  <c r="J55" i="53"/>
  <c r="O55" i="53"/>
  <c r="B284" i="52"/>
  <c r="P126" i="53"/>
  <c r="K126" i="53"/>
  <c r="B349" i="52"/>
  <c r="F349" i="52"/>
  <c r="D209" i="52"/>
  <c r="I57" i="53"/>
  <c r="D57" i="53"/>
  <c r="N140" i="53"/>
  <c r="B209" i="52"/>
  <c r="G209" i="52"/>
  <c r="J127" i="53"/>
  <c r="C273" i="52"/>
  <c r="F273" i="52"/>
  <c r="O127" i="53"/>
  <c r="D273" i="52"/>
  <c r="E273" i="52"/>
  <c r="B273" i="52"/>
  <c r="D279" i="52"/>
  <c r="J133" i="53"/>
  <c r="E133" i="53"/>
  <c r="O133" i="53"/>
  <c r="C279" i="52"/>
  <c r="G279" i="52"/>
  <c r="B198" i="52"/>
  <c r="I46" i="53"/>
  <c r="I126" i="53"/>
  <c r="G195" i="52"/>
  <c r="N43" i="53"/>
  <c r="D43" i="53"/>
  <c r="C195" i="52"/>
  <c r="N126" i="53"/>
  <c r="I43" i="53"/>
  <c r="E195" i="52"/>
  <c r="D195" i="52"/>
  <c r="F195" i="52"/>
  <c r="B282" i="52"/>
  <c r="D282" i="52"/>
  <c r="E136" i="53"/>
  <c r="O53" i="53"/>
  <c r="E282" i="52"/>
  <c r="E53" i="53"/>
  <c r="G282" i="52"/>
  <c r="K43" i="47"/>
  <c r="I43" i="47"/>
  <c r="C202" i="52"/>
  <c r="N50" i="53"/>
  <c r="D349" i="52"/>
  <c r="F209" i="52"/>
  <c r="G273" i="52"/>
  <c r="D140" i="53"/>
  <c r="P49" i="53"/>
  <c r="F49" i="53"/>
  <c r="D133" i="53"/>
  <c r="N57" i="53"/>
  <c r="K46" i="47"/>
  <c r="K42" i="47"/>
  <c r="O46" i="53"/>
  <c r="E129" i="53"/>
  <c r="J129" i="53"/>
  <c r="G275" i="52"/>
  <c r="B275" i="52"/>
  <c r="D275" i="52"/>
  <c r="O129" i="53"/>
  <c r="K28" i="47"/>
  <c r="K52" i="47" s="1"/>
  <c r="I52" i="47"/>
  <c r="C355" i="52"/>
  <c r="F355" i="52"/>
  <c r="K132" i="53"/>
  <c r="K49" i="53"/>
  <c r="I49" i="47"/>
  <c r="K49" i="47"/>
  <c r="D204" i="52"/>
  <c r="B204" i="52"/>
  <c r="D135" i="53"/>
  <c r="G200" i="52"/>
  <c r="E200" i="52"/>
  <c r="I131" i="53"/>
  <c r="D200" i="52"/>
  <c r="D131" i="53"/>
  <c r="I48" i="53"/>
  <c r="F200" i="52"/>
  <c r="F276" i="52"/>
  <c r="E276" i="52"/>
  <c r="E47" i="53"/>
  <c r="O130" i="53"/>
  <c r="F202" i="52"/>
  <c r="F275" i="52"/>
  <c r="C275" i="52"/>
  <c r="P132" i="53"/>
  <c r="F132" i="53"/>
  <c r="G202" i="52"/>
  <c r="E127" i="53"/>
  <c r="I133" i="53"/>
  <c r="E349" i="52"/>
  <c r="K45" i="47"/>
  <c r="F50" i="53" s="1"/>
  <c r="E275" i="52"/>
  <c r="O44" i="53"/>
  <c r="E209" i="52"/>
  <c r="O138" i="53"/>
  <c r="H272" i="52"/>
  <c r="D355" i="52"/>
  <c r="B355" i="52"/>
  <c r="C209" i="52"/>
  <c r="K53" i="47"/>
  <c r="K48" i="47"/>
  <c r="C194" i="52"/>
  <c r="G194" i="52"/>
  <c r="B194" i="52"/>
  <c r="D42" i="53"/>
  <c r="D194" i="52"/>
  <c r="D125" i="53"/>
  <c r="I42" i="53"/>
  <c r="F194" i="52"/>
  <c r="N125" i="53"/>
  <c r="F102" i="52"/>
  <c r="I102" i="52" s="1"/>
  <c r="I30" i="46"/>
  <c r="G31" i="46"/>
  <c r="G33" i="46" s="1"/>
  <c r="G35" i="46" s="1"/>
  <c r="I40" i="46"/>
  <c r="I42" i="46" s="1"/>
  <c r="I44" i="46" s="1"/>
  <c r="G40" i="46"/>
  <c r="G42" i="46" s="1"/>
  <c r="G44" i="46" s="1"/>
  <c r="K57" i="46"/>
  <c r="K58" i="46" s="1"/>
  <c r="I137" i="46"/>
  <c r="I139" i="46" s="1"/>
  <c r="I141" i="46" s="1"/>
  <c r="K139" i="46"/>
  <c r="K141" i="46" s="1"/>
  <c r="K89" i="46"/>
  <c r="K91" i="46" s="1"/>
  <c r="G58" i="46"/>
  <c r="G60" i="46" s="1"/>
  <c r="G62" i="46" s="1"/>
  <c r="K112" i="46"/>
  <c r="K114" i="46" s="1"/>
  <c r="I91" i="46"/>
  <c r="I128" i="46"/>
  <c r="I130" i="46" s="1"/>
  <c r="I132" i="46" s="1"/>
  <c r="K127" i="46"/>
  <c r="I66" i="46"/>
  <c r="G67" i="46"/>
  <c r="G69" i="46" s="1"/>
  <c r="G71" i="46" s="1"/>
  <c r="I146" i="46"/>
  <c r="I148" i="46" s="1"/>
  <c r="I150" i="46" s="1"/>
  <c r="K145" i="46"/>
  <c r="K40" i="46"/>
  <c r="K42" i="46" s="1"/>
  <c r="K44" i="46" s="1"/>
  <c r="G101" i="46"/>
  <c r="G103" i="46" s="1"/>
  <c r="G105" i="46" s="1"/>
  <c r="I100" i="46"/>
  <c r="I163" i="46"/>
  <c r="G164" i="46"/>
  <c r="G166" i="46" s="1"/>
  <c r="G168" i="46" s="1"/>
  <c r="G114" i="52"/>
  <c r="M122" i="53" s="1"/>
  <c r="E114" i="52"/>
  <c r="C122" i="53" s="1"/>
  <c r="G99" i="45"/>
  <c r="C105" i="52"/>
  <c r="C106" i="52" s="1"/>
  <c r="D43" i="50"/>
  <c r="D59" i="50" s="1"/>
  <c r="D11" i="50"/>
  <c r="B42" i="56" s="1"/>
  <c r="B45" i="56" s="1"/>
  <c r="B50" i="56" s="1"/>
  <c r="E37" i="52"/>
  <c r="B122" i="53" s="1"/>
  <c r="BR41" i="40"/>
  <c r="BS32" i="40"/>
  <c r="BB23" i="40"/>
  <c r="BS52" i="40"/>
  <c r="CH51" i="40"/>
  <c r="BF19" i="40"/>
  <c r="BF51" i="40"/>
  <c r="BM9" i="40"/>
  <c r="BD20" i="40"/>
  <c r="BF31" i="40"/>
  <c r="CE31" i="40"/>
  <c r="BA34" i="40"/>
  <c r="CD54" i="40"/>
  <c r="BL11" i="40"/>
  <c r="BT41" i="40"/>
  <c r="BF41" i="40"/>
  <c r="AZ11" i="40"/>
  <c r="BB21" i="40"/>
  <c r="CB32" i="40"/>
  <c r="CG41" i="40"/>
  <c r="CA53" i="40"/>
  <c r="BT11" i="40"/>
  <c r="BR22" i="40"/>
  <c r="BC19" i="40"/>
  <c r="BE30" i="40"/>
  <c r="BD42" i="40"/>
  <c r="AZ30" i="40"/>
  <c r="AW33" i="40"/>
  <c r="BT52" i="40"/>
  <c r="BC20" i="40"/>
  <c r="BE33" i="40"/>
  <c r="BD12" i="40"/>
  <c r="CH42" i="40"/>
  <c r="CA7" i="40"/>
  <c r="CC19" i="40"/>
  <c r="BE19" i="40"/>
  <c r="BM12" i="40"/>
  <c r="BA13" i="40"/>
  <c r="BF54" i="40"/>
  <c r="CF33" i="40"/>
  <c r="K88" i="42"/>
  <c r="K12" i="46" s="1"/>
  <c r="K70" i="46" s="1"/>
  <c r="I12" i="46"/>
  <c r="I70" i="46" s="1"/>
  <c r="I89" i="42"/>
  <c r="K14" i="42"/>
  <c r="K25" i="42" s="1"/>
  <c r="I25" i="42"/>
  <c r="I28" i="41"/>
  <c r="C22" i="41"/>
  <c r="E47" i="52"/>
  <c r="B49" i="53"/>
  <c r="B47" i="52"/>
  <c r="F47" i="52"/>
  <c r="D47" i="52"/>
  <c r="B132" i="53"/>
  <c r="G49" i="53"/>
  <c r="L132" i="53"/>
  <c r="C47" i="52"/>
  <c r="G132" i="53"/>
  <c r="L49" i="53"/>
  <c r="G47" i="52"/>
  <c r="H49" i="53"/>
  <c r="G124" i="52"/>
  <c r="C49" i="53"/>
  <c r="C124" i="52"/>
  <c r="H132" i="53"/>
  <c r="L89" i="53"/>
  <c r="B89" i="53"/>
  <c r="F13" i="78"/>
  <c r="H72" i="53"/>
  <c r="H73" i="53" s="1"/>
  <c r="L137" i="53"/>
  <c r="G52" i="52"/>
  <c r="B54" i="53"/>
  <c r="B52" i="52"/>
  <c r="C46" i="52"/>
  <c r="G46" i="52"/>
  <c r="L48" i="53"/>
  <c r="B131" i="53"/>
  <c r="D46" i="52"/>
  <c r="G48" i="53"/>
  <c r="G131" i="53"/>
  <c r="L131" i="53"/>
  <c r="B46" i="52"/>
  <c r="F46" i="52"/>
  <c r="E46" i="52"/>
  <c r="B48" i="53"/>
  <c r="E287" i="52"/>
  <c r="O58" i="53"/>
  <c r="E141" i="53"/>
  <c r="C287" i="52"/>
  <c r="O141" i="53"/>
  <c r="B287" i="52"/>
  <c r="D287" i="52"/>
  <c r="J58" i="53"/>
  <c r="J141" i="53"/>
  <c r="E58" i="53"/>
  <c r="G287" i="52"/>
  <c r="F287" i="52"/>
  <c r="N44" i="53"/>
  <c r="G196" i="52"/>
  <c r="D44" i="53"/>
  <c r="N127" i="53"/>
  <c r="D196" i="52"/>
  <c r="I44" i="53"/>
  <c r="C196" i="52"/>
  <c r="F196" i="52"/>
  <c r="E196" i="52"/>
  <c r="B196" i="52"/>
  <c r="D127" i="53"/>
  <c r="I127" i="53"/>
  <c r="E128" i="52"/>
  <c r="H136" i="53"/>
  <c r="C136" i="53"/>
  <c r="B128" i="52"/>
  <c r="F128" i="52"/>
  <c r="H53" i="53"/>
  <c r="M136" i="53"/>
  <c r="D128" i="52"/>
  <c r="M53" i="53"/>
  <c r="C128" i="52"/>
  <c r="C53" i="53"/>
  <c r="G128" i="52"/>
  <c r="CE20" i="40"/>
  <c r="C109" i="45"/>
  <c r="D24" i="78"/>
  <c r="BA9" i="40"/>
  <c r="AZ13" i="40"/>
  <c r="AG29" i="40"/>
  <c r="AH29" i="40" s="1"/>
  <c r="BM33" i="40"/>
  <c r="BB32" i="40"/>
  <c r="AZ20" i="40"/>
  <c r="BC51" i="40"/>
  <c r="BF13" i="40"/>
  <c r="BD43" i="40"/>
  <c r="I11" i="53"/>
  <c r="I16" i="53" s="1"/>
  <c r="I80" i="53" s="1"/>
  <c r="BS8" i="40"/>
  <c r="CE17" i="40"/>
  <c r="H108" i="53"/>
  <c r="E55" i="42"/>
  <c r="D42" i="52"/>
  <c r="C42" i="52"/>
  <c r="E42" i="52"/>
  <c r="B44" i="53"/>
  <c r="G42" i="52"/>
  <c r="B127" i="53"/>
  <c r="B42" i="52"/>
  <c r="G127" i="53"/>
  <c r="G44" i="53"/>
  <c r="L127" i="53"/>
  <c r="L44" i="53"/>
  <c r="F42" i="52"/>
  <c r="M44" i="53"/>
  <c r="M127" i="53"/>
  <c r="F119" i="52"/>
  <c r="C119" i="52"/>
  <c r="D119" i="52"/>
  <c r="C44" i="53"/>
  <c r="E119" i="52"/>
  <c r="G119" i="52"/>
  <c r="H44" i="53"/>
  <c r="H127" i="53"/>
  <c r="C52" i="53"/>
  <c r="D127" i="52"/>
  <c r="B127" i="52"/>
  <c r="G127" i="52"/>
  <c r="C135" i="53"/>
  <c r="H135" i="53"/>
  <c r="F127" i="52"/>
  <c r="H52" i="53"/>
  <c r="C127" i="52"/>
  <c r="M52" i="53"/>
  <c r="E127" i="52"/>
  <c r="M135" i="53"/>
  <c r="L58" i="53"/>
  <c r="G56" i="52"/>
  <c r="B56" i="52"/>
  <c r="L141" i="53"/>
  <c r="G141" i="53"/>
  <c r="B58" i="53"/>
  <c r="C56" i="52"/>
  <c r="E56" i="52"/>
  <c r="F56" i="52"/>
  <c r="G58" i="53"/>
  <c r="B141" i="53"/>
  <c r="D56" i="52"/>
  <c r="I45" i="53"/>
  <c r="D45" i="53"/>
  <c r="E197" i="52"/>
  <c r="N45" i="53"/>
  <c r="C197" i="52"/>
  <c r="N128" i="53"/>
  <c r="G197" i="52"/>
  <c r="B197" i="52"/>
  <c r="D197" i="52"/>
  <c r="F197" i="52"/>
  <c r="D128" i="53"/>
  <c r="I128" i="53"/>
  <c r="C50" i="52"/>
  <c r="G50" i="52"/>
  <c r="I121" i="52"/>
  <c r="H121" i="52"/>
  <c r="T9" i="16"/>
  <c r="S9" i="16"/>
  <c r="BD33" i="40"/>
  <c r="CC23" i="40"/>
  <c r="BS49" i="40"/>
  <c r="AY12" i="40"/>
  <c r="B119" i="52"/>
  <c r="AY18" i="40"/>
  <c r="BM53" i="40"/>
  <c r="BC31" i="40"/>
  <c r="AX7" i="40"/>
  <c r="BP8" i="40"/>
  <c r="C165" i="52"/>
  <c r="C170" i="52" s="1"/>
  <c r="CE7" i="40"/>
  <c r="C81" i="46"/>
  <c r="C23" i="46"/>
  <c r="E27" i="41"/>
  <c r="E10" i="41"/>
  <c r="C51" i="52"/>
  <c r="G51" i="52"/>
  <c r="D51" i="52"/>
  <c r="G53" i="53"/>
  <c r="G136" i="53"/>
  <c r="B51" i="52"/>
  <c r="L53" i="53"/>
  <c r="F51" i="52"/>
  <c r="E51" i="52"/>
  <c r="B136" i="53"/>
  <c r="B53" i="53"/>
  <c r="L136" i="53"/>
  <c r="B44" i="52"/>
  <c r="L46" i="53"/>
  <c r="G129" i="53"/>
  <c r="B129" i="53"/>
  <c r="G46" i="53"/>
  <c r="E44" i="52"/>
  <c r="C44" i="52"/>
  <c r="D44" i="52"/>
  <c r="B46" i="53"/>
  <c r="F44" i="52"/>
  <c r="L129" i="53"/>
  <c r="G44" i="52"/>
  <c r="E81" i="46"/>
  <c r="E23" i="46"/>
  <c r="E27" i="40"/>
  <c r="F27" i="40" s="1"/>
  <c r="G27" i="40" s="1"/>
  <c r="H27" i="40" s="1"/>
  <c r="I27" i="40" s="1"/>
  <c r="J27" i="40" s="1"/>
  <c r="K27" i="40" s="1"/>
  <c r="L27" i="40" s="1"/>
  <c r="M27" i="40" s="1"/>
  <c r="D37" i="40"/>
  <c r="E40" i="52"/>
  <c r="B42" i="53"/>
  <c r="B125" i="53"/>
  <c r="B40" i="52"/>
  <c r="F40" i="52"/>
  <c r="D40" i="52"/>
  <c r="G42" i="53"/>
  <c r="L125" i="53"/>
  <c r="L42" i="53"/>
  <c r="C40" i="52"/>
  <c r="G40" i="52"/>
  <c r="G125" i="53"/>
  <c r="E285" i="52"/>
  <c r="B285" i="52"/>
  <c r="J139" i="53"/>
  <c r="B55" i="52"/>
  <c r="F55" i="52"/>
  <c r="B140" i="53"/>
  <c r="C39" i="41"/>
  <c r="BO19" i="40"/>
  <c r="BO40" i="40"/>
  <c r="BN23" i="40"/>
  <c r="BQ31" i="40"/>
  <c r="AY7" i="40"/>
  <c r="BB11" i="40"/>
  <c r="AZ10" i="40"/>
  <c r="H24" i="78"/>
  <c r="AG41" i="40"/>
  <c r="AH41" i="40" s="1"/>
  <c r="AG44" i="40"/>
  <c r="AH44" i="40" s="1"/>
  <c r="C72" i="42"/>
  <c r="C51" i="45"/>
  <c r="C54" i="45" s="1"/>
  <c r="C61" i="45" s="1"/>
  <c r="E72" i="42"/>
  <c r="E51" i="45"/>
  <c r="E54" i="45" s="1"/>
  <c r="E61" i="45" s="1"/>
  <c r="G72" i="42"/>
  <c r="G51" i="45"/>
  <c r="G54" i="45" s="1"/>
  <c r="G61" i="45" s="1"/>
  <c r="K72" i="42"/>
  <c r="K51" i="45"/>
  <c r="K54" i="45" s="1"/>
  <c r="K61" i="45" s="1"/>
  <c r="I72" i="42"/>
  <c r="I51" i="45"/>
  <c r="I54" i="45" s="1"/>
  <c r="I61" i="45" s="1"/>
  <c r="J39" i="78" s="1"/>
  <c r="C62" i="55"/>
  <c r="C93" i="61" s="1"/>
  <c r="C60" i="55"/>
  <c r="C91" i="61" s="1"/>
  <c r="C89" i="61"/>
  <c r="G62" i="55"/>
  <c r="G93" i="61" s="1"/>
  <c r="G89" i="61"/>
  <c r="G60" i="55"/>
  <c r="G91" i="61" s="1"/>
  <c r="K89" i="61"/>
  <c r="K62" i="55"/>
  <c r="K93" i="61" s="1"/>
  <c r="K60" i="55"/>
  <c r="K91" i="61" s="1"/>
  <c r="D49" i="78"/>
  <c r="H11" i="53"/>
  <c r="H16" i="53" s="1"/>
  <c r="F24" i="78"/>
  <c r="E19" i="51"/>
  <c r="C88" i="52"/>
  <c r="C93" i="52" s="1"/>
  <c r="E46" i="55"/>
  <c r="E77" i="61" s="1"/>
  <c r="G22" i="53"/>
  <c r="C45" i="51"/>
  <c r="E88" i="52"/>
  <c r="C94" i="53"/>
  <c r="D27" i="43"/>
  <c r="B94" i="53"/>
  <c r="C77" i="45"/>
  <c r="C79" i="45"/>
  <c r="E11" i="52"/>
  <c r="G28" i="53"/>
  <c r="C28" i="52"/>
  <c r="C29" i="52" s="1"/>
  <c r="G48" i="51"/>
  <c r="E176" i="52"/>
  <c r="D105" i="53"/>
  <c r="H22" i="53"/>
  <c r="E45" i="51"/>
  <c r="F49" i="78"/>
  <c r="C19" i="51"/>
  <c r="C46" i="55"/>
  <c r="C77" i="61" s="1"/>
  <c r="L28" i="40"/>
  <c r="L35" i="40" s="1"/>
  <c r="BD17" i="40"/>
  <c r="K24" i="40"/>
  <c r="CH17" i="40"/>
  <c r="M28" i="40"/>
  <c r="BS17" i="40"/>
  <c r="BT17" i="40"/>
  <c r="BR17" i="40"/>
  <c r="CF17" i="40"/>
  <c r="D21" i="20"/>
  <c r="L38" i="40"/>
  <c r="BD28" i="40"/>
  <c r="BR28" i="40"/>
  <c r="AZ7" i="40"/>
  <c r="BC48" i="40"/>
  <c r="BQ48" i="40"/>
  <c r="CE48" i="40"/>
  <c r="M15" i="20"/>
  <c r="AY9" i="40"/>
  <c r="K27" i="41"/>
  <c r="K10" i="41"/>
  <c r="G34" i="41"/>
  <c r="G46" i="41"/>
  <c r="G16" i="41"/>
  <c r="G22" i="41"/>
  <c r="AG43" i="40"/>
  <c r="AH43" i="40" s="1"/>
  <c r="CD38" i="40"/>
  <c r="CD17" i="40"/>
  <c r="AG21" i="40"/>
  <c r="AH21" i="40" s="1"/>
  <c r="AG39" i="40"/>
  <c r="AH39" i="40" s="1"/>
  <c r="AG17" i="40"/>
  <c r="AH17" i="40" s="1"/>
  <c r="AG38" i="40"/>
  <c r="AH38" i="40" s="1"/>
  <c r="AG30" i="40"/>
  <c r="AH30" i="40" s="1"/>
  <c r="AG22" i="40"/>
  <c r="AH22" i="40" s="1"/>
  <c r="T14" i="36"/>
  <c r="BP43" i="40"/>
  <c r="BP33" i="40"/>
  <c r="BP22" i="40"/>
  <c r="BP12" i="40"/>
  <c r="B49" i="52"/>
  <c r="F49" i="52"/>
  <c r="B51" i="53"/>
  <c r="G51" i="53"/>
  <c r="C49" i="52"/>
  <c r="G49" i="52"/>
  <c r="G134" i="53"/>
  <c r="D49" i="52"/>
  <c r="L134" i="53"/>
  <c r="L51" i="53"/>
  <c r="B134" i="53"/>
  <c r="E49" i="52"/>
  <c r="H11" i="45"/>
  <c r="F29" i="45"/>
  <c r="G29" i="45" s="1"/>
  <c r="G11" i="45" s="1"/>
  <c r="F348" i="52"/>
  <c r="F125" i="53"/>
  <c r="B348" i="52"/>
  <c r="E348" i="52"/>
  <c r="K42" i="53"/>
  <c r="C348" i="52"/>
  <c r="P42" i="53"/>
  <c r="D348" i="52"/>
  <c r="P125" i="53"/>
  <c r="G348" i="52"/>
  <c r="K125" i="53"/>
  <c r="F42" i="53"/>
  <c r="BJ5" i="40"/>
  <c r="AV15" i="40"/>
  <c r="BE11" i="40"/>
  <c r="BE42" i="40"/>
  <c r="BE32" i="40"/>
  <c r="BE21" i="40"/>
  <c r="BE52" i="40"/>
  <c r="BD23" i="40"/>
  <c r="BD13" i="40"/>
  <c r="BD34" i="40"/>
  <c r="BD44" i="40"/>
  <c r="BD54" i="40"/>
  <c r="M39" i="40"/>
  <c r="BS29" i="40"/>
  <c r="CG29" i="40"/>
  <c r="BE29" i="40"/>
  <c r="I99" i="45"/>
  <c r="J99" i="45"/>
  <c r="K99" i="45" s="1"/>
  <c r="BF22" i="40"/>
  <c r="BF43" i="40"/>
  <c r="BT22" i="40"/>
  <c r="BT53" i="40"/>
  <c r="BF33" i="40"/>
  <c r="BT43" i="40"/>
  <c r="BT33" i="40"/>
  <c r="BT12" i="40"/>
  <c r="CH43" i="40"/>
  <c r="CH53" i="40"/>
  <c r="CD12" i="40"/>
  <c r="CD53" i="40"/>
  <c r="BB43" i="40"/>
  <c r="BD30" i="40"/>
  <c r="BD50" i="40"/>
  <c r="BR30" i="40"/>
  <c r="BR9" i="40"/>
  <c r="BR50" i="40"/>
  <c r="BD19" i="40"/>
  <c r="BR19" i="40"/>
  <c r="BD9" i="40"/>
  <c r="CF30" i="40"/>
  <c r="BZ13" i="40"/>
  <c r="BL13" i="40"/>
  <c r="BO42" i="40"/>
  <c r="BA42" i="40"/>
  <c r="BA32" i="40"/>
  <c r="BA21" i="40"/>
  <c r="BO21" i="40"/>
  <c r="BO32" i="40"/>
  <c r="CC42" i="40"/>
  <c r="CC32" i="40"/>
  <c r="BO11" i="40"/>
  <c r="CC11" i="40"/>
  <c r="CC21" i="40"/>
  <c r="CD30" i="40"/>
  <c r="CD9" i="40"/>
  <c r="BP9" i="40"/>
  <c r="BP30" i="40"/>
  <c r="BP50" i="40"/>
  <c r="BB50" i="40"/>
  <c r="BA33" i="40"/>
  <c r="BA22" i="40"/>
  <c r="BA43" i="40"/>
  <c r="BA53" i="40"/>
  <c r="BO33" i="40"/>
  <c r="BO12" i="40"/>
  <c r="BO53" i="40"/>
  <c r="BO43" i="40"/>
  <c r="CC43" i="40"/>
  <c r="CC53" i="40"/>
  <c r="BO22" i="40"/>
  <c r="CC12" i="40"/>
  <c r="CC33" i="40"/>
  <c r="CC22" i="40"/>
  <c r="AX43" i="40"/>
  <c r="AX53" i="40"/>
  <c r="BL12" i="40"/>
  <c r="BL43" i="40"/>
  <c r="BL33" i="40"/>
  <c r="AX22" i="40"/>
  <c r="BL22" i="40"/>
  <c r="BL53" i="40"/>
  <c r="BZ53" i="40"/>
  <c r="BZ43" i="40"/>
  <c r="BZ22" i="40"/>
  <c r="BZ12" i="40"/>
  <c r="BZ33" i="40"/>
  <c r="CD10" i="40"/>
  <c r="BB20" i="40"/>
  <c r="CD20" i="40"/>
  <c r="BB51" i="40"/>
  <c r="BP41" i="40"/>
  <c r="BB41" i="40"/>
  <c r="CD41" i="40"/>
  <c r="CD51" i="40"/>
  <c r="BZ10" i="40"/>
  <c r="BL10" i="40"/>
  <c r="AY19" i="40"/>
  <c r="BQ29" i="40"/>
  <c r="BQ8" i="40"/>
  <c r="CE29" i="40"/>
  <c r="CE49" i="40"/>
  <c r="CE8" i="40"/>
  <c r="BQ49" i="40"/>
  <c r="BO28" i="40"/>
  <c r="BO7" i="40"/>
  <c r="BA28" i="40"/>
  <c r="CC28" i="40"/>
  <c r="CC7" i="40"/>
  <c r="G20" i="20"/>
  <c r="G21" i="20"/>
  <c r="D20" i="20"/>
  <c r="F20" i="20"/>
  <c r="F21" i="20"/>
  <c r="J30" i="40"/>
  <c r="BB19" i="40"/>
  <c r="I24" i="40"/>
  <c r="BP19" i="40"/>
  <c r="BB9" i="40"/>
  <c r="BD21" i="40"/>
  <c r="BC44" i="40"/>
  <c r="BQ54" i="40"/>
  <c r="CC34" i="40"/>
  <c r="H126" i="52"/>
  <c r="CD42" i="40"/>
  <c r="CF50" i="40"/>
  <c r="CF10" i="40"/>
  <c r="BS13" i="40"/>
  <c r="BS44" i="40"/>
  <c r="BS54" i="40"/>
  <c r="BS23" i="40"/>
  <c r="BS34" i="40"/>
  <c r="C53" i="52"/>
  <c r="G53" i="52"/>
  <c r="G138" i="53"/>
  <c r="L55" i="53"/>
  <c r="B138" i="53"/>
  <c r="D53" i="52"/>
  <c r="E53" i="52"/>
  <c r="L138" i="53"/>
  <c r="G55" i="53"/>
  <c r="B53" i="52"/>
  <c r="F53" i="52"/>
  <c r="B55" i="53"/>
  <c r="H94" i="53"/>
  <c r="F88" i="52"/>
  <c r="E22" i="51"/>
  <c r="F27" i="78"/>
  <c r="AY6" i="40"/>
  <c r="BL6" i="40"/>
  <c r="AY43" i="40"/>
  <c r="CA43" i="40"/>
  <c r="G53" i="40"/>
  <c r="N43" i="40"/>
  <c r="I66" i="41" s="1"/>
  <c r="BM43" i="40"/>
  <c r="T14" i="32"/>
  <c r="AG11" i="40"/>
  <c r="AH11" i="40" s="1"/>
  <c r="O49" i="16"/>
  <c r="P49" i="16"/>
  <c r="AG9" i="40"/>
  <c r="AH9" i="40" s="1"/>
  <c r="BE31" i="40"/>
  <c r="BE20" i="40"/>
  <c r="BE41" i="40"/>
  <c r="CG10" i="40"/>
  <c r="BS10" i="40"/>
  <c r="BS31" i="40"/>
  <c r="CG31" i="40"/>
  <c r="BS41" i="40"/>
  <c r="CG51" i="40"/>
  <c r="BE51" i="40"/>
  <c r="BS51" i="40"/>
  <c r="CG43" i="40"/>
  <c r="CG12" i="40"/>
  <c r="BS22" i="40"/>
  <c r="BE22" i="40"/>
  <c r="BE53" i="40"/>
  <c r="BS12" i="40"/>
  <c r="BS53" i="40"/>
  <c r="CG53" i="40"/>
  <c r="CG22" i="40"/>
  <c r="BS33" i="40"/>
  <c r="CG33" i="40"/>
  <c r="CE11" i="40"/>
  <c r="BC32" i="40"/>
  <c r="BC42" i="40"/>
  <c r="BC21" i="40"/>
  <c r="BQ42" i="40"/>
  <c r="BQ32" i="40"/>
  <c r="BQ11" i="40"/>
  <c r="BQ21" i="40"/>
  <c r="BQ52" i="40"/>
  <c r="CE52" i="40"/>
  <c r="CE21" i="40"/>
  <c r="BC52" i="40"/>
  <c r="CE32" i="40"/>
  <c r="BF44" i="40"/>
  <c r="BF34" i="40"/>
  <c r="BT34" i="40"/>
  <c r="CH23" i="40"/>
  <c r="BT13" i="40"/>
  <c r="CH34" i="40"/>
  <c r="BT44" i="40"/>
  <c r="BT54" i="40"/>
  <c r="CH44" i="40"/>
  <c r="CH13" i="40"/>
  <c r="BT23" i="40"/>
  <c r="CH54" i="40"/>
  <c r="CB12" i="40"/>
  <c r="BN22" i="40"/>
  <c r="BN43" i="40"/>
  <c r="CB43" i="40"/>
  <c r="CB33" i="40"/>
  <c r="BN12" i="40"/>
  <c r="CB22" i="40"/>
  <c r="BN33" i="40"/>
  <c r="BR44" i="40"/>
  <c r="BR13" i="40"/>
  <c r="CF13" i="40"/>
  <c r="BR23" i="40"/>
  <c r="BR34" i="40"/>
  <c r="BR54" i="40"/>
  <c r="CF54" i="40"/>
  <c r="CF44" i="40"/>
  <c r="CF34" i="40"/>
  <c r="CF23" i="40"/>
  <c r="CH11" i="40"/>
  <c r="BF42" i="40"/>
  <c r="BF32" i="40"/>
  <c r="CH52" i="40"/>
  <c r="BF11" i="40"/>
  <c r="BT32" i="40"/>
  <c r="CH21" i="40"/>
  <c r="BT21" i="40"/>
  <c r="BT42" i="40"/>
  <c r="BQ19" i="40"/>
  <c r="BQ40" i="40"/>
  <c r="CE40" i="40"/>
  <c r="CE19" i="40"/>
  <c r="CE9" i="40"/>
  <c r="BR42" i="40"/>
  <c r="BR52" i="40"/>
  <c r="BR21" i="40"/>
  <c r="CF11" i="40"/>
  <c r="BR11" i="40"/>
  <c r="BO10" i="40"/>
  <c r="BO20" i="40"/>
  <c r="BO41" i="40"/>
  <c r="CC41" i="40"/>
  <c r="CC20" i="40"/>
  <c r="CC10" i="40"/>
  <c r="CC31" i="40"/>
  <c r="CG40" i="40"/>
  <c r="CG9" i="40"/>
  <c r="BE40" i="40"/>
  <c r="BL9" i="40"/>
  <c r="BZ9" i="40"/>
  <c r="BB49" i="40"/>
  <c r="BB18" i="40"/>
  <c r="BB39" i="40"/>
  <c r="BP39" i="40"/>
  <c r="BP18" i="40"/>
  <c r="BP29" i="40"/>
  <c r="CD18" i="40"/>
  <c r="CD39" i="40"/>
  <c r="BP49" i="40"/>
  <c r="CD29" i="40"/>
  <c r="CD49" i="40"/>
  <c r="BN17" i="40"/>
  <c r="CB17" i="40"/>
  <c r="F17" i="40"/>
  <c r="BL7" i="40"/>
  <c r="E14" i="40"/>
  <c r="BZ7" i="40"/>
  <c r="J18" i="40"/>
  <c r="I14" i="40"/>
  <c r="CD8" i="40"/>
  <c r="CA9" i="40"/>
  <c r="G19" i="40"/>
  <c r="F14" i="40"/>
  <c r="BA10" i="40"/>
  <c r="BA31" i="40"/>
  <c r="BA41" i="40"/>
  <c r="AG10" i="40"/>
  <c r="AH10" i="40" s="1"/>
  <c r="BA20" i="40"/>
  <c r="BD11" i="40"/>
  <c r="BC34" i="40"/>
  <c r="BM19" i="40"/>
  <c r="G108" i="53"/>
  <c r="G112" i="53" s="1"/>
  <c r="H13" i="78"/>
  <c r="E83" i="61"/>
  <c r="E53" i="55"/>
  <c r="E84" i="61" s="1"/>
  <c r="BE8" i="40"/>
  <c r="CH33" i="40"/>
  <c r="CF21" i="40"/>
  <c r="CG49" i="40"/>
  <c r="BS9" i="40"/>
  <c r="AG31" i="40"/>
  <c r="AH31" i="40" s="1"/>
  <c r="E133" i="52"/>
  <c r="C141" i="53"/>
  <c r="B133" i="52"/>
  <c r="F133" i="52"/>
  <c r="C58" i="53"/>
  <c r="H58" i="53"/>
  <c r="M58" i="53"/>
  <c r="H141" i="53"/>
  <c r="C133" i="52"/>
  <c r="G133" i="52"/>
  <c r="D133" i="52"/>
  <c r="M141" i="53"/>
  <c r="B41" i="52"/>
  <c r="F41" i="52"/>
  <c r="C41" i="52"/>
  <c r="G41" i="52"/>
  <c r="L126" i="53"/>
  <c r="D41" i="52"/>
  <c r="B43" i="53"/>
  <c r="G43" i="53"/>
  <c r="B126" i="53"/>
  <c r="L43" i="53"/>
  <c r="G126" i="53"/>
  <c r="E41" i="52"/>
  <c r="C57" i="47"/>
  <c r="C55" i="47"/>
  <c r="D57" i="52"/>
  <c r="L59" i="53"/>
  <c r="E57" i="52"/>
  <c r="L142" i="53"/>
  <c r="B57" i="52"/>
  <c r="F57" i="52"/>
  <c r="B59" i="53"/>
  <c r="G59" i="53"/>
  <c r="C57" i="52"/>
  <c r="G142" i="53"/>
  <c r="G57" i="52"/>
  <c r="B142" i="53"/>
  <c r="B117" i="52"/>
  <c r="F117" i="52"/>
  <c r="M42" i="53"/>
  <c r="C117" i="52"/>
  <c r="G117" i="52"/>
  <c r="C42" i="53"/>
  <c r="H42" i="53"/>
  <c r="H125" i="53"/>
  <c r="D117" i="52"/>
  <c r="M125" i="53"/>
  <c r="C125" i="53"/>
  <c r="E117" i="52"/>
  <c r="G37" i="52"/>
  <c r="E18" i="45"/>
  <c r="J19" i="45"/>
  <c r="J37" i="45" s="1"/>
  <c r="H37" i="45"/>
  <c r="C119" i="46"/>
  <c r="C121" i="46" s="1"/>
  <c r="C123" i="46" s="1"/>
  <c r="F37" i="52" s="1"/>
  <c r="G122" i="53" s="1"/>
  <c r="I119" i="46"/>
  <c r="I121" i="46" s="1"/>
  <c r="I123" i="46" s="1"/>
  <c r="G119" i="46"/>
  <c r="G121" i="46" s="1"/>
  <c r="G123" i="46" s="1"/>
  <c r="F191" i="52" s="1"/>
  <c r="I122" i="53" s="1"/>
  <c r="K119" i="46"/>
  <c r="K121" i="46" s="1"/>
  <c r="K123" i="46" s="1"/>
  <c r="E119" i="46"/>
  <c r="E121" i="46" s="1"/>
  <c r="E123" i="46" s="1"/>
  <c r="F114" i="52" s="1"/>
  <c r="K11" i="53"/>
  <c r="K16" i="53" s="1"/>
  <c r="K19" i="51"/>
  <c r="L24" i="78"/>
  <c r="C319" i="52"/>
  <c r="C324" i="52" s="1"/>
  <c r="K46" i="55"/>
  <c r="K77" i="61" s="1"/>
  <c r="C6" i="58"/>
  <c r="C6" i="55"/>
  <c r="C37" i="61" s="1"/>
  <c r="BP53" i="40"/>
  <c r="BC41" i="40"/>
  <c r="K51" i="40"/>
  <c r="BQ41" i="40"/>
  <c r="CE41" i="40"/>
  <c r="AZ22" i="40"/>
  <c r="AZ33" i="40"/>
  <c r="AZ12" i="40"/>
  <c r="AG12" i="40"/>
  <c r="AH12" i="40" s="1"/>
  <c r="AZ43" i="40"/>
  <c r="G100" i="45"/>
  <c r="H100" i="45"/>
  <c r="CC13" i="40"/>
  <c r="BA23" i="40"/>
  <c r="BO23" i="40"/>
  <c r="BO13" i="40"/>
  <c r="CC44" i="40"/>
  <c r="BO44" i="40"/>
  <c r="BA44" i="40"/>
  <c r="CF22" i="40"/>
  <c r="CF12" i="40"/>
  <c r="BR33" i="40"/>
  <c r="CF53" i="40"/>
  <c r="BD53" i="40"/>
  <c r="BD22" i="40"/>
  <c r="BR12" i="40"/>
  <c r="BR43" i="40"/>
  <c r="BR53" i="40"/>
  <c r="AY21" i="40"/>
  <c r="CA21" i="40"/>
  <c r="CA11" i="40"/>
  <c r="BE34" i="40"/>
  <c r="BE44" i="40"/>
  <c r="BE23" i="40"/>
  <c r="CG13" i="40"/>
  <c r="CG34" i="40"/>
  <c r="CG54" i="40"/>
  <c r="CG44" i="40"/>
  <c r="CG23" i="40"/>
  <c r="CA12" i="40"/>
  <c r="AY33" i="40"/>
  <c r="AY53" i="40"/>
  <c r="CA33" i="40"/>
  <c r="CA22" i="40"/>
  <c r="AY22" i="40"/>
  <c r="CE10" i="40"/>
  <c r="CE51" i="40"/>
  <c r="BQ10" i="40"/>
  <c r="BQ20" i="40"/>
  <c r="BQ51" i="40"/>
  <c r="BF8" i="40"/>
  <c r="CH8" i="40"/>
  <c r="BT8" i="40"/>
  <c r="BN13" i="40"/>
  <c r="AZ23" i="40"/>
  <c r="BN34" i="40"/>
  <c r="AZ34" i="40"/>
  <c r="CB23" i="40"/>
  <c r="CB34" i="40"/>
  <c r="BP11" i="40"/>
  <c r="BP32" i="40"/>
  <c r="BP52" i="40"/>
  <c r="BP21" i="40"/>
  <c r="BB52" i="40"/>
  <c r="BB42" i="40"/>
  <c r="CD21" i="40"/>
  <c r="AZ21" i="40"/>
  <c r="BN32" i="40"/>
  <c r="BN21" i="40"/>
  <c r="BN11" i="40"/>
  <c r="CB11" i="40"/>
  <c r="AZ32" i="40"/>
  <c r="CB10" i="40"/>
  <c r="AZ31" i="40"/>
  <c r="BN20" i="40"/>
  <c r="BN31" i="40"/>
  <c r="CB31" i="40"/>
  <c r="CB20" i="40"/>
  <c r="BA40" i="40"/>
  <c r="BA19" i="40"/>
  <c r="BO9" i="40"/>
  <c r="CC29" i="40"/>
  <c r="BO39" i="40"/>
  <c r="BO8" i="40"/>
  <c r="BO18" i="40"/>
  <c r="CC8" i="40"/>
  <c r="BO29" i="40"/>
  <c r="CC18" i="40"/>
  <c r="BA29" i="40"/>
  <c r="BA39" i="40"/>
  <c r="BA8" i="40"/>
  <c r="BA18" i="40"/>
  <c r="E21" i="20"/>
  <c r="E20" i="20"/>
  <c r="BB29" i="40"/>
  <c r="G9" i="57"/>
  <c r="K18" i="50"/>
  <c r="AY8" i="40"/>
  <c r="BD52" i="40"/>
  <c r="BE43" i="40"/>
  <c r="C16" i="52"/>
  <c r="BE54" i="40"/>
  <c r="E105" i="53"/>
  <c r="E253" i="52"/>
  <c r="I33" i="41"/>
  <c r="I40" i="41"/>
  <c r="I39" i="41"/>
  <c r="CH12" i="40"/>
  <c r="CD52" i="40"/>
  <c r="CF19" i="40"/>
  <c r="CF42" i="40"/>
  <c r="CG8" i="40"/>
  <c r="BS40" i="40"/>
  <c r="BM11" i="40"/>
  <c r="BM21" i="40"/>
  <c r="B45" i="52"/>
  <c r="F45" i="52"/>
  <c r="L130" i="53"/>
  <c r="C45" i="52"/>
  <c r="G45" i="52"/>
  <c r="B47" i="53"/>
  <c r="G47" i="53"/>
  <c r="D45" i="52"/>
  <c r="G130" i="53"/>
  <c r="L47" i="53"/>
  <c r="E45" i="52"/>
  <c r="B130" i="53"/>
  <c r="G54" i="47"/>
  <c r="G33" i="47"/>
  <c r="E11" i="45"/>
  <c r="E5" i="47"/>
  <c r="E5" i="59"/>
  <c r="G6" i="50"/>
  <c r="E6" i="78"/>
  <c r="E5" i="46"/>
  <c r="E97" i="46" s="1"/>
  <c r="E6" i="57"/>
  <c r="E6" i="55"/>
  <c r="E37" i="61" s="1"/>
  <c r="E5" i="45"/>
  <c r="G5" i="41"/>
  <c r="E6" i="56"/>
  <c r="F6" i="48"/>
  <c r="E5" i="54"/>
  <c r="E19" i="61"/>
  <c r="E5" i="42"/>
  <c r="E5" i="44" s="1"/>
  <c r="K40" i="47"/>
  <c r="I40" i="47"/>
  <c r="AZ17" i="40"/>
  <c r="AG7" i="40"/>
  <c r="AH7" i="40" s="1"/>
  <c r="AW22" i="40"/>
  <c r="BK22" i="40"/>
  <c r="BK12" i="40"/>
  <c r="BK43" i="40"/>
  <c r="AW43" i="40"/>
  <c r="BK33" i="40"/>
  <c r="AW12" i="40"/>
  <c r="BK53" i="40"/>
  <c r="BY22" i="40"/>
  <c r="BY43" i="40"/>
  <c r="BY53" i="40"/>
  <c r="BY33" i="40"/>
  <c r="BY12" i="40"/>
  <c r="E109" i="45"/>
  <c r="H110" i="53"/>
  <c r="F104" i="52"/>
  <c r="AG13" i="40"/>
  <c r="AH13" i="40" s="1"/>
  <c r="AX13" i="40"/>
  <c r="BC43" i="40"/>
  <c r="BC22" i="40"/>
  <c r="BC33" i="40"/>
  <c r="BC53" i="40"/>
  <c r="BQ53" i="40"/>
  <c r="BQ12" i="40"/>
  <c r="CE12" i="40"/>
  <c r="BQ43" i="40"/>
  <c r="CE22" i="40"/>
  <c r="BQ33" i="40"/>
  <c r="CE43" i="40"/>
  <c r="CE33" i="40"/>
  <c r="BQ22" i="40"/>
  <c r="CE53" i="40"/>
  <c r="BZ11" i="40"/>
  <c r="BQ23" i="40"/>
  <c r="BC23" i="40"/>
  <c r="BQ13" i="40"/>
  <c r="BQ44" i="40"/>
  <c r="BQ34" i="40"/>
  <c r="BC54" i="40"/>
  <c r="CE23" i="40"/>
  <c r="CE13" i="40"/>
  <c r="CE44" i="40"/>
  <c r="CE54" i="40"/>
  <c r="CE34" i="40"/>
  <c r="BS21" i="40"/>
  <c r="BS11" i="40"/>
  <c r="CG21" i="40"/>
  <c r="CG11" i="40"/>
  <c r="CG42" i="40"/>
  <c r="CG32" i="40"/>
  <c r="CG52" i="40"/>
  <c r="BF40" i="40"/>
  <c r="BF9" i="40"/>
  <c r="BF30" i="40"/>
  <c r="BF50" i="40"/>
  <c r="BT50" i="40"/>
  <c r="BT9" i="40"/>
  <c r="CH19" i="40"/>
  <c r="CH30" i="40"/>
  <c r="CH9" i="40"/>
  <c r="CH50" i="40"/>
  <c r="BT40" i="40"/>
  <c r="CH40" i="40"/>
  <c r="BM8" i="40"/>
  <c r="CA8" i="40"/>
  <c r="CA18" i="40"/>
  <c r="AY13" i="40"/>
  <c r="AY23" i="40"/>
  <c r="CA13" i="40"/>
  <c r="CA23" i="40"/>
  <c r="BM23" i="40"/>
  <c r="BD41" i="40"/>
  <c r="BD31" i="40"/>
  <c r="BR20" i="40"/>
  <c r="BR10" i="40"/>
  <c r="BR31" i="40"/>
  <c r="CF20" i="40"/>
  <c r="BP23" i="40"/>
  <c r="BB34" i="40"/>
  <c r="BP13" i="40"/>
  <c r="BP34" i="40"/>
  <c r="CD13" i="40"/>
  <c r="BB44" i="40"/>
  <c r="CD34" i="40"/>
  <c r="CD44" i="40"/>
  <c r="CD23" i="40"/>
  <c r="CH10" i="40"/>
  <c r="BT51" i="40"/>
  <c r="BF20" i="40"/>
  <c r="BT10" i="40"/>
  <c r="CH41" i="40"/>
  <c r="BT31" i="40"/>
  <c r="CH31" i="40"/>
  <c r="BT20" i="40"/>
  <c r="CH20" i="40"/>
  <c r="AY20" i="40"/>
  <c r="BM20" i="40"/>
  <c r="CA10" i="40"/>
  <c r="CA20" i="40"/>
  <c r="BN9" i="40"/>
  <c r="BN30" i="40"/>
  <c r="CB9" i="40"/>
  <c r="CB30" i="40"/>
  <c r="BR18" i="40"/>
  <c r="BR39" i="40"/>
  <c r="BD18" i="40"/>
  <c r="BD39" i="40"/>
  <c r="BN8" i="40"/>
  <c r="BN18" i="40"/>
  <c r="BN29" i="40"/>
  <c r="CB29" i="40"/>
  <c r="AZ18" i="40"/>
  <c r="CB18" i="40"/>
  <c r="CB8" i="40"/>
  <c r="AZ29" i="40"/>
  <c r="AZ8" i="40"/>
  <c r="H17" i="40"/>
  <c r="G14" i="40"/>
  <c r="BN7" i="40"/>
  <c r="CB7" i="40"/>
  <c r="BC39" i="40"/>
  <c r="K49" i="40"/>
  <c r="BQ39" i="40"/>
  <c r="CE39" i="40"/>
  <c r="L18" i="40"/>
  <c r="K14" i="40"/>
  <c r="CF8" i="40"/>
  <c r="BR8" i="40"/>
  <c r="BD8" i="40"/>
  <c r="CC9" i="40"/>
  <c r="BB30" i="40"/>
  <c r="BD32" i="40"/>
  <c r="BE12" i="40"/>
  <c r="BO31" i="40"/>
  <c r="BP42" i="40"/>
  <c r="G54" i="41"/>
  <c r="BS30" i="40"/>
  <c r="CH22" i="40"/>
  <c r="CD32" i="40"/>
  <c r="CF9" i="40"/>
  <c r="CF32" i="40"/>
  <c r="CF41" i="40"/>
  <c r="BB54" i="40"/>
  <c r="BP54" i="40"/>
  <c r="B132" i="52"/>
  <c r="E132" i="52"/>
  <c r="C57" i="53"/>
  <c r="M57" i="53"/>
  <c r="C132" i="52"/>
  <c r="F132" i="52"/>
  <c r="H140" i="53"/>
  <c r="M140" i="53"/>
  <c r="D132" i="52"/>
  <c r="G132" i="52"/>
  <c r="H57" i="53"/>
  <c r="C140" i="53"/>
  <c r="D134" i="52"/>
  <c r="H142" i="53"/>
  <c r="M142" i="53"/>
  <c r="E134" i="52"/>
  <c r="H59" i="53"/>
  <c r="B134" i="52"/>
  <c r="F134" i="52"/>
  <c r="C142" i="53"/>
  <c r="C134" i="52"/>
  <c r="G134" i="52"/>
  <c r="C59" i="53"/>
  <c r="M59" i="53"/>
  <c r="I61" i="46"/>
  <c r="I62" i="46" s="1"/>
  <c r="K11" i="46"/>
  <c r="K61" i="46" s="1"/>
  <c r="J20" i="45"/>
  <c r="J38" i="45" s="1"/>
  <c r="H38" i="45"/>
  <c r="P139" i="53"/>
  <c r="E362" i="52"/>
  <c r="B362" i="52"/>
  <c r="P56" i="53"/>
  <c r="K139" i="53"/>
  <c r="F56" i="53"/>
  <c r="K56" i="53"/>
  <c r="C362" i="52"/>
  <c r="D362" i="52"/>
  <c r="F139" i="53"/>
  <c r="F362" i="52"/>
  <c r="G362" i="52"/>
  <c r="G81" i="46"/>
  <c r="G23" i="46"/>
  <c r="D120" i="52"/>
  <c r="G120" i="52"/>
  <c r="C45" i="53"/>
  <c r="H128" i="53"/>
  <c r="C128" i="53"/>
  <c r="B120" i="52"/>
  <c r="E120" i="52"/>
  <c r="H45" i="53"/>
  <c r="M45" i="53"/>
  <c r="C120" i="52"/>
  <c r="F120" i="52"/>
  <c r="M128" i="53"/>
  <c r="E57" i="47"/>
  <c r="I32" i="58"/>
  <c r="K39" i="78"/>
  <c r="K35" i="44"/>
  <c r="K41" i="44" s="1"/>
  <c r="I41" i="44"/>
  <c r="I52" i="46"/>
  <c r="I53" i="46" s="1"/>
  <c r="K10" i="46"/>
  <c r="N155" i="53"/>
  <c r="G222" i="52"/>
  <c r="G67" i="53"/>
  <c r="C51" i="55" s="1"/>
  <c r="C82" i="61" s="1"/>
  <c r="K30" i="47"/>
  <c r="K54" i="47" s="1"/>
  <c r="I54" i="47"/>
  <c r="I33" i="47"/>
  <c r="C125" i="52"/>
  <c r="F125" i="52"/>
  <c r="H133" i="53"/>
  <c r="C133" i="53"/>
  <c r="D125" i="52"/>
  <c r="G125" i="52"/>
  <c r="H50" i="53"/>
  <c r="M50" i="53"/>
  <c r="M133" i="53"/>
  <c r="B125" i="52"/>
  <c r="E125" i="52"/>
  <c r="C50" i="53"/>
  <c r="H31" i="45"/>
  <c r="J13" i="45"/>
  <c r="J31" i="45" s="1"/>
  <c r="I41" i="51"/>
  <c r="H36" i="45"/>
  <c r="J18" i="45"/>
  <c r="J36" i="45" s="1"/>
  <c r="G13" i="57"/>
  <c r="K21" i="50"/>
  <c r="I27" i="52"/>
  <c r="AG32" i="40"/>
  <c r="AH32" i="40" s="1"/>
  <c r="D7" i="19"/>
  <c r="H7" i="19"/>
  <c r="BF18" i="40"/>
  <c r="M24" i="40"/>
  <c r="CH18" i="40"/>
  <c r="BT18" i="40"/>
  <c r="C131" i="53"/>
  <c r="E123" i="52"/>
  <c r="F123" i="52"/>
  <c r="C123" i="52"/>
  <c r="D123" i="52"/>
  <c r="C48" i="53"/>
  <c r="G123" i="52"/>
  <c r="M48" i="53"/>
  <c r="H48" i="53"/>
  <c r="B123" i="52"/>
  <c r="H131" i="53"/>
  <c r="M131" i="53"/>
  <c r="E129" i="52"/>
  <c r="M137" i="53"/>
  <c r="B129" i="52"/>
  <c r="F129" i="52"/>
  <c r="C54" i="53"/>
  <c r="C129" i="52"/>
  <c r="G129" i="52"/>
  <c r="H137" i="53"/>
  <c r="C137" i="53"/>
  <c r="D129" i="52"/>
  <c r="H54" i="53"/>
  <c r="M54" i="53"/>
  <c r="H30" i="45"/>
  <c r="J12" i="45"/>
  <c r="J30" i="45" s="1"/>
  <c r="I154" i="46"/>
  <c r="G155" i="46"/>
  <c r="G157" i="46" s="1"/>
  <c r="G159" i="46" s="1"/>
  <c r="E30" i="57"/>
  <c r="I41" i="50"/>
  <c r="H271" i="52"/>
  <c r="I271" i="52"/>
  <c r="H68" i="52" l="1"/>
  <c r="I68" i="52"/>
  <c r="M72" i="50"/>
  <c r="I17" i="56"/>
  <c r="K17" i="56" s="1"/>
  <c r="J83" i="45"/>
  <c r="K83" i="45" s="1"/>
  <c r="I83" i="45"/>
  <c r="E177" i="52"/>
  <c r="D106" i="53"/>
  <c r="H52" i="78"/>
  <c r="G49" i="51"/>
  <c r="G43" i="41"/>
  <c r="D30" i="40" s="1"/>
  <c r="K54" i="41"/>
  <c r="K33" i="42" s="1"/>
  <c r="G45" i="41"/>
  <c r="D32" i="40" s="1"/>
  <c r="G29" i="41"/>
  <c r="BY13" i="40"/>
  <c r="CI13" i="40" s="1"/>
  <c r="CJ13" i="40" s="1"/>
  <c r="C43" i="41"/>
  <c r="C53" i="41" s="1"/>
  <c r="C32" i="42" s="1"/>
  <c r="M31" i="50"/>
  <c r="M37" i="50" s="1"/>
  <c r="K32" i="57" s="1"/>
  <c r="K37" i="50"/>
  <c r="I32" i="57" s="1"/>
  <c r="BK13" i="40"/>
  <c r="BU13" i="40" s="1"/>
  <c r="BV13" i="40" s="1"/>
  <c r="C34" i="41"/>
  <c r="C35" i="41" s="1"/>
  <c r="C83" i="42" s="1"/>
  <c r="AW13" i="40"/>
  <c r="BG13" i="40" s="1"/>
  <c r="BH13" i="40" s="1"/>
  <c r="C29" i="41"/>
  <c r="C45" i="41"/>
  <c r="C55" i="41" s="1"/>
  <c r="C34" i="42" s="1"/>
  <c r="N13" i="40"/>
  <c r="C67" i="41" s="1"/>
  <c r="C56" i="41"/>
  <c r="C35" i="42" s="1"/>
  <c r="AW37" i="40"/>
  <c r="AX37" i="40" s="1"/>
  <c r="BL27" i="40"/>
  <c r="H299" i="52"/>
  <c r="I299" i="52"/>
  <c r="C9" i="56"/>
  <c r="E9" i="56" s="1"/>
  <c r="D9" i="78"/>
  <c r="F9" i="78" s="1"/>
  <c r="H9" i="78" s="1"/>
  <c r="J9" i="78" s="1"/>
  <c r="L9" i="78" s="1"/>
  <c r="I126" i="52"/>
  <c r="K15" i="42"/>
  <c r="K26" i="42" s="1"/>
  <c r="I26" i="42"/>
  <c r="K30" i="78"/>
  <c r="L30" i="78" s="1"/>
  <c r="J30" i="78"/>
  <c r="K13" i="42"/>
  <c r="K24" i="42" s="1"/>
  <c r="I41" i="45"/>
  <c r="I23" i="45" s="1"/>
  <c r="F29" i="52"/>
  <c r="H43" i="52"/>
  <c r="D8" i="40"/>
  <c r="AW8" i="40" s="1"/>
  <c r="BG8" i="40" s="1"/>
  <c r="BH8" i="40" s="1"/>
  <c r="H205" i="52"/>
  <c r="H208" i="52"/>
  <c r="J49" i="53"/>
  <c r="I16" i="41"/>
  <c r="I203" i="52"/>
  <c r="I272" i="52"/>
  <c r="K43" i="41"/>
  <c r="D50" i="40" s="1"/>
  <c r="I48" i="52"/>
  <c r="I201" i="52"/>
  <c r="R40" i="16"/>
  <c r="H122" i="52"/>
  <c r="S40" i="16"/>
  <c r="H203" i="52"/>
  <c r="I43" i="52"/>
  <c r="I205" i="52"/>
  <c r="H201" i="52"/>
  <c r="H118" i="52"/>
  <c r="G35" i="41"/>
  <c r="G83" i="42" s="1"/>
  <c r="H48" i="52"/>
  <c r="N141" i="53"/>
  <c r="H130" i="52"/>
  <c r="I280" i="52"/>
  <c r="I118" i="52"/>
  <c r="H54" i="52"/>
  <c r="H207" i="52"/>
  <c r="I208" i="52"/>
  <c r="G52" i="41"/>
  <c r="G31" i="42" s="1"/>
  <c r="I130" i="52"/>
  <c r="I67" i="53"/>
  <c r="G51" i="55" s="1"/>
  <c r="G82" i="61" s="1"/>
  <c r="BL16" i="40"/>
  <c r="BK27" i="40"/>
  <c r="I54" i="52"/>
  <c r="I207" i="52"/>
  <c r="I122" i="52"/>
  <c r="H206" i="52"/>
  <c r="H280" i="52"/>
  <c r="K11" i="25"/>
  <c r="BK37" i="40"/>
  <c r="D28" i="40"/>
  <c r="E38" i="40" s="1"/>
  <c r="F48" i="40" s="1"/>
  <c r="BM48" i="40" s="1"/>
  <c r="H116" i="48"/>
  <c r="H121" i="48" s="1"/>
  <c r="G10" i="59" s="1"/>
  <c r="K46" i="41"/>
  <c r="K56" i="41" s="1"/>
  <c r="K34" i="41"/>
  <c r="I25" i="52"/>
  <c r="K45" i="41"/>
  <c r="K55" i="41" s="1"/>
  <c r="I206" i="52"/>
  <c r="D10" i="40"/>
  <c r="E20" i="40" s="1"/>
  <c r="E44" i="41"/>
  <c r="D20" i="40" s="1"/>
  <c r="I50" i="52"/>
  <c r="O18" i="16"/>
  <c r="P18" i="16"/>
  <c r="G34" i="53"/>
  <c r="C48" i="55" s="1"/>
  <c r="C79" i="61" s="1"/>
  <c r="C50" i="55"/>
  <c r="C81" i="61" s="1"/>
  <c r="G15" i="56"/>
  <c r="I15" i="56" s="1"/>
  <c r="K15" i="56" s="1"/>
  <c r="G14" i="56"/>
  <c r="I14" i="56" s="1"/>
  <c r="H93" i="48"/>
  <c r="C105" i="53"/>
  <c r="G41" i="41"/>
  <c r="G50" i="55"/>
  <c r="G81" i="61" s="1"/>
  <c r="H131" i="52"/>
  <c r="K14" i="25"/>
  <c r="H55" i="52"/>
  <c r="E45" i="41"/>
  <c r="E55" i="41" s="1"/>
  <c r="E34" i="42" s="1"/>
  <c r="E29" i="41"/>
  <c r="E46" i="41"/>
  <c r="D23" i="40" s="1"/>
  <c r="E34" i="41"/>
  <c r="I141" i="53"/>
  <c r="D58" i="53"/>
  <c r="I28" i="53"/>
  <c r="H29" i="53"/>
  <c r="H32" i="53" s="1"/>
  <c r="I32" i="45"/>
  <c r="I14" i="45" s="1"/>
  <c r="I31" i="45"/>
  <c r="I13" i="45" s="1"/>
  <c r="G54" i="42"/>
  <c r="G60" i="45"/>
  <c r="I33" i="45"/>
  <c r="I15" i="45" s="1"/>
  <c r="I40" i="45"/>
  <c r="I22" i="45" s="1"/>
  <c r="I46" i="45"/>
  <c r="I39" i="45"/>
  <c r="I21" i="45" s="1"/>
  <c r="K34" i="44"/>
  <c r="K31" i="45" s="1"/>
  <c r="K13" i="45" s="1"/>
  <c r="I40" i="44"/>
  <c r="I30" i="45"/>
  <c r="I12" i="45" s="1"/>
  <c r="I36" i="45"/>
  <c r="I18" i="45" s="1"/>
  <c r="I38" i="45"/>
  <c r="I20" i="45" s="1"/>
  <c r="I37" i="45"/>
  <c r="I19" i="45" s="1"/>
  <c r="I28" i="45"/>
  <c r="I10" i="45" s="1"/>
  <c r="K10" i="25"/>
  <c r="AH45" i="40"/>
  <c r="I34" i="53"/>
  <c r="G48" i="55" s="1"/>
  <c r="G79" i="61" s="1"/>
  <c r="K12" i="25"/>
  <c r="K8" i="25"/>
  <c r="J132" i="53"/>
  <c r="G11" i="57"/>
  <c r="G44" i="59" s="1"/>
  <c r="K20" i="50"/>
  <c r="J34" i="53"/>
  <c r="I48" i="55" s="1"/>
  <c r="I79" i="61" s="1"/>
  <c r="J67" i="53"/>
  <c r="I51" i="55" s="1"/>
  <c r="I82" i="61" s="1"/>
  <c r="I50" i="55"/>
  <c r="I81" i="61" s="1"/>
  <c r="J80" i="53"/>
  <c r="K9" i="25"/>
  <c r="I55" i="52"/>
  <c r="H50" i="52"/>
  <c r="E132" i="53"/>
  <c r="I131" i="52"/>
  <c r="G71" i="50"/>
  <c r="E71" i="50"/>
  <c r="E43" i="50"/>
  <c r="C32" i="57"/>
  <c r="C35" i="57" s="1"/>
  <c r="C45" i="59" s="1"/>
  <c r="E32" i="57"/>
  <c r="E35" i="57" s="1"/>
  <c r="I71" i="50"/>
  <c r="K51" i="78"/>
  <c r="I16" i="56"/>
  <c r="K16" i="56" s="1"/>
  <c r="L93" i="48"/>
  <c r="L109" i="48"/>
  <c r="L116" i="48" s="1"/>
  <c r="L121" i="48" s="1"/>
  <c r="K10" i="59" s="1"/>
  <c r="J109" i="48"/>
  <c r="J116" i="48" s="1"/>
  <c r="J121" i="48" s="1"/>
  <c r="J93" i="48"/>
  <c r="D109" i="48"/>
  <c r="D93" i="48"/>
  <c r="F109" i="48"/>
  <c r="F116" i="48" s="1"/>
  <c r="F121" i="48" s="1"/>
  <c r="F93" i="48"/>
  <c r="I285" i="52"/>
  <c r="F133" i="53"/>
  <c r="E356" i="52"/>
  <c r="F210" i="52"/>
  <c r="N58" i="53"/>
  <c r="E210" i="52"/>
  <c r="D210" i="52"/>
  <c r="I58" i="53"/>
  <c r="B210" i="52"/>
  <c r="C210" i="52"/>
  <c r="G210" i="52"/>
  <c r="P133" i="53"/>
  <c r="F356" i="52"/>
  <c r="P50" i="53"/>
  <c r="C356" i="52"/>
  <c r="B356" i="52"/>
  <c r="D356" i="52"/>
  <c r="K133" i="53"/>
  <c r="I279" i="52"/>
  <c r="K50" i="53"/>
  <c r="G356" i="52"/>
  <c r="C278" i="52"/>
  <c r="F278" i="52"/>
  <c r="B278" i="52"/>
  <c r="D278" i="52"/>
  <c r="E278" i="52"/>
  <c r="O132" i="53"/>
  <c r="E49" i="53"/>
  <c r="G278" i="52"/>
  <c r="P55" i="53"/>
  <c r="K138" i="53"/>
  <c r="H279" i="52"/>
  <c r="I124" i="52"/>
  <c r="H199" i="52"/>
  <c r="P44" i="53"/>
  <c r="H119" i="52"/>
  <c r="G350" i="52"/>
  <c r="K44" i="53"/>
  <c r="H195" i="52"/>
  <c r="H349" i="52"/>
  <c r="H285" i="52"/>
  <c r="B361" i="52"/>
  <c r="K55" i="53"/>
  <c r="H276" i="52"/>
  <c r="F44" i="53"/>
  <c r="H284" i="52"/>
  <c r="F350" i="52"/>
  <c r="I199" i="52"/>
  <c r="I355" i="52"/>
  <c r="I204" i="52"/>
  <c r="I275" i="52"/>
  <c r="I195" i="52"/>
  <c r="H355" i="52"/>
  <c r="I276" i="52"/>
  <c r="H200" i="52"/>
  <c r="I209" i="52"/>
  <c r="I349" i="52"/>
  <c r="F127" i="53"/>
  <c r="E361" i="52"/>
  <c r="F361" i="52"/>
  <c r="F55" i="53"/>
  <c r="F138" i="53"/>
  <c r="G361" i="52"/>
  <c r="C361" i="52"/>
  <c r="P138" i="53"/>
  <c r="H282" i="52"/>
  <c r="H202" i="52"/>
  <c r="I282" i="52"/>
  <c r="I200" i="52"/>
  <c r="P127" i="53"/>
  <c r="D350" i="52"/>
  <c r="B350" i="52"/>
  <c r="K127" i="53"/>
  <c r="E350" i="52"/>
  <c r="P53" i="53"/>
  <c r="K136" i="53"/>
  <c r="G359" i="52"/>
  <c r="F136" i="53"/>
  <c r="C359" i="52"/>
  <c r="F359" i="52"/>
  <c r="K53" i="53"/>
  <c r="B359" i="52"/>
  <c r="E359" i="52"/>
  <c r="P136" i="53"/>
  <c r="F53" i="53"/>
  <c r="D359" i="52"/>
  <c r="F286" i="52"/>
  <c r="G286" i="52"/>
  <c r="O140" i="53"/>
  <c r="E286" i="52"/>
  <c r="E140" i="53"/>
  <c r="B286" i="52"/>
  <c r="O57" i="53"/>
  <c r="E57" i="53"/>
  <c r="D286" i="52"/>
  <c r="J140" i="53"/>
  <c r="C286" i="52"/>
  <c r="J57" i="53"/>
  <c r="J48" i="53"/>
  <c r="O48" i="53"/>
  <c r="E48" i="53"/>
  <c r="D277" i="52"/>
  <c r="E131" i="53"/>
  <c r="B277" i="52"/>
  <c r="E277" i="52"/>
  <c r="C277" i="52"/>
  <c r="J131" i="53"/>
  <c r="F277" i="52"/>
  <c r="G277" i="52"/>
  <c r="O131" i="53"/>
  <c r="I198" i="52"/>
  <c r="H198" i="52"/>
  <c r="G281" i="52"/>
  <c r="E135" i="53"/>
  <c r="J52" i="53"/>
  <c r="J135" i="53"/>
  <c r="C281" i="52"/>
  <c r="B281" i="52"/>
  <c r="O135" i="53"/>
  <c r="F281" i="52"/>
  <c r="D281" i="52"/>
  <c r="O52" i="53"/>
  <c r="E281" i="52"/>
  <c r="E52" i="53"/>
  <c r="B283" i="52"/>
  <c r="O54" i="53"/>
  <c r="D283" i="52"/>
  <c r="G283" i="52"/>
  <c r="J54" i="53"/>
  <c r="E283" i="52"/>
  <c r="O137" i="53"/>
  <c r="C283" i="52"/>
  <c r="E137" i="53"/>
  <c r="E54" i="53"/>
  <c r="J137" i="53"/>
  <c r="F283" i="52"/>
  <c r="K137" i="53"/>
  <c r="P137" i="53"/>
  <c r="G360" i="52"/>
  <c r="K54" i="53"/>
  <c r="F137" i="53"/>
  <c r="B360" i="52"/>
  <c r="C360" i="52"/>
  <c r="F360" i="52"/>
  <c r="P54" i="53"/>
  <c r="F54" i="53"/>
  <c r="E360" i="52"/>
  <c r="D360" i="52"/>
  <c r="P51" i="53"/>
  <c r="K51" i="53"/>
  <c r="P134" i="53"/>
  <c r="E357" i="52"/>
  <c r="F134" i="53"/>
  <c r="C357" i="52"/>
  <c r="K134" i="53"/>
  <c r="F51" i="53"/>
  <c r="B357" i="52"/>
  <c r="G357" i="52"/>
  <c r="D357" i="52"/>
  <c r="F357" i="52"/>
  <c r="H209" i="52"/>
  <c r="I284" i="52"/>
  <c r="H204" i="52"/>
  <c r="I119" i="52"/>
  <c r="H124" i="52"/>
  <c r="F343" i="52"/>
  <c r="F120" i="53"/>
  <c r="G343" i="52"/>
  <c r="E343" i="52"/>
  <c r="P120" i="53"/>
  <c r="K120" i="53"/>
  <c r="F364" i="52"/>
  <c r="P141" i="53"/>
  <c r="D364" i="52"/>
  <c r="F58" i="53"/>
  <c r="P58" i="53"/>
  <c r="B364" i="52"/>
  <c r="K58" i="53"/>
  <c r="E364" i="52"/>
  <c r="F141" i="53"/>
  <c r="K141" i="53"/>
  <c r="C364" i="52"/>
  <c r="G364" i="52"/>
  <c r="B363" i="52"/>
  <c r="P140" i="53"/>
  <c r="E363" i="52"/>
  <c r="D363" i="52"/>
  <c r="F363" i="52"/>
  <c r="K57" i="53"/>
  <c r="K140" i="53"/>
  <c r="F57" i="53"/>
  <c r="G363" i="52"/>
  <c r="F140" i="53"/>
  <c r="C363" i="52"/>
  <c r="P57" i="53"/>
  <c r="C353" i="52"/>
  <c r="F47" i="53"/>
  <c r="B353" i="52"/>
  <c r="E353" i="52"/>
  <c r="K47" i="53"/>
  <c r="P47" i="53"/>
  <c r="D353" i="52"/>
  <c r="F130" i="53"/>
  <c r="K130" i="53"/>
  <c r="P130" i="53"/>
  <c r="G353" i="52"/>
  <c r="F353" i="52"/>
  <c r="P48" i="53"/>
  <c r="D354" i="52"/>
  <c r="F131" i="53"/>
  <c r="G354" i="52"/>
  <c r="K48" i="53"/>
  <c r="C354" i="52"/>
  <c r="K131" i="53"/>
  <c r="P131" i="53"/>
  <c r="F48" i="53"/>
  <c r="E354" i="52"/>
  <c r="F354" i="52"/>
  <c r="B354" i="52"/>
  <c r="I273" i="52"/>
  <c r="H273" i="52"/>
  <c r="E358" i="52"/>
  <c r="K135" i="53"/>
  <c r="F135" i="53"/>
  <c r="C358" i="52"/>
  <c r="B358" i="52"/>
  <c r="F52" i="53"/>
  <c r="G358" i="52"/>
  <c r="P135" i="53"/>
  <c r="D358" i="52"/>
  <c r="K52" i="53"/>
  <c r="F358" i="52"/>
  <c r="P52" i="53"/>
  <c r="H275" i="52"/>
  <c r="I202" i="52"/>
  <c r="I194" i="52"/>
  <c r="H194" i="52"/>
  <c r="H102" i="52"/>
  <c r="G191" i="52"/>
  <c r="N122" i="53" s="1"/>
  <c r="I31" i="46"/>
  <c r="I33" i="46" s="1"/>
  <c r="I35" i="46" s="1"/>
  <c r="G268" i="52" s="1"/>
  <c r="K30" i="46"/>
  <c r="K31" i="46" s="1"/>
  <c r="K33" i="46" s="1"/>
  <c r="K35" i="46" s="1"/>
  <c r="K60" i="46"/>
  <c r="K62" i="46" s="1"/>
  <c r="K163" i="46"/>
  <c r="K164" i="46" s="1"/>
  <c r="K166" i="46" s="1"/>
  <c r="K168" i="46" s="1"/>
  <c r="I164" i="46"/>
  <c r="I166" i="46" s="1"/>
  <c r="I168" i="46" s="1"/>
  <c r="I108" i="53"/>
  <c r="F179" i="52"/>
  <c r="K146" i="46"/>
  <c r="K148" i="46" s="1"/>
  <c r="K150" i="46" s="1"/>
  <c r="F268" i="52"/>
  <c r="J122" i="53" s="1"/>
  <c r="E191" i="52"/>
  <c r="D122" i="53" s="1"/>
  <c r="K128" i="46"/>
  <c r="K130" i="46" s="1"/>
  <c r="K132" i="46" s="1"/>
  <c r="F345" i="52" s="1"/>
  <c r="K122" i="53" s="1"/>
  <c r="I101" i="46"/>
  <c r="I103" i="46" s="1"/>
  <c r="I105" i="46" s="1"/>
  <c r="K100" i="46"/>
  <c r="K66" i="46"/>
  <c r="K67" i="46" s="1"/>
  <c r="K69" i="46" s="1"/>
  <c r="K71" i="46" s="1"/>
  <c r="I67" i="46"/>
  <c r="I69" i="46" s="1"/>
  <c r="I71" i="46" s="1"/>
  <c r="H112" i="53"/>
  <c r="G102" i="45"/>
  <c r="G109" i="45" s="1"/>
  <c r="C109" i="52"/>
  <c r="D63" i="50"/>
  <c r="D61" i="50"/>
  <c r="B50" i="57" s="1"/>
  <c r="B53" i="57" s="1"/>
  <c r="I13" i="46"/>
  <c r="K89" i="42"/>
  <c r="K13" i="46" s="1"/>
  <c r="K81" i="46" s="1"/>
  <c r="I44" i="41"/>
  <c r="I43" i="41"/>
  <c r="I45" i="41"/>
  <c r="I34" i="41"/>
  <c r="I35" i="41" s="1"/>
  <c r="I83" i="42" s="1"/>
  <c r="I46" i="41"/>
  <c r="I29" i="41"/>
  <c r="C51" i="41"/>
  <c r="C30" i="42" s="1"/>
  <c r="D7" i="40"/>
  <c r="C41" i="41"/>
  <c r="I40" i="52"/>
  <c r="H40" i="52"/>
  <c r="E37" i="40"/>
  <c r="F37" i="40" s="1"/>
  <c r="G37" i="40" s="1"/>
  <c r="H37" i="40" s="1"/>
  <c r="I37" i="40" s="1"/>
  <c r="J37" i="40" s="1"/>
  <c r="K37" i="40" s="1"/>
  <c r="L37" i="40" s="1"/>
  <c r="M37" i="40" s="1"/>
  <c r="D47" i="40"/>
  <c r="BY37" i="40"/>
  <c r="BZ37" i="40" s="1"/>
  <c r="CA37" i="40" s="1"/>
  <c r="CB37" i="40" s="1"/>
  <c r="CC37" i="40" s="1"/>
  <c r="CD37" i="40" s="1"/>
  <c r="CE37" i="40" s="1"/>
  <c r="CF37" i="40" s="1"/>
  <c r="CG37" i="40" s="1"/>
  <c r="CH37" i="40" s="1"/>
  <c r="E16" i="41"/>
  <c r="E22" i="41"/>
  <c r="H197" i="52"/>
  <c r="I197" i="52"/>
  <c r="H47" i="52"/>
  <c r="I47" i="52"/>
  <c r="I44" i="52"/>
  <c r="H44" i="52"/>
  <c r="I46" i="52"/>
  <c r="H46" i="52"/>
  <c r="I128" i="52"/>
  <c r="H128" i="52"/>
  <c r="AW29" i="40"/>
  <c r="H117" i="52"/>
  <c r="I51" i="52"/>
  <c r="H51" i="52"/>
  <c r="H287" i="52"/>
  <c r="I287" i="52"/>
  <c r="I52" i="52"/>
  <c r="H52" i="52"/>
  <c r="AW47" i="40"/>
  <c r="BK47" i="40" s="1"/>
  <c r="H196" i="52"/>
  <c r="I196" i="52"/>
  <c r="E40" i="41"/>
  <c r="E39" i="41"/>
  <c r="E33" i="41"/>
  <c r="I56" i="52"/>
  <c r="H56" i="52"/>
  <c r="I127" i="52"/>
  <c r="H127" i="52"/>
  <c r="I42" i="52"/>
  <c r="H42" i="52"/>
  <c r="F41" i="78"/>
  <c r="F72" i="48"/>
  <c r="K68" i="45"/>
  <c r="K46" i="51"/>
  <c r="P22" i="53"/>
  <c r="L50" i="78"/>
  <c r="D330" i="52"/>
  <c r="D319" i="52"/>
  <c r="D324" i="52" s="1"/>
  <c r="P11" i="53"/>
  <c r="P16" i="53" s="1"/>
  <c r="K20" i="51"/>
  <c r="L25" i="78"/>
  <c r="D253" i="52"/>
  <c r="J50" i="78"/>
  <c r="I46" i="51"/>
  <c r="I68" i="45"/>
  <c r="O22" i="53"/>
  <c r="G46" i="51"/>
  <c r="H50" i="78"/>
  <c r="H39" i="78"/>
  <c r="G68" i="45"/>
  <c r="D176" i="52"/>
  <c r="N22" i="53"/>
  <c r="D39" i="78"/>
  <c r="D50" i="78"/>
  <c r="C68" i="45"/>
  <c r="C46" i="51"/>
  <c r="L22" i="53"/>
  <c r="D22" i="52"/>
  <c r="M22" i="53"/>
  <c r="D99" i="52"/>
  <c r="I99" i="52" s="1"/>
  <c r="E68" i="45"/>
  <c r="F39" i="78"/>
  <c r="F50" i="78"/>
  <c r="E46" i="51"/>
  <c r="M11" i="53"/>
  <c r="M16" i="53" s="1"/>
  <c r="E20" i="51"/>
  <c r="D88" i="52"/>
  <c r="D93" i="52" s="1"/>
  <c r="F25" i="78"/>
  <c r="O11" i="53"/>
  <c r="O16" i="53" s="1"/>
  <c r="J25" i="78"/>
  <c r="D242" i="52"/>
  <c r="D247" i="52" s="1"/>
  <c r="I20" i="51"/>
  <c r="G20" i="51"/>
  <c r="D165" i="52"/>
  <c r="H25" i="78"/>
  <c r="N11" i="53"/>
  <c r="N16" i="53" s="1"/>
  <c r="D25" i="78"/>
  <c r="D11" i="52"/>
  <c r="D16" i="52" s="1"/>
  <c r="C20" i="51"/>
  <c r="L11" i="53"/>
  <c r="L16" i="53" s="1"/>
  <c r="H67" i="53"/>
  <c r="E51" i="55" s="1"/>
  <c r="E82" i="61" s="1"/>
  <c r="E50" i="55"/>
  <c r="E81" i="61" s="1"/>
  <c r="H80" i="53"/>
  <c r="H34" i="53"/>
  <c r="E48" i="55" s="1"/>
  <c r="E79" i="61" s="1"/>
  <c r="G29" i="53"/>
  <c r="G32" i="53" s="1"/>
  <c r="C48" i="51"/>
  <c r="E22" i="52"/>
  <c r="B105" i="53"/>
  <c r="C32" i="52"/>
  <c r="BT28" i="40"/>
  <c r="BF28" i="40"/>
  <c r="CH28" i="40"/>
  <c r="M38" i="40"/>
  <c r="M45" i="40" s="1"/>
  <c r="BS28" i="40"/>
  <c r="BE28" i="40"/>
  <c r="CG28" i="40"/>
  <c r="M48" i="40"/>
  <c r="BS38" i="40"/>
  <c r="CG38" i="40"/>
  <c r="BE38" i="40"/>
  <c r="BY8" i="40"/>
  <c r="CI8" i="40" s="1"/>
  <c r="CJ8" i="40" s="1"/>
  <c r="BY29" i="40"/>
  <c r="E39" i="40"/>
  <c r="BZ39" i="40" s="1"/>
  <c r="K29" i="41"/>
  <c r="K39" i="41"/>
  <c r="K40" i="41"/>
  <c r="K33" i="41"/>
  <c r="K16" i="41"/>
  <c r="K22" i="41"/>
  <c r="G53" i="41"/>
  <c r="G47" i="41"/>
  <c r="G55" i="41"/>
  <c r="G34" i="42" s="1"/>
  <c r="D34" i="40"/>
  <c r="G56" i="41"/>
  <c r="G35" i="42" s="1"/>
  <c r="CI43" i="40"/>
  <c r="CJ43" i="40" s="1"/>
  <c r="AH24" i="40"/>
  <c r="CI22" i="40"/>
  <c r="CJ22" i="40" s="1"/>
  <c r="BG33" i="40"/>
  <c r="BH33" i="40" s="1"/>
  <c r="AH35" i="40"/>
  <c r="CI33" i="40"/>
  <c r="CJ33" i="40" s="1"/>
  <c r="AH14" i="40"/>
  <c r="BG12" i="40"/>
  <c r="BH12" i="40" s="1"/>
  <c r="I104" i="52"/>
  <c r="H104" i="52"/>
  <c r="F106" i="52"/>
  <c r="D274" i="52"/>
  <c r="J45" i="53"/>
  <c r="F274" i="52"/>
  <c r="E45" i="53"/>
  <c r="E128" i="53"/>
  <c r="O45" i="53"/>
  <c r="B274" i="52"/>
  <c r="E274" i="52"/>
  <c r="J128" i="53"/>
  <c r="C274" i="52"/>
  <c r="O128" i="53"/>
  <c r="G274" i="52"/>
  <c r="C211" i="52"/>
  <c r="N142" i="53"/>
  <c r="D211" i="52"/>
  <c r="I142" i="53"/>
  <c r="D59" i="53"/>
  <c r="N59" i="53"/>
  <c r="D142" i="53"/>
  <c r="D143" i="53" s="1"/>
  <c r="I59" i="53"/>
  <c r="G57" i="47"/>
  <c r="F211" i="52"/>
  <c r="E211" i="52"/>
  <c r="B211" i="52"/>
  <c r="G211" i="52"/>
  <c r="H45" i="52"/>
  <c r="I45" i="52"/>
  <c r="D39" i="40"/>
  <c r="I52" i="41"/>
  <c r="I31" i="42" s="1"/>
  <c r="L122" i="53"/>
  <c r="I117" i="52"/>
  <c r="I57" i="52"/>
  <c r="H57" i="52"/>
  <c r="G143" i="53"/>
  <c r="B60" i="53"/>
  <c r="C58" i="52"/>
  <c r="I133" i="52"/>
  <c r="H133" i="52"/>
  <c r="H53" i="52"/>
  <c r="I53" i="52"/>
  <c r="BF39" i="40"/>
  <c r="BT39" i="40"/>
  <c r="CH39" i="40"/>
  <c r="J11" i="45"/>
  <c r="J29" i="45" s="1"/>
  <c r="H29" i="45"/>
  <c r="I29" i="45" s="1"/>
  <c r="I11" i="45" s="1"/>
  <c r="H49" i="52"/>
  <c r="I49" i="52"/>
  <c r="BY31" i="40"/>
  <c r="E41" i="40"/>
  <c r="AW31" i="40"/>
  <c r="BK31" i="40"/>
  <c r="CF49" i="40"/>
  <c r="BR49" i="40"/>
  <c r="BD49" i="40"/>
  <c r="BU12" i="40"/>
  <c r="BV12" i="40" s="1"/>
  <c r="C351" i="52"/>
  <c r="E351" i="52"/>
  <c r="F351" i="52"/>
  <c r="P45" i="53"/>
  <c r="K45" i="53"/>
  <c r="F128" i="53"/>
  <c r="P128" i="53"/>
  <c r="D351" i="52"/>
  <c r="G351" i="52"/>
  <c r="F45" i="53"/>
  <c r="K128" i="53"/>
  <c r="B351" i="52"/>
  <c r="R39" i="48"/>
  <c r="R21" i="48"/>
  <c r="U30" i="48"/>
  <c r="E5" i="51"/>
  <c r="B82" i="52"/>
  <c r="A33" i="50"/>
  <c r="C6" i="53"/>
  <c r="BM16" i="40"/>
  <c r="AZ16" i="40"/>
  <c r="I9" i="57"/>
  <c r="M18" i="50"/>
  <c r="K9" i="57" s="1"/>
  <c r="J100" i="45"/>
  <c r="K100" i="45" s="1"/>
  <c r="K102" i="45" s="1"/>
  <c r="I100" i="45"/>
  <c r="I102" i="45" s="1"/>
  <c r="K34" i="53"/>
  <c r="K48" i="55" s="1"/>
  <c r="K79" i="61" s="1"/>
  <c r="K50" i="55"/>
  <c r="K81" i="61" s="1"/>
  <c r="K80" i="53"/>
  <c r="K67" i="53"/>
  <c r="K51" i="55" s="1"/>
  <c r="K82" i="61" s="1"/>
  <c r="L60" i="53"/>
  <c r="D58" i="52"/>
  <c r="F58" i="52"/>
  <c r="BN19" i="40"/>
  <c r="H30" i="40"/>
  <c r="AZ19" i="40"/>
  <c r="CB19" i="40"/>
  <c r="G24" i="40"/>
  <c r="BN53" i="40"/>
  <c r="BU53" i="40" s="1"/>
  <c r="BV53" i="40" s="1"/>
  <c r="CB53" i="40"/>
  <c r="CI53" i="40" s="1"/>
  <c r="CJ53" i="40" s="1"/>
  <c r="N53" i="40"/>
  <c r="K66" i="41" s="1"/>
  <c r="AZ53" i="40"/>
  <c r="BG53" i="40" s="1"/>
  <c r="BH53" i="40" s="1"/>
  <c r="BM6" i="40"/>
  <c r="AZ6" i="40"/>
  <c r="K40" i="40"/>
  <c r="J35" i="40"/>
  <c r="BQ30" i="40"/>
  <c r="BC30" i="40"/>
  <c r="CE30" i="40"/>
  <c r="BU33" i="40"/>
  <c r="BV33" i="40" s="1"/>
  <c r="G33" i="42"/>
  <c r="M29" i="40"/>
  <c r="L24" i="40"/>
  <c r="BS18" i="40"/>
  <c r="BE18" i="40"/>
  <c r="CG18" i="40"/>
  <c r="I28" i="40"/>
  <c r="H24" i="40"/>
  <c r="CC17" i="40"/>
  <c r="BO17" i="40"/>
  <c r="BA17" i="40"/>
  <c r="BU22" i="40"/>
  <c r="BV22" i="40" s="1"/>
  <c r="BD51" i="40"/>
  <c r="CF51" i="40"/>
  <c r="BR51" i="40"/>
  <c r="C53" i="51"/>
  <c r="D56" i="78"/>
  <c r="B143" i="53"/>
  <c r="L143" i="53"/>
  <c r="I41" i="52"/>
  <c r="B58" i="52"/>
  <c r="H41" i="52"/>
  <c r="D19" i="40"/>
  <c r="E53" i="41"/>
  <c r="E32" i="42" s="1"/>
  <c r="K29" i="40"/>
  <c r="BC18" i="40"/>
  <c r="J24" i="40"/>
  <c r="CE18" i="40"/>
  <c r="BQ18" i="40"/>
  <c r="BU43" i="40"/>
  <c r="BV43" i="40" s="1"/>
  <c r="I348" i="52"/>
  <c r="H348" i="52"/>
  <c r="CI12" i="40"/>
  <c r="CJ12" i="40" s="1"/>
  <c r="BG22" i="40"/>
  <c r="BH22" i="40" s="1"/>
  <c r="G6" i="56"/>
  <c r="G6" i="55"/>
  <c r="G37" i="61" s="1"/>
  <c r="G5" i="43"/>
  <c r="G5" i="54"/>
  <c r="G6" i="78"/>
  <c r="G5" i="45"/>
  <c r="G19" i="61"/>
  <c r="G5" i="46"/>
  <c r="G97" i="46" s="1"/>
  <c r="G6" i="57"/>
  <c r="G5" i="42"/>
  <c r="G5" i="44" s="1"/>
  <c r="I6" i="50"/>
  <c r="H6" i="48"/>
  <c r="G5" i="47"/>
  <c r="I5" i="41"/>
  <c r="G5" i="59"/>
  <c r="G6" i="58"/>
  <c r="D38" i="40"/>
  <c r="I41" i="41"/>
  <c r="I51" i="41"/>
  <c r="BG43" i="40"/>
  <c r="BH43" i="40" s="1"/>
  <c r="E58" i="52"/>
  <c r="G60" i="53"/>
  <c r="G58" i="52"/>
  <c r="BM27" i="40"/>
  <c r="AZ27" i="40"/>
  <c r="G28" i="40"/>
  <c r="CA17" i="40"/>
  <c r="AY17" i="40"/>
  <c r="F24" i="40"/>
  <c r="BM17" i="40"/>
  <c r="R49" i="16"/>
  <c r="Q49" i="16"/>
  <c r="AV26" i="40"/>
  <c r="BJ15" i="40"/>
  <c r="M21" i="50"/>
  <c r="I13" i="57"/>
  <c r="K33" i="47"/>
  <c r="K52" i="46"/>
  <c r="K53" i="46" s="1"/>
  <c r="C135" i="52"/>
  <c r="I120" i="52"/>
  <c r="H120" i="52"/>
  <c r="B135" i="52"/>
  <c r="G135" i="52"/>
  <c r="I134" i="52"/>
  <c r="H134" i="52"/>
  <c r="AY37" i="40"/>
  <c r="BL37" i="40"/>
  <c r="I155" i="46"/>
  <c r="I157" i="46" s="1"/>
  <c r="I159" i="46" s="1"/>
  <c r="K154" i="46"/>
  <c r="I129" i="52"/>
  <c r="H129" i="52"/>
  <c r="I125" i="52"/>
  <c r="H125" i="52"/>
  <c r="C288" i="52"/>
  <c r="J59" i="53"/>
  <c r="O142" i="53"/>
  <c r="E288" i="52"/>
  <c r="G288" i="52"/>
  <c r="O59" i="53"/>
  <c r="B288" i="52"/>
  <c r="D288" i="52"/>
  <c r="E142" i="53"/>
  <c r="F288" i="52"/>
  <c r="E59" i="53"/>
  <c r="J142" i="53"/>
  <c r="I57" i="47"/>
  <c r="P129" i="53"/>
  <c r="G352" i="52"/>
  <c r="D352" i="52"/>
  <c r="F352" i="52"/>
  <c r="E352" i="52"/>
  <c r="F46" i="53"/>
  <c r="P46" i="53"/>
  <c r="K46" i="53"/>
  <c r="K129" i="53"/>
  <c r="C352" i="52"/>
  <c r="B352" i="52"/>
  <c r="F129" i="53"/>
  <c r="K57" i="47"/>
  <c r="F56" i="78"/>
  <c r="E53" i="51"/>
  <c r="M60" i="53"/>
  <c r="C143" i="53"/>
  <c r="D135" i="52"/>
  <c r="F34" i="40"/>
  <c r="AX23" i="40"/>
  <c r="BL23" i="40"/>
  <c r="BZ23" i="40"/>
  <c r="I362" i="52"/>
  <c r="H362" i="52"/>
  <c r="H132" i="52"/>
  <c r="I132" i="52"/>
  <c r="BK51" i="40"/>
  <c r="AW51" i="40"/>
  <c r="BY51" i="40"/>
  <c r="G30" i="57"/>
  <c r="G35" i="57" s="1"/>
  <c r="K41" i="50"/>
  <c r="I43" i="50"/>
  <c r="H123" i="52"/>
  <c r="I123" i="52"/>
  <c r="P142" i="53"/>
  <c r="F365" i="52"/>
  <c r="B365" i="52"/>
  <c r="E365" i="52"/>
  <c r="C365" i="52"/>
  <c r="D365" i="52"/>
  <c r="K142" i="53"/>
  <c r="F59" i="53"/>
  <c r="P59" i="53"/>
  <c r="K59" i="53"/>
  <c r="G365" i="52"/>
  <c r="F142" i="53"/>
  <c r="I222" i="52"/>
  <c r="H222" i="52"/>
  <c r="J94" i="53"/>
  <c r="I22" i="51"/>
  <c r="F242" i="52"/>
  <c r="J27" i="78"/>
  <c r="I35" i="56"/>
  <c r="O72" i="53"/>
  <c r="O73" i="53" s="1"/>
  <c r="M143" i="53"/>
  <c r="H60" i="53"/>
  <c r="H143" i="53"/>
  <c r="H122" i="53"/>
  <c r="K94" i="53"/>
  <c r="F319" i="52"/>
  <c r="K22" i="51"/>
  <c r="L27" i="78"/>
  <c r="K32" i="58"/>
  <c r="L39" i="78"/>
  <c r="F135" i="52"/>
  <c r="E135" i="52"/>
  <c r="C60" i="53"/>
  <c r="N143" i="53" l="1"/>
  <c r="G376" i="52"/>
  <c r="P155" i="53"/>
  <c r="C47" i="41"/>
  <c r="C26" i="43" s="1"/>
  <c r="D26" i="43" s="1"/>
  <c r="E18" i="40"/>
  <c r="H177" i="52"/>
  <c r="I177" i="52"/>
  <c r="E106" i="53"/>
  <c r="J52" i="78"/>
  <c r="E254" i="52"/>
  <c r="I49" i="51"/>
  <c r="E331" i="52"/>
  <c r="L52" i="78"/>
  <c r="K49" i="51"/>
  <c r="F106" i="53"/>
  <c r="K71" i="50"/>
  <c r="G298" i="52" s="1"/>
  <c r="H298" i="52" s="1"/>
  <c r="M71" i="50"/>
  <c r="G375" i="52" s="1"/>
  <c r="I375" i="52" s="1"/>
  <c r="K53" i="41"/>
  <c r="K32" i="42" s="1"/>
  <c r="D9" i="40"/>
  <c r="AW9" i="40" s="1"/>
  <c r="BG9" i="40" s="1"/>
  <c r="BH9" i="40" s="1"/>
  <c r="D11" i="40"/>
  <c r="BY11" i="40" s="1"/>
  <c r="CI11" i="40" s="1"/>
  <c r="CJ11" i="40" s="1"/>
  <c r="C32" i="55"/>
  <c r="C63" i="61" s="1"/>
  <c r="BZ38" i="40"/>
  <c r="CA48" i="40"/>
  <c r="BK28" i="40"/>
  <c r="AX38" i="40"/>
  <c r="N145" i="53"/>
  <c r="G89" i="55" s="1"/>
  <c r="G120" i="61" s="1"/>
  <c r="K35" i="42"/>
  <c r="G9" i="56"/>
  <c r="E36" i="59"/>
  <c r="N8" i="40"/>
  <c r="C62" i="41" s="1"/>
  <c r="BK8" i="40"/>
  <c r="BU8" i="40" s="1"/>
  <c r="BV8" i="40" s="1"/>
  <c r="N10" i="40"/>
  <c r="C64" i="41" s="1"/>
  <c r="G32" i="55"/>
  <c r="G63" i="61" s="1"/>
  <c r="C212" i="52"/>
  <c r="AW28" i="40"/>
  <c r="BL38" i="40"/>
  <c r="BY28" i="40"/>
  <c r="AY48" i="40"/>
  <c r="G24" i="44"/>
  <c r="G26" i="44" s="1"/>
  <c r="K35" i="41"/>
  <c r="K83" i="42" s="1"/>
  <c r="D52" i="40"/>
  <c r="BK52" i="40" s="1"/>
  <c r="E212" i="52"/>
  <c r="D54" i="40"/>
  <c r="BK54" i="40" s="1"/>
  <c r="K47" i="41"/>
  <c r="K34" i="42"/>
  <c r="G214" i="52"/>
  <c r="H88" i="52"/>
  <c r="E56" i="41"/>
  <c r="E35" i="42" s="1"/>
  <c r="AW10" i="40"/>
  <c r="BG10" i="40" s="1"/>
  <c r="BH10" i="40" s="1"/>
  <c r="BY10" i="40"/>
  <c r="CI10" i="40" s="1"/>
  <c r="CJ10" i="40" s="1"/>
  <c r="BK10" i="40"/>
  <c r="BU10" i="40" s="1"/>
  <c r="BV10" i="40" s="1"/>
  <c r="E54" i="41"/>
  <c r="E33" i="42" s="1"/>
  <c r="E35" i="41"/>
  <c r="E83" i="42" s="1"/>
  <c r="BL39" i="40"/>
  <c r="Q18" i="16"/>
  <c r="R18" i="16"/>
  <c r="H99" i="52"/>
  <c r="C77" i="46"/>
  <c r="D35" i="52" s="1"/>
  <c r="D60" i="53"/>
  <c r="D21" i="40"/>
  <c r="BY21" i="40" s="1"/>
  <c r="AX47" i="40"/>
  <c r="BL47" i="40" s="1"/>
  <c r="I88" i="52"/>
  <c r="I143" i="53"/>
  <c r="I32" i="55"/>
  <c r="I63" i="61" s="1"/>
  <c r="G77" i="46"/>
  <c r="N37" i="53" s="1"/>
  <c r="E47" i="41"/>
  <c r="K33" i="45"/>
  <c r="K15" i="45" s="1"/>
  <c r="K41" i="45"/>
  <c r="K23" i="45" s="1"/>
  <c r="K40" i="44"/>
  <c r="K46" i="45"/>
  <c r="K28" i="45"/>
  <c r="K10" i="45" s="1"/>
  <c r="K39" i="45"/>
  <c r="K21" i="45" s="1"/>
  <c r="G33" i="56"/>
  <c r="G52" i="55" s="1"/>
  <c r="G55" i="42"/>
  <c r="I53" i="42"/>
  <c r="C223" i="52"/>
  <c r="C224" i="52" s="1"/>
  <c r="I72" i="53"/>
  <c r="I73" i="53" s="1"/>
  <c r="C259" i="52"/>
  <c r="J28" i="53"/>
  <c r="G45" i="51"/>
  <c r="I22" i="53"/>
  <c r="I29" i="53" s="1"/>
  <c r="I32" i="53" s="1"/>
  <c r="C176" i="52"/>
  <c r="C183" i="52" s="1"/>
  <c r="C186" i="52" s="1"/>
  <c r="H49" i="78"/>
  <c r="K30" i="45"/>
  <c r="K12" i="45" s="1"/>
  <c r="K40" i="45"/>
  <c r="K22" i="45" s="1"/>
  <c r="K38" i="45"/>
  <c r="K20" i="45" s="1"/>
  <c r="I54" i="42"/>
  <c r="I60" i="45"/>
  <c r="K36" i="45"/>
  <c r="K18" i="45" s="1"/>
  <c r="K37" i="45"/>
  <c r="K19" i="45" s="1"/>
  <c r="K29" i="45"/>
  <c r="K11" i="45" s="1"/>
  <c r="K32" i="45"/>
  <c r="K14" i="45" s="1"/>
  <c r="G212" i="52"/>
  <c r="G217" i="52" s="1"/>
  <c r="M20" i="50"/>
  <c r="K11" i="57" s="1"/>
  <c r="I11" i="57"/>
  <c r="I44" i="59" s="1"/>
  <c r="D212" i="52"/>
  <c r="I356" i="52"/>
  <c r="C24" i="44"/>
  <c r="C39" i="44" s="1"/>
  <c r="E45" i="59"/>
  <c r="M154" i="53"/>
  <c r="G144" i="52"/>
  <c r="N154" i="53"/>
  <c r="G221" i="52"/>
  <c r="G67" i="52"/>
  <c r="L154" i="53"/>
  <c r="P145" i="53"/>
  <c r="G368" i="52"/>
  <c r="I368" i="52" s="1"/>
  <c r="K19" i="54" s="1"/>
  <c r="E10" i="59"/>
  <c r="M145" i="53"/>
  <c r="E89" i="55" s="1"/>
  <c r="E120" i="61" s="1"/>
  <c r="G137" i="52"/>
  <c r="G140" i="52" s="1"/>
  <c r="I10" i="59"/>
  <c r="O145" i="53"/>
  <c r="G291" i="52"/>
  <c r="D116" i="48"/>
  <c r="C13" i="56"/>
  <c r="I278" i="52"/>
  <c r="I210" i="52"/>
  <c r="H210" i="52"/>
  <c r="I60" i="53"/>
  <c r="F212" i="52"/>
  <c r="N60" i="53"/>
  <c r="H356" i="52"/>
  <c r="H278" i="52"/>
  <c r="C289" i="52"/>
  <c r="I361" i="52"/>
  <c r="H363" i="52"/>
  <c r="I350" i="52"/>
  <c r="H350" i="52"/>
  <c r="E143" i="53"/>
  <c r="G289" i="52"/>
  <c r="I354" i="52"/>
  <c r="H361" i="52"/>
  <c r="I364" i="52"/>
  <c r="H364" i="52"/>
  <c r="H277" i="52"/>
  <c r="I277" i="52"/>
  <c r="I286" i="52"/>
  <c r="H286" i="52"/>
  <c r="I353" i="52"/>
  <c r="H353" i="52"/>
  <c r="I357" i="52"/>
  <c r="H357" i="52"/>
  <c r="I283" i="52"/>
  <c r="H283" i="52"/>
  <c r="E60" i="53"/>
  <c r="I358" i="52"/>
  <c r="H358" i="52"/>
  <c r="I363" i="52"/>
  <c r="H281" i="52"/>
  <c r="H360" i="52"/>
  <c r="I360" i="52"/>
  <c r="H359" i="52"/>
  <c r="J143" i="53"/>
  <c r="D289" i="52"/>
  <c r="E289" i="52"/>
  <c r="H354" i="52"/>
  <c r="I281" i="52"/>
  <c r="I359" i="52"/>
  <c r="J108" i="53"/>
  <c r="F256" i="52"/>
  <c r="K101" i="46"/>
  <c r="K103" i="46" s="1"/>
  <c r="K105" i="46" s="1"/>
  <c r="H179" i="52"/>
  <c r="I179" i="52"/>
  <c r="F181" i="52"/>
  <c r="I110" i="53"/>
  <c r="I112" i="53" s="1"/>
  <c r="B56" i="57"/>
  <c r="B61" i="57"/>
  <c r="B64" i="57" s="1"/>
  <c r="I81" i="46"/>
  <c r="I23" i="46"/>
  <c r="K23" i="46"/>
  <c r="D41" i="40"/>
  <c r="I54" i="41"/>
  <c r="I33" i="42" s="1"/>
  <c r="I53" i="41"/>
  <c r="I32" i="42" s="1"/>
  <c r="I47" i="41"/>
  <c r="I26" i="43" s="1"/>
  <c r="I28" i="43" s="1"/>
  <c r="D40" i="40"/>
  <c r="D42" i="40"/>
  <c r="I55" i="41"/>
  <c r="I34" i="42" s="1"/>
  <c r="D44" i="40"/>
  <c r="I56" i="41"/>
  <c r="I35" i="42" s="1"/>
  <c r="C36" i="42"/>
  <c r="D23" i="78" s="1"/>
  <c r="E52" i="41"/>
  <c r="E31" i="42" s="1"/>
  <c r="D18" i="40"/>
  <c r="E17" i="40"/>
  <c r="AW7" i="40"/>
  <c r="BG7" i="40" s="1"/>
  <c r="BH7" i="40" s="1"/>
  <c r="BY7" i="40"/>
  <c r="CI7" i="40" s="1"/>
  <c r="CJ7" i="40" s="1"/>
  <c r="N7" i="40"/>
  <c r="C61" i="41" s="1"/>
  <c r="BK7" i="40"/>
  <c r="BU7" i="40" s="1"/>
  <c r="BV7" i="40" s="1"/>
  <c r="C59" i="45"/>
  <c r="E51" i="41"/>
  <c r="E41" i="41"/>
  <c r="D17" i="40"/>
  <c r="BY50" i="40"/>
  <c r="AW50" i="40"/>
  <c r="BK50" i="40"/>
  <c r="E47" i="40"/>
  <c r="F47" i="40" s="1"/>
  <c r="G47" i="40" s="1"/>
  <c r="H47" i="40" s="1"/>
  <c r="I47" i="40" s="1"/>
  <c r="J47" i="40" s="1"/>
  <c r="K47" i="40" s="1"/>
  <c r="L47" i="40" s="1"/>
  <c r="M47" i="40" s="1"/>
  <c r="BY47" i="40"/>
  <c r="BZ47" i="40" s="1"/>
  <c r="CA47" i="40" s="1"/>
  <c r="CB47" i="40" s="1"/>
  <c r="CC47" i="40" s="1"/>
  <c r="CD47" i="40" s="1"/>
  <c r="CE47" i="40" s="1"/>
  <c r="CF47" i="40" s="1"/>
  <c r="CG47" i="40" s="1"/>
  <c r="CH47" i="40" s="1"/>
  <c r="F289" i="52"/>
  <c r="C57" i="41"/>
  <c r="C58" i="45"/>
  <c r="O143" i="53"/>
  <c r="H58" i="52"/>
  <c r="C65" i="58" s="1"/>
  <c r="G57" i="41"/>
  <c r="G58" i="45"/>
  <c r="G67" i="45" s="1"/>
  <c r="G69" i="45" s="1"/>
  <c r="G110" i="45" s="1"/>
  <c r="M72" i="53"/>
  <c r="M73" i="53" s="1"/>
  <c r="E35" i="56"/>
  <c r="D146" i="52"/>
  <c r="D147" i="52" s="1"/>
  <c r="H11" i="52"/>
  <c r="I11" i="52"/>
  <c r="E59" i="55"/>
  <c r="E90" i="61" s="1"/>
  <c r="M80" i="53"/>
  <c r="E64" i="55" s="1"/>
  <c r="E95" i="61" s="1"/>
  <c r="M34" i="53"/>
  <c r="E61" i="55" s="1"/>
  <c r="E92" i="61" s="1"/>
  <c r="E63" i="55"/>
  <c r="E94" i="61" s="1"/>
  <c r="M67" i="53"/>
  <c r="D103" i="52"/>
  <c r="D106" i="52" s="1"/>
  <c r="D109" i="52" s="1"/>
  <c r="M26" i="53"/>
  <c r="N26" i="53"/>
  <c r="N29" i="53" s="1"/>
  <c r="N32" i="53" s="1"/>
  <c r="D180" i="52"/>
  <c r="D183" i="52" s="1"/>
  <c r="C59" i="55"/>
  <c r="C90" i="61" s="1"/>
  <c r="L67" i="53"/>
  <c r="L80" i="53"/>
  <c r="C64" i="55" s="1"/>
  <c r="C95" i="61" s="1"/>
  <c r="C63" i="55"/>
  <c r="C94" i="61" s="1"/>
  <c r="L34" i="53"/>
  <c r="C61" i="55" s="1"/>
  <c r="C92" i="61" s="1"/>
  <c r="G59" i="55"/>
  <c r="G90" i="61" s="1"/>
  <c r="N67" i="53"/>
  <c r="N34" i="53"/>
  <c r="G61" i="55" s="1"/>
  <c r="G92" i="61" s="1"/>
  <c r="N80" i="53"/>
  <c r="G64" i="55" s="1"/>
  <c r="G95" i="61" s="1"/>
  <c r="G63" i="55"/>
  <c r="G94" i="61" s="1"/>
  <c r="L72" i="53"/>
  <c r="L73" i="53" s="1"/>
  <c r="D69" i="52"/>
  <c r="D70" i="52" s="1"/>
  <c r="C35" i="56"/>
  <c r="N72" i="53"/>
  <c r="N73" i="53" s="1"/>
  <c r="G35" i="56"/>
  <c r="D223" i="52"/>
  <c r="D224" i="52" s="1"/>
  <c r="O26" i="53"/>
  <c r="O29" i="53" s="1"/>
  <c r="O32" i="53" s="1"/>
  <c r="D257" i="52"/>
  <c r="D260" i="52" s="1"/>
  <c r="D263" i="52" s="1"/>
  <c r="D170" i="52"/>
  <c r="I165" i="52"/>
  <c r="H165" i="52"/>
  <c r="L26" i="53"/>
  <c r="L29" i="53" s="1"/>
  <c r="L32" i="53" s="1"/>
  <c r="D26" i="52"/>
  <c r="D29" i="52" s="1"/>
  <c r="D32" i="52" s="1"/>
  <c r="I63" i="55"/>
  <c r="I94" i="61" s="1"/>
  <c r="I59" i="55"/>
  <c r="I90" i="61" s="1"/>
  <c r="O67" i="53"/>
  <c r="O34" i="53"/>
  <c r="I61" i="55" s="1"/>
  <c r="I92" i="61" s="1"/>
  <c r="O80" i="53"/>
  <c r="I64" i="55" s="1"/>
  <c r="I95" i="61" s="1"/>
  <c r="P67" i="53"/>
  <c r="K63" i="55"/>
  <c r="K94" i="61" s="1"/>
  <c r="P80" i="53"/>
  <c r="K64" i="55" s="1"/>
  <c r="K95" i="61" s="1"/>
  <c r="P34" i="53"/>
  <c r="K61" i="55" s="1"/>
  <c r="K92" i="61" s="1"/>
  <c r="K59" i="55"/>
  <c r="K90" i="61" s="1"/>
  <c r="M29" i="53"/>
  <c r="M32" i="53" s="1"/>
  <c r="D334" i="52"/>
  <c r="D337" i="52" s="1"/>
  <c r="D340" i="52" s="1"/>
  <c r="P26" i="53"/>
  <c r="P29" i="53" s="1"/>
  <c r="P32" i="53" s="1"/>
  <c r="H22" i="52"/>
  <c r="I22" i="52"/>
  <c r="BT38" i="40"/>
  <c r="BF38" i="40"/>
  <c r="CH38" i="40"/>
  <c r="BT48" i="40"/>
  <c r="CH48" i="40"/>
  <c r="BF48" i="40"/>
  <c r="F29" i="40"/>
  <c r="BL18" i="40"/>
  <c r="BZ18" i="40"/>
  <c r="AX18" i="40"/>
  <c r="AX39" i="40"/>
  <c r="F49" i="40"/>
  <c r="CA49" i="40" s="1"/>
  <c r="I30" i="42"/>
  <c r="K52" i="41"/>
  <c r="K31" i="42" s="1"/>
  <c r="D49" i="40"/>
  <c r="K51" i="41"/>
  <c r="D48" i="40"/>
  <c r="K41" i="41"/>
  <c r="K32" i="55"/>
  <c r="K63" i="61" s="1"/>
  <c r="E42" i="40"/>
  <c r="BY32" i="40"/>
  <c r="AW32" i="40"/>
  <c r="BK32" i="40"/>
  <c r="G26" i="43"/>
  <c r="G28" i="43" s="1"/>
  <c r="BY34" i="40"/>
  <c r="E44" i="40"/>
  <c r="AW34" i="40"/>
  <c r="BK34" i="40"/>
  <c r="G32" i="42"/>
  <c r="G36" i="42" s="1"/>
  <c r="G34" i="55" s="1"/>
  <c r="G65" i="61" s="1"/>
  <c r="G59" i="45"/>
  <c r="D35" i="40"/>
  <c r="E40" i="40"/>
  <c r="AW30" i="40"/>
  <c r="BK30" i="40"/>
  <c r="BY30" i="40"/>
  <c r="E268" i="52"/>
  <c r="E122" i="53" s="1"/>
  <c r="F335" i="52"/>
  <c r="K110" i="53"/>
  <c r="K109" i="45"/>
  <c r="BA27" i="40"/>
  <c r="BN27" i="40"/>
  <c r="D6" i="53"/>
  <c r="B159" i="52"/>
  <c r="A34" i="50"/>
  <c r="J38" i="40"/>
  <c r="BB28" i="40"/>
  <c r="I35" i="40"/>
  <c r="BP28" i="40"/>
  <c r="CD28" i="40"/>
  <c r="L50" i="40"/>
  <c r="BD40" i="40"/>
  <c r="BR40" i="40"/>
  <c r="CF40" i="40"/>
  <c r="K45" i="40"/>
  <c r="G53" i="51"/>
  <c r="H56" i="78"/>
  <c r="S49" i="16"/>
  <c r="T49" i="16"/>
  <c r="N148" i="53"/>
  <c r="I6" i="56"/>
  <c r="I6" i="55"/>
  <c r="I37" i="61" s="1"/>
  <c r="I6" i="78"/>
  <c r="I5" i="54"/>
  <c r="I5" i="46"/>
  <c r="I97" i="46" s="1"/>
  <c r="K6" i="50"/>
  <c r="J6" i="48"/>
  <c r="K5" i="41"/>
  <c r="I5" i="45"/>
  <c r="I5" i="59"/>
  <c r="I6" i="58"/>
  <c r="I19" i="61"/>
  <c r="I6" i="57"/>
  <c r="I5" i="47"/>
  <c r="I5" i="42"/>
  <c r="I5" i="44" s="1"/>
  <c r="I5" i="43"/>
  <c r="I58" i="52"/>
  <c r="C18" i="54" s="1"/>
  <c r="M35" i="40"/>
  <c r="BF29" i="40"/>
  <c r="CH29" i="40"/>
  <c r="BT29" i="40"/>
  <c r="I40" i="40"/>
  <c r="BA30" i="40"/>
  <c r="BO30" i="40"/>
  <c r="H35" i="40"/>
  <c r="CC30" i="40"/>
  <c r="F51" i="40"/>
  <c r="BL41" i="40"/>
  <c r="BZ41" i="40"/>
  <c r="AX41" i="40"/>
  <c r="AW39" i="40"/>
  <c r="E49" i="40"/>
  <c r="BY39" i="40"/>
  <c r="BK39" i="40"/>
  <c r="B212" i="52"/>
  <c r="H211" i="52"/>
  <c r="I211" i="52"/>
  <c r="AV36" i="40"/>
  <c r="BJ26" i="40"/>
  <c r="H38" i="40"/>
  <c r="BN28" i="40"/>
  <c r="AZ28" i="40"/>
  <c r="CB28" i="40"/>
  <c r="G35" i="40"/>
  <c r="V30" i="48"/>
  <c r="R22" i="48"/>
  <c r="R47" i="48"/>
  <c r="G5" i="51"/>
  <c r="H89" i="53"/>
  <c r="H6" i="53"/>
  <c r="M6" i="53"/>
  <c r="O60" i="53"/>
  <c r="J60" i="53"/>
  <c r="AW23" i="40"/>
  <c r="BG23" i="40" s="1"/>
  <c r="BH23" i="40" s="1"/>
  <c r="E34" i="40"/>
  <c r="N23" i="40"/>
  <c r="E67" i="41" s="1"/>
  <c r="BK23" i="40"/>
  <c r="BU23" i="40" s="1"/>
  <c r="BV23" i="40" s="1"/>
  <c r="BY23" i="40"/>
  <c r="CI23" i="40" s="1"/>
  <c r="CJ23" i="40" s="1"/>
  <c r="E48" i="40"/>
  <c r="BK38" i="40"/>
  <c r="AW38" i="40"/>
  <c r="BY38" i="40"/>
  <c r="L39" i="40"/>
  <c r="CF29" i="40"/>
  <c r="BR29" i="40"/>
  <c r="K35" i="40"/>
  <c r="BD29" i="40"/>
  <c r="BY19" i="40"/>
  <c r="E30" i="40"/>
  <c r="AW19" i="40"/>
  <c r="BK19" i="40"/>
  <c r="BN6" i="40"/>
  <c r="BA6" i="40"/>
  <c r="AW20" i="40"/>
  <c r="E31" i="40"/>
  <c r="BY20" i="40"/>
  <c r="BK20" i="40"/>
  <c r="J110" i="53"/>
  <c r="F258" i="52"/>
  <c r="I109" i="45"/>
  <c r="BN16" i="40"/>
  <c r="BA16" i="40"/>
  <c r="H351" i="52"/>
  <c r="I351" i="52"/>
  <c r="I274" i="52"/>
  <c r="H274" i="52"/>
  <c r="L56" i="78"/>
  <c r="K53" i="51"/>
  <c r="K143" i="53"/>
  <c r="E366" i="52"/>
  <c r="P143" i="53"/>
  <c r="K13" i="57"/>
  <c r="BZ20" i="40"/>
  <c r="N20" i="40"/>
  <c r="AX20" i="40"/>
  <c r="F31" i="40"/>
  <c r="BL20" i="40"/>
  <c r="F143" i="53"/>
  <c r="K60" i="53"/>
  <c r="F366" i="52"/>
  <c r="I288" i="52"/>
  <c r="H288" i="52"/>
  <c r="B289" i="52"/>
  <c r="K14" i="56"/>
  <c r="K155" i="46"/>
  <c r="K157" i="46" s="1"/>
  <c r="K159" i="46" s="1"/>
  <c r="H135" i="52"/>
  <c r="E65" i="58" s="1"/>
  <c r="G345" i="52"/>
  <c r="I242" i="52"/>
  <c r="H242" i="52"/>
  <c r="H365" i="52"/>
  <c r="I365" i="52"/>
  <c r="M41" i="50"/>
  <c r="K43" i="50"/>
  <c r="I30" i="57"/>
  <c r="I35" i="57" s="1"/>
  <c r="H352" i="52"/>
  <c r="I352" i="52"/>
  <c r="B366" i="52"/>
  <c r="P60" i="53"/>
  <c r="D366" i="52"/>
  <c r="AZ37" i="40"/>
  <c r="BM37" i="40"/>
  <c r="I135" i="52"/>
  <c r="E18" i="54" s="1"/>
  <c r="K35" i="56"/>
  <c r="P72" i="53"/>
  <c r="P73" i="53" s="1"/>
  <c r="D377" i="52"/>
  <c r="D378" i="52" s="1"/>
  <c r="I319" i="52"/>
  <c r="H319" i="52"/>
  <c r="G45" i="59"/>
  <c r="G44" i="40"/>
  <c r="AY34" i="40"/>
  <c r="CA34" i="40"/>
  <c r="BM34" i="40"/>
  <c r="O122" i="53"/>
  <c r="C366" i="52"/>
  <c r="F60" i="53"/>
  <c r="G366" i="52"/>
  <c r="J56" i="78"/>
  <c r="I53" i="51"/>
  <c r="H376" i="52" l="1"/>
  <c r="I376" i="52"/>
  <c r="I298" i="52"/>
  <c r="O154" i="53"/>
  <c r="AW52" i="40"/>
  <c r="BY9" i="40"/>
  <c r="CI9" i="40" s="1"/>
  <c r="CJ9" i="40" s="1"/>
  <c r="CJ14" i="40" s="1"/>
  <c r="H375" i="52"/>
  <c r="G39" i="44"/>
  <c r="D28" i="53" s="1"/>
  <c r="H331" i="52"/>
  <c r="I331" i="52"/>
  <c r="I254" i="52"/>
  <c r="H254" i="52"/>
  <c r="P154" i="53"/>
  <c r="E19" i="40"/>
  <c r="BL19" i="40" s="1"/>
  <c r="N9" i="40"/>
  <c r="C63" i="41" s="1"/>
  <c r="E21" i="40"/>
  <c r="F32" i="40" s="1"/>
  <c r="AY32" i="40" s="1"/>
  <c r="N11" i="40"/>
  <c r="C65" i="41" s="1"/>
  <c r="D14" i="40"/>
  <c r="BK11" i="40"/>
  <c r="BU11" i="40" s="1"/>
  <c r="BV11" i="40" s="1"/>
  <c r="BK9" i="40"/>
  <c r="BU9" i="40" s="1"/>
  <c r="BV9" i="40" s="1"/>
  <c r="AW11" i="40"/>
  <c r="BG11" i="40" s="1"/>
  <c r="BH11" i="40" s="1"/>
  <c r="BH14" i="40" s="1"/>
  <c r="G36" i="59"/>
  <c r="I9" i="56"/>
  <c r="AY47" i="40"/>
  <c r="AZ47" i="40" s="1"/>
  <c r="AW54" i="40"/>
  <c r="BY54" i="40"/>
  <c r="I212" i="52"/>
  <c r="G18" i="54" s="1"/>
  <c r="K77" i="46"/>
  <c r="K78" i="46" s="1"/>
  <c r="K80" i="46" s="1"/>
  <c r="K82" i="46" s="1"/>
  <c r="K172" i="46" s="1"/>
  <c r="BY52" i="40"/>
  <c r="I214" i="52"/>
  <c r="G19" i="54" s="1"/>
  <c r="H214" i="52"/>
  <c r="G66" i="58" s="1"/>
  <c r="D189" i="52"/>
  <c r="AW21" i="40"/>
  <c r="E32" i="55"/>
  <c r="E63" i="61" s="1"/>
  <c r="B35" i="52"/>
  <c r="C78" i="46"/>
  <c r="C80" i="46" s="1"/>
  <c r="C82" i="46" s="1"/>
  <c r="C172" i="46" s="1"/>
  <c r="E57" i="41"/>
  <c r="E59" i="45"/>
  <c r="L37" i="53"/>
  <c r="C35" i="52"/>
  <c r="B37" i="53"/>
  <c r="G37" i="53"/>
  <c r="C28" i="43"/>
  <c r="E15" i="52" s="1"/>
  <c r="D24" i="40"/>
  <c r="T18" i="16"/>
  <c r="S18" i="16"/>
  <c r="E30" i="42"/>
  <c r="E36" i="42" s="1"/>
  <c r="E34" i="55" s="1"/>
  <c r="E65" i="61" s="1"/>
  <c r="E32" i="40"/>
  <c r="F42" i="40" s="1"/>
  <c r="N18" i="40"/>
  <c r="E62" i="41" s="1"/>
  <c r="G294" i="52"/>
  <c r="C189" i="52"/>
  <c r="BK21" i="40"/>
  <c r="E58" i="45"/>
  <c r="B189" i="52"/>
  <c r="I37" i="53"/>
  <c r="G78" i="46"/>
  <c r="G80" i="46" s="1"/>
  <c r="G82" i="46" s="1"/>
  <c r="G172" i="46" s="1"/>
  <c r="D37" i="53"/>
  <c r="E77" i="46"/>
  <c r="B112" i="52" s="1"/>
  <c r="I176" i="52"/>
  <c r="H176" i="52"/>
  <c r="J72" i="53"/>
  <c r="J73" i="53" s="1"/>
  <c r="J13" i="78"/>
  <c r="K53" i="42"/>
  <c r="I33" i="56"/>
  <c r="I52" i="55" s="1"/>
  <c r="I55" i="42"/>
  <c r="J49" i="78"/>
  <c r="J22" i="53"/>
  <c r="J29" i="53" s="1"/>
  <c r="J32" i="53" s="1"/>
  <c r="I45" i="51"/>
  <c r="C253" i="52"/>
  <c r="G53" i="55"/>
  <c r="G84" i="61" s="1"/>
  <c r="G83" i="61"/>
  <c r="C336" i="52"/>
  <c r="K28" i="53"/>
  <c r="H72" i="48"/>
  <c r="H41" i="78"/>
  <c r="K60" i="45"/>
  <c r="K54" i="42"/>
  <c r="C18" i="51"/>
  <c r="BM49" i="40"/>
  <c r="C78" i="45"/>
  <c r="AY49" i="40"/>
  <c r="E26" i="43"/>
  <c r="E78" i="45" s="1"/>
  <c r="I36" i="42"/>
  <c r="I34" i="55" s="1"/>
  <c r="I65" i="61" s="1"/>
  <c r="C26" i="44"/>
  <c r="E24" i="44"/>
  <c r="E26" i="44" s="1"/>
  <c r="G78" i="45"/>
  <c r="I77" i="46"/>
  <c r="D24" i="44"/>
  <c r="H67" i="52"/>
  <c r="I67" i="52"/>
  <c r="I144" i="52"/>
  <c r="H144" i="52"/>
  <c r="I221" i="52"/>
  <c r="H221" i="52"/>
  <c r="H368" i="52"/>
  <c r="K66" i="58" s="1"/>
  <c r="M148" i="53"/>
  <c r="D121" i="48"/>
  <c r="D10" i="78"/>
  <c r="I137" i="52"/>
  <c r="E19" i="54" s="1"/>
  <c r="H137" i="52"/>
  <c r="E66" i="58" s="1"/>
  <c r="I291" i="52"/>
  <c r="I19" i="54" s="1"/>
  <c r="H291" i="52"/>
  <c r="I66" i="58" s="1"/>
  <c r="C20" i="56"/>
  <c r="E13" i="56"/>
  <c r="H212" i="52"/>
  <c r="G65" i="58" s="1"/>
  <c r="H289" i="52"/>
  <c r="I65" i="58" s="1"/>
  <c r="I256" i="52"/>
  <c r="H256" i="52"/>
  <c r="K108" i="53"/>
  <c r="K112" i="53" s="1"/>
  <c r="F333" i="52"/>
  <c r="J112" i="53"/>
  <c r="F183" i="52"/>
  <c r="I181" i="52"/>
  <c r="H181" i="52"/>
  <c r="B21" i="53"/>
  <c r="B180" i="52"/>
  <c r="D48" i="78"/>
  <c r="D38" i="78"/>
  <c r="C32" i="56" s="1"/>
  <c r="C62" i="45"/>
  <c r="C107" i="45" s="1"/>
  <c r="C44" i="51"/>
  <c r="I59" i="45"/>
  <c r="I57" i="41"/>
  <c r="I58" i="45"/>
  <c r="I67" i="45" s="1"/>
  <c r="I69" i="45" s="1"/>
  <c r="I110" i="45" s="1"/>
  <c r="B10" i="52"/>
  <c r="B16" i="52" s="1"/>
  <c r="C76" i="42"/>
  <c r="BY44" i="40"/>
  <c r="E54" i="40"/>
  <c r="BK44" i="40"/>
  <c r="AW44" i="40"/>
  <c r="E50" i="40"/>
  <c r="AW40" i="40"/>
  <c r="BY40" i="40"/>
  <c r="BK40" i="40"/>
  <c r="AW42" i="40"/>
  <c r="BK42" i="40"/>
  <c r="BY42" i="40"/>
  <c r="E52" i="40"/>
  <c r="I24" i="44"/>
  <c r="BK41" i="40"/>
  <c r="BY41" i="40"/>
  <c r="AW41" i="40"/>
  <c r="E51" i="40"/>
  <c r="D45" i="40"/>
  <c r="B10" i="53"/>
  <c r="B16" i="53" s="1"/>
  <c r="C34" i="55"/>
  <c r="C65" i="61" s="1"/>
  <c r="B21" i="52"/>
  <c r="C67" i="45"/>
  <c r="F28" i="40"/>
  <c r="BZ17" i="40"/>
  <c r="AX17" i="40"/>
  <c r="BL17" i="40"/>
  <c r="H366" i="52"/>
  <c r="K65" i="58" s="1"/>
  <c r="I289" i="52"/>
  <c r="I18" i="54" s="1"/>
  <c r="E28" i="40"/>
  <c r="BK17" i="40"/>
  <c r="BU17" i="40" s="1"/>
  <c r="BV17" i="40" s="1"/>
  <c r="AW17" i="40"/>
  <c r="BY17" i="40"/>
  <c r="N17" i="40"/>
  <c r="E61" i="41" s="1"/>
  <c r="AW18" i="40"/>
  <c r="BG18" i="40" s="1"/>
  <c r="BH18" i="40" s="1"/>
  <c r="BK18" i="40"/>
  <c r="BU18" i="40" s="1"/>
  <c r="BV18" i="40" s="1"/>
  <c r="E29" i="40"/>
  <c r="BY18" i="40"/>
  <c r="CI18" i="40" s="1"/>
  <c r="CJ18" i="40" s="1"/>
  <c r="N14" i="40"/>
  <c r="G44" i="51"/>
  <c r="D26" i="53"/>
  <c r="B175" i="52"/>
  <c r="D186" i="52"/>
  <c r="G39" i="40"/>
  <c r="BM29" i="40"/>
  <c r="AY29" i="40"/>
  <c r="CA29" i="40"/>
  <c r="I78" i="45"/>
  <c r="K30" i="42"/>
  <c r="K36" i="42" s="1"/>
  <c r="K34" i="55" s="1"/>
  <c r="K65" i="61" s="1"/>
  <c r="K57" i="41"/>
  <c r="K58" i="45"/>
  <c r="K59" i="45"/>
  <c r="K24" i="44"/>
  <c r="K26" i="43"/>
  <c r="AW49" i="40"/>
  <c r="BY49" i="40"/>
  <c r="BK49" i="40"/>
  <c r="BK48" i="40"/>
  <c r="AW48" i="40"/>
  <c r="BY48" i="40"/>
  <c r="D55" i="40"/>
  <c r="D10" i="53"/>
  <c r="D16" i="53" s="1"/>
  <c r="B164" i="52"/>
  <c r="B170" i="52" s="1"/>
  <c r="G18" i="51"/>
  <c r="G76" i="42"/>
  <c r="H23" i="78"/>
  <c r="D21" i="53"/>
  <c r="H38" i="78"/>
  <c r="AX44" i="40"/>
  <c r="BL44" i="40"/>
  <c r="BZ44" i="40"/>
  <c r="F54" i="40"/>
  <c r="H48" i="78"/>
  <c r="F52" i="40"/>
  <c r="BL42" i="40"/>
  <c r="AX42" i="40"/>
  <c r="BZ42" i="40"/>
  <c r="F50" i="40"/>
  <c r="AX40" i="40"/>
  <c r="BL40" i="40"/>
  <c r="BZ40" i="40"/>
  <c r="E45" i="40"/>
  <c r="G62" i="45"/>
  <c r="G107" i="45" s="1"/>
  <c r="CI20" i="40"/>
  <c r="CJ20" i="40" s="1"/>
  <c r="BU19" i="40"/>
  <c r="BV19" i="40" s="1"/>
  <c r="BG20" i="40"/>
  <c r="BH20" i="40" s="1"/>
  <c r="F169" i="52"/>
  <c r="BL49" i="40"/>
  <c r="BZ49" i="40"/>
  <c r="AX49" i="40"/>
  <c r="J50" i="40"/>
  <c r="I45" i="40"/>
  <c r="BP40" i="40"/>
  <c r="BB40" i="40"/>
  <c r="CD40" i="40"/>
  <c r="K6" i="55"/>
  <c r="K37" i="61" s="1"/>
  <c r="K6" i="78"/>
  <c r="K19" i="61"/>
  <c r="K5" i="47"/>
  <c r="K6" i="58"/>
  <c r="K6" i="56"/>
  <c r="K6" i="57"/>
  <c r="K5" i="54"/>
  <c r="K5" i="42"/>
  <c r="K5" i="44" s="1"/>
  <c r="M6" i="50"/>
  <c r="K5" i="59"/>
  <c r="K5" i="45"/>
  <c r="K5" i="46"/>
  <c r="K97" i="46" s="1"/>
  <c r="K5" i="43"/>
  <c r="L6" i="48"/>
  <c r="M49" i="40"/>
  <c r="L45" i="40"/>
  <c r="BE39" i="40"/>
  <c r="CG39" i="40"/>
  <c r="BS39" i="40"/>
  <c r="R23" i="48"/>
  <c r="R55" i="48"/>
  <c r="W30" i="48"/>
  <c r="I5" i="51"/>
  <c r="E246" i="52"/>
  <c r="E98" i="53"/>
  <c r="D98" i="53"/>
  <c r="E169" i="52"/>
  <c r="BE50" i="40"/>
  <c r="CG50" i="40"/>
  <c r="L55" i="40"/>
  <c r="BS50" i="40"/>
  <c r="I335" i="52"/>
  <c r="H335" i="52"/>
  <c r="BO27" i="40"/>
  <c r="BB27" i="40"/>
  <c r="BU20" i="40"/>
  <c r="BV20" i="40" s="1"/>
  <c r="F260" i="52"/>
  <c r="I258" i="52"/>
  <c r="H258" i="52"/>
  <c r="BZ31" i="40"/>
  <c r="F41" i="40"/>
  <c r="AX31" i="40"/>
  <c r="BL31" i="40"/>
  <c r="F40" i="40"/>
  <c r="BZ30" i="40"/>
  <c r="AX30" i="40"/>
  <c r="BL30" i="40"/>
  <c r="AX48" i="40"/>
  <c r="BZ48" i="40"/>
  <c r="BL48" i="40"/>
  <c r="N34" i="40"/>
  <c r="G67" i="41" s="1"/>
  <c r="BL34" i="40"/>
  <c r="BU34" i="40" s="1"/>
  <c r="BV34" i="40" s="1"/>
  <c r="BZ34" i="40"/>
  <c r="CI34" i="40" s="1"/>
  <c r="CJ34" i="40" s="1"/>
  <c r="F44" i="40"/>
  <c r="AX34" i="40"/>
  <c r="BG34" i="40" s="1"/>
  <c r="BH34" i="40" s="1"/>
  <c r="C89" i="53"/>
  <c r="M89" i="53"/>
  <c r="BJ36" i="40"/>
  <c r="AV46" i="40"/>
  <c r="BJ46" i="40" s="1"/>
  <c r="BM51" i="40"/>
  <c r="AY51" i="40"/>
  <c r="CA51" i="40"/>
  <c r="A35" i="50"/>
  <c r="B236" i="52"/>
  <c r="E6" i="53"/>
  <c r="K48" i="40"/>
  <c r="J45" i="40"/>
  <c r="BQ38" i="40"/>
  <c r="BC38" i="40"/>
  <c r="CE38" i="40"/>
  <c r="BO6" i="40"/>
  <c r="BB6" i="40"/>
  <c r="I48" i="40"/>
  <c r="BA38" i="40"/>
  <c r="BO38" i="40"/>
  <c r="CC38" i="40"/>
  <c r="H45" i="40"/>
  <c r="BB16" i="40"/>
  <c r="BO16" i="40"/>
  <c r="I6" i="53"/>
  <c r="N6" i="53"/>
  <c r="I89" i="53"/>
  <c r="E345" i="52"/>
  <c r="F122" i="53" s="1"/>
  <c r="M43" i="50"/>
  <c r="K30" i="57"/>
  <c r="K35" i="57" s="1"/>
  <c r="K44" i="59"/>
  <c r="BN37" i="40"/>
  <c r="BA37" i="40"/>
  <c r="B28" i="52"/>
  <c r="G98" i="53"/>
  <c r="F15" i="52"/>
  <c r="B28" i="53"/>
  <c r="E64" i="41"/>
  <c r="I45" i="59"/>
  <c r="O148" i="53"/>
  <c r="I89" i="55"/>
  <c r="I120" i="61" s="1"/>
  <c r="AZ44" i="40"/>
  <c r="H54" i="40"/>
  <c r="BN44" i="40"/>
  <c r="CB44" i="40"/>
  <c r="I366" i="52"/>
  <c r="K18" i="54" s="1"/>
  <c r="C17" i="44"/>
  <c r="P122" i="53"/>
  <c r="G371" i="52"/>
  <c r="BM31" i="40"/>
  <c r="G41" i="40"/>
  <c r="AY31" i="40"/>
  <c r="N31" i="40"/>
  <c r="CA31" i="40"/>
  <c r="E44" i="51" l="1"/>
  <c r="BL21" i="40"/>
  <c r="B182" i="52"/>
  <c r="BM32" i="40"/>
  <c r="AX21" i="40"/>
  <c r="BG21" i="40" s="1"/>
  <c r="BH21" i="40" s="1"/>
  <c r="I98" i="53"/>
  <c r="F30" i="40"/>
  <c r="BM30" i="40" s="1"/>
  <c r="BZ21" i="40"/>
  <c r="CI21" i="40" s="1"/>
  <c r="CJ21" i="40" s="1"/>
  <c r="N21" i="40"/>
  <c r="E65" i="41" s="1"/>
  <c r="CA32" i="40"/>
  <c r="AX19" i="40"/>
  <c r="BG19" i="40" s="1"/>
  <c r="BH19" i="40" s="1"/>
  <c r="BV14" i="40"/>
  <c r="C8" i="44" s="1"/>
  <c r="C10" i="44" s="1"/>
  <c r="C15" i="44" s="1"/>
  <c r="C47" i="58" s="1"/>
  <c r="C68" i="41"/>
  <c r="G42" i="40"/>
  <c r="CB42" i="40" s="1"/>
  <c r="BZ19" i="40"/>
  <c r="CI19" i="40" s="1"/>
  <c r="CJ19" i="40" s="1"/>
  <c r="N19" i="40"/>
  <c r="E63" i="41" s="1"/>
  <c r="E24" i="40"/>
  <c r="B343" i="52"/>
  <c r="K37" i="53"/>
  <c r="N32" i="40"/>
  <c r="G65" i="41" s="1"/>
  <c r="K9" i="56"/>
  <c r="K36" i="59" s="1"/>
  <c r="I36" i="59"/>
  <c r="BM47" i="40"/>
  <c r="C343" i="52"/>
  <c r="P37" i="53"/>
  <c r="F35" i="40"/>
  <c r="F37" i="53"/>
  <c r="D343" i="52"/>
  <c r="F48" i="78"/>
  <c r="C10" i="53"/>
  <c r="C16" i="53" s="1"/>
  <c r="E33" i="55" s="1"/>
  <c r="E64" i="61" s="1"/>
  <c r="E76" i="42"/>
  <c r="C37" i="52"/>
  <c r="G39" i="53" s="1"/>
  <c r="G65" i="53" s="1"/>
  <c r="G78" i="53" s="1"/>
  <c r="H35" i="52"/>
  <c r="F38" i="78"/>
  <c r="B146" i="52" s="1"/>
  <c r="B98" i="52"/>
  <c r="E67" i="45"/>
  <c r="B103" i="52" s="1"/>
  <c r="I35" i="52"/>
  <c r="C62" i="58" s="1"/>
  <c r="G59" i="58"/>
  <c r="C21" i="53"/>
  <c r="BL32" i="40"/>
  <c r="BU32" i="40" s="1"/>
  <c r="BV32" i="40" s="1"/>
  <c r="E62" i="45"/>
  <c r="E107" i="45" s="1"/>
  <c r="BZ32" i="40"/>
  <c r="BU21" i="40"/>
  <c r="BV21" i="40" s="1"/>
  <c r="BV24" i="40" s="1"/>
  <c r="E8" i="44" s="1"/>
  <c r="E10" i="44" s="1"/>
  <c r="E17" i="44" s="1"/>
  <c r="B98" i="53"/>
  <c r="E39" i="44"/>
  <c r="C28" i="53" s="1"/>
  <c r="E18" i="51"/>
  <c r="AX32" i="40"/>
  <c r="BG32" i="40" s="1"/>
  <c r="BH32" i="40" s="1"/>
  <c r="D191" i="52"/>
  <c r="D217" i="52" s="1"/>
  <c r="D229" i="52" s="1"/>
  <c r="C59" i="58"/>
  <c r="B87" i="52"/>
  <c r="B93" i="52" s="1"/>
  <c r="D37" i="52"/>
  <c r="D63" i="52" s="1"/>
  <c r="D75" i="52" s="1"/>
  <c r="G23" i="29"/>
  <c r="F23" i="78"/>
  <c r="H189" i="52"/>
  <c r="I76" i="42"/>
  <c r="I189" i="52"/>
  <c r="G16" i="54" s="1"/>
  <c r="E78" i="46"/>
  <c r="E80" i="46" s="1"/>
  <c r="E82" i="46" s="1"/>
  <c r="E172" i="46" s="1"/>
  <c r="M37" i="53"/>
  <c r="D112" i="52"/>
  <c r="H37" i="53"/>
  <c r="C37" i="53"/>
  <c r="C112" i="52"/>
  <c r="L13" i="78"/>
  <c r="K72" i="53"/>
  <c r="K73" i="53" s="1"/>
  <c r="C377" i="52"/>
  <c r="C378" i="52" s="1"/>
  <c r="K55" i="42"/>
  <c r="K33" i="56"/>
  <c r="K52" i="55" s="1"/>
  <c r="C260" i="52"/>
  <c r="C263" i="52" s="1"/>
  <c r="H253" i="52"/>
  <c r="I253" i="52"/>
  <c r="J72" i="48"/>
  <c r="J41" i="78"/>
  <c r="K45" i="51"/>
  <c r="C330" i="52"/>
  <c r="K22" i="53"/>
  <c r="K29" i="53" s="1"/>
  <c r="K32" i="53" s="1"/>
  <c r="L49" i="78"/>
  <c r="I83" i="61"/>
  <c r="I53" i="55"/>
  <c r="I84" i="61" s="1"/>
  <c r="J23" i="78"/>
  <c r="I18" i="51"/>
  <c r="E10" i="53"/>
  <c r="E16" i="53" s="1"/>
  <c r="I33" i="55" s="1"/>
  <c r="I64" i="61" s="1"/>
  <c r="I78" i="46"/>
  <c r="I80" i="46" s="1"/>
  <c r="I82" i="46" s="1"/>
  <c r="I172" i="46" s="1"/>
  <c r="B266" i="52"/>
  <c r="D266" i="52"/>
  <c r="J37" i="53"/>
  <c r="E37" i="53"/>
  <c r="O37" i="53"/>
  <c r="C266" i="52"/>
  <c r="B241" i="52"/>
  <c r="B247" i="52" s="1"/>
  <c r="E28" i="43"/>
  <c r="B37" i="52"/>
  <c r="I44" i="51"/>
  <c r="F10" i="78"/>
  <c r="H10" i="78" s="1"/>
  <c r="J10" i="78" s="1"/>
  <c r="L10" i="78" s="1"/>
  <c r="D14" i="78"/>
  <c r="E9" i="50" s="1"/>
  <c r="C37" i="59"/>
  <c r="C40" i="59" s="1"/>
  <c r="C25" i="56"/>
  <c r="G60" i="52"/>
  <c r="L145" i="53"/>
  <c r="C10" i="59"/>
  <c r="E20" i="56"/>
  <c r="G13" i="56"/>
  <c r="H333" i="52"/>
  <c r="I333" i="52"/>
  <c r="F337" i="52"/>
  <c r="BU30" i="40"/>
  <c r="BV30" i="40" s="1"/>
  <c r="CI17" i="40"/>
  <c r="CJ17" i="40" s="1"/>
  <c r="CI31" i="40"/>
  <c r="CJ31" i="40" s="1"/>
  <c r="B69" i="52"/>
  <c r="E60" i="50"/>
  <c r="B72" i="53"/>
  <c r="B73" i="53" s="1"/>
  <c r="J38" i="78"/>
  <c r="I32" i="56" s="1"/>
  <c r="I62" i="45"/>
  <c r="I107" i="45" s="1"/>
  <c r="B257" i="52"/>
  <c r="E21" i="53"/>
  <c r="E26" i="53"/>
  <c r="B252" i="52"/>
  <c r="J48" i="78"/>
  <c r="AX51" i="40"/>
  <c r="BL51" i="40"/>
  <c r="BZ51" i="40"/>
  <c r="AX50" i="40"/>
  <c r="BZ50" i="40"/>
  <c r="BL50" i="40"/>
  <c r="BL54" i="40"/>
  <c r="AX54" i="40"/>
  <c r="BZ54" i="40"/>
  <c r="E55" i="40"/>
  <c r="I26" i="44"/>
  <c r="I39" i="44"/>
  <c r="AX52" i="40"/>
  <c r="BZ52" i="40"/>
  <c r="BL52" i="40"/>
  <c r="B26" i="53"/>
  <c r="B29" i="53" s="1"/>
  <c r="B32" i="53" s="1"/>
  <c r="C36" i="55" s="1"/>
  <c r="C67" i="61" s="1"/>
  <c r="B26" i="52"/>
  <c r="B29" i="52" s="1"/>
  <c r="B32" i="52" s="1"/>
  <c r="C39" i="55" s="1"/>
  <c r="C33" i="55"/>
  <c r="C64" i="61" s="1"/>
  <c r="C69" i="45"/>
  <c r="C110" i="45" s="1"/>
  <c r="F39" i="40"/>
  <c r="BZ29" i="40"/>
  <c r="CI29" i="40" s="1"/>
  <c r="CJ29" i="40" s="1"/>
  <c r="AX29" i="40"/>
  <c r="BG29" i="40" s="1"/>
  <c r="BH29" i="40" s="1"/>
  <c r="BL29" i="40"/>
  <c r="BU29" i="40" s="1"/>
  <c r="BV29" i="40" s="1"/>
  <c r="N29" i="40"/>
  <c r="G62" i="41" s="1"/>
  <c r="BM28" i="40"/>
  <c r="CA28" i="40"/>
  <c r="G38" i="40"/>
  <c r="AY28" i="40"/>
  <c r="F38" i="40"/>
  <c r="AX28" i="40"/>
  <c r="BZ28" i="40"/>
  <c r="BL28" i="40"/>
  <c r="N28" i="40"/>
  <c r="G61" i="41" s="1"/>
  <c r="E35" i="40"/>
  <c r="D29" i="53"/>
  <c r="D32" i="53" s="1"/>
  <c r="G36" i="55" s="1"/>
  <c r="G67" i="61" s="1"/>
  <c r="BG17" i="40"/>
  <c r="BH17" i="40" s="1"/>
  <c r="AZ39" i="40"/>
  <c r="BN39" i="40"/>
  <c r="H49" i="40"/>
  <c r="CB39" i="40"/>
  <c r="B191" i="52"/>
  <c r="D39" i="53" s="1"/>
  <c r="G37" i="55" s="1"/>
  <c r="G68" i="61" s="1"/>
  <c r="C191" i="52"/>
  <c r="C217" i="52" s="1"/>
  <c r="C229" i="52" s="1"/>
  <c r="F21" i="53"/>
  <c r="L48" i="78"/>
  <c r="K67" i="45"/>
  <c r="L38" i="78"/>
  <c r="K62" i="45"/>
  <c r="K107" i="45" s="1"/>
  <c r="K44" i="51"/>
  <c r="B329" i="52"/>
  <c r="K28" i="43"/>
  <c r="K78" i="45"/>
  <c r="K26" i="44"/>
  <c r="K39" i="44"/>
  <c r="K76" i="42"/>
  <c r="L23" i="78"/>
  <c r="K18" i="51"/>
  <c r="B318" i="52"/>
  <c r="B324" i="52" s="1"/>
  <c r="F10" i="53"/>
  <c r="F16" i="53" s="1"/>
  <c r="AY54" i="40"/>
  <c r="BM54" i="40"/>
  <c r="CA54" i="40"/>
  <c r="B223" i="52"/>
  <c r="D72" i="53"/>
  <c r="D73" i="53" s="1"/>
  <c r="I60" i="50"/>
  <c r="G32" i="56"/>
  <c r="AY50" i="40"/>
  <c r="BM50" i="40"/>
  <c r="CA50" i="40"/>
  <c r="F55" i="40"/>
  <c r="CA52" i="40"/>
  <c r="AY52" i="40"/>
  <c r="BM52" i="40"/>
  <c r="G33" i="55"/>
  <c r="G64" i="61" s="1"/>
  <c r="BU31" i="40"/>
  <c r="BV31" i="40" s="1"/>
  <c r="BQ50" i="40"/>
  <c r="BC50" i="40"/>
  <c r="J55" i="40"/>
  <c r="CE50" i="40"/>
  <c r="AY44" i="40"/>
  <c r="BG44" i="40" s="1"/>
  <c r="BH44" i="40" s="1"/>
  <c r="G54" i="40"/>
  <c r="BM44" i="40"/>
  <c r="BU44" i="40" s="1"/>
  <c r="BV44" i="40" s="1"/>
  <c r="CA44" i="40"/>
  <c r="CI44" i="40" s="1"/>
  <c r="CJ44" i="40" s="1"/>
  <c r="BM41" i="40"/>
  <c r="CA41" i="40"/>
  <c r="AY41" i="40"/>
  <c r="G51" i="40"/>
  <c r="AY42" i="40"/>
  <c r="CA42" i="40"/>
  <c r="BM42" i="40"/>
  <c r="G52" i="40"/>
  <c r="M55" i="40"/>
  <c r="BF49" i="40"/>
  <c r="BT49" i="40"/>
  <c r="CH49" i="40"/>
  <c r="R24" i="48"/>
  <c r="R64" i="48"/>
  <c r="X30" i="48"/>
  <c r="K5" i="51"/>
  <c r="D89" i="53"/>
  <c r="N89" i="53"/>
  <c r="BP16" i="40"/>
  <c r="BC16" i="40"/>
  <c r="BB48" i="40"/>
  <c r="BP48" i="40"/>
  <c r="CD48" i="40"/>
  <c r="I55" i="40"/>
  <c r="J6" i="53"/>
  <c r="O6" i="53"/>
  <c r="J89" i="53"/>
  <c r="AY40" i="40"/>
  <c r="G50" i="40"/>
  <c r="BM40" i="40"/>
  <c r="CA40" i="40"/>
  <c r="BC27" i="40"/>
  <c r="BP27" i="40"/>
  <c r="B313" i="52"/>
  <c r="A36" i="50"/>
  <c r="F6" i="53"/>
  <c r="BG31" i="40"/>
  <c r="BH31" i="40" s="1"/>
  <c r="N44" i="40"/>
  <c r="I67" i="41" s="1"/>
  <c r="BC6" i="40"/>
  <c r="BP6" i="40"/>
  <c r="BR48" i="40"/>
  <c r="CF48" i="40"/>
  <c r="BD48" i="40"/>
  <c r="K55" i="40"/>
  <c r="H169" i="52"/>
  <c r="H182" i="52"/>
  <c r="B183" i="52"/>
  <c r="B186" i="52" s="1"/>
  <c r="G58" i="58" s="1"/>
  <c r="BN47" i="40"/>
  <c r="BA47" i="40"/>
  <c r="BB37" i="40"/>
  <c r="BO37" i="40"/>
  <c r="G64" i="41"/>
  <c r="K89" i="55"/>
  <c r="K120" i="61" s="1"/>
  <c r="P148" i="53"/>
  <c r="C19" i="44"/>
  <c r="C38" i="44"/>
  <c r="H15" i="52"/>
  <c r="H28" i="52"/>
  <c r="K45" i="59"/>
  <c r="CB41" i="40"/>
  <c r="H51" i="40"/>
  <c r="AZ41" i="40"/>
  <c r="BN41" i="40"/>
  <c r="N41" i="40"/>
  <c r="CC54" i="40"/>
  <c r="BO54" i="40"/>
  <c r="BA54" i="40"/>
  <c r="N24" i="40" l="1"/>
  <c r="N30" i="40"/>
  <c r="G63" i="41" s="1"/>
  <c r="G40" i="40"/>
  <c r="BN40" i="40" s="1"/>
  <c r="CA30" i="40"/>
  <c r="CI30" i="40" s="1"/>
  <c r="CJ30" i="40" s="1"/>
  <c r="AY30" i="40"/>
  <c r="BG30" i="40" s="1"/>
  <c r="BH30" i="40" s="1"/>
  <c r="N42" i="40"/>
  <c r="I65" i="41" s="1"/>
  <c r="CI42" i="40"/>
  <c r="CJ42" i="40" s="1"/>
  <c r="E68" i="41"/>
  <c r="H52" i="40"/>
  <c r="BO52" i="40" s="1"/>
  <c r="BN42" i="40"/>
  <c r="BU42" i="40" s="1"/>
  <c r="BV42" i="40" s="1"/>
  <c r="CI32" i="40"/>
  <c r="CJ32" i="40" s="1"/>
  <c r="CJ24" i="40"/>
  <c r="E20" i="43" s="1"/>
  <c r="E90" i="52" s="1"/>
  <c r="I90" i="52" s="1"/>
  <c r="AZ42" i="40"/>
  <c r="I343" i="52"/>
  <c r="K62" i="58" s="1"/>
  <c r="BH24" i="40"/>
  <c r="H50" i="40"/>
  <c r="CC50" i="40" s="1"/>
  <c r="C26" i="53"/>
  <c r="C29" i="53" s="1"/>
  <c r="C32" i="53" s="1"/>
  <c r="C63" i="52"/>
  <c r="C75" i="52" s="1"/>
  <c r="H343" i="52"/>
  <c r="B105" i="52"/>
  <c r="H105" i="52" s="1"/>
  <c r="N40" i="40"/>
  <c r="I63" i="41" s="1"/>
  <c r="CB40" i="40"/>
  <c r="CI40" i="40" s="1"/>
  <c r="CJ40" i="40" s="1"/>
  <c r="G45" i="40"/>
  <c r="H98" i="53"/>
  <c r="F92" i="52"/>
  <c r="C16" i="54"/>
  <c r="E59" i="58"/>
  <c r="G60" i="50"/>
  <c r="E48" i="57" s="1"/>
  <c r="E69" i="45"/>
  <c r="E110" i="45" s="1"/>
  <c r="C72" i="53"/>
  <c r="C73" i="53" s="1"/>
  <c r="E32" i="56"/>
  <c r="H112" i="52"/>
  <c r="G62" i="58"/>
  <c r="L39" i="53"/>
  <c r="L65" i="53" s="1"/>
  <c r="L78" i="53" s="1"/>
  <c r="N35" i="40"/>
  <c r="C114" i="52"/>
  <c r="C140" i="52" s="1"/>
  <c r="C152" i="52" s="1"/>
  <c r="D114" i="52"/>
  <c r="M39" i="53" s="1"/>
  <c r="M65" i="53" s="1"/>
  <c r="M78" i="53" s="1"/>
  <c r="N39" i="53"/>
  <c r="N65" i="53" s="1"/>
  <c r="N78" i="53" s="1"/>
  <c r="I37" i="52"/>
  <c r="C17" i="54" s="1"/>
  <c r="I112" i="52"/>
  <c r="E16" i="54" s="1"/>
  <c r="B114" i="52"/>
  <c r="B268" i="52"/>
  <c r="E39" i="53" s="1"/>
  <c r="I37" i="55" s="1"/>
  <c r="I68" i="61" s="1"/>
  <c r="D268" i="52"/>
  <c r="D294" i="52" s="1"/>
  <c r="D306" i="52" s="1"/>
  <c r="K83" i="61"/>
  <c r="K53" i="55"/>
  <c r="K84" i="61" s="1"/>
  <c r="C337" i="52"/>
  <c r="C340" i="52" s="1"/>
  <c r="I330" i="52"/>
  <c r="H330" i="52"/>
  <c r="L41" i="78"/>
  <c r="L72" i="48"/>
  <c r="H37" i="52"/>
  <c r="C64" i="58" s="1"/>
  <c r="K59" i="58"/>
  <c r="I59" i="58"/>
  <c r="E92" i="52"/>
  <c r="I266" i="52"/>
  <c r="H266" i="52"/>
  <c r="C268" i="52"/>
  <c r="C98" i="53"/>
  <c r="B39" i="53"/>
  <c r="C37" i="55" s="1"/>
  <c r="C68" i="61" s="1"/>
  <c r="BG42" i="40"/>
  <c r="BH42" i="40" s="1"/>
  <c r="E38" i="44"/>
  <c r="E44" i="44" s="1"/>
  <c r="E62" i="44"/>
  <c r="C40" i="55"/>
  <c r="C71" i="61" s="1"/>
  <c r="C70" i="61"/>
  <c r="G39" i="55"/>
  <c r="G40" i="55" s="1"/>
  <c r="G71" i="61" s="1"/>
  <c r="I13" i="56"/>
  <c r="G20" i="56"/>
  <c r="C89" i="55"/>
  <c r="C120" i="61" s="1"/>
  <c r="L148" i="53"/>
  <c r="G63" i="52"/>
  <c r="I60" i="52"/>
  <c r="C19" i="54" s="1"/>
  <c r="H60" i="52"/>
  <c r="C66" i="58" s="1"/>
  <c r="E37" i="59"/>
  <c r="E40" i="59" s="1"/>
  <c r="E25" i="56"/>
  <c r="D34" i="53"/>
  <c r="G35" i="55" s="1"/>
  <c r="G66" i="61" s="1"/>
  <c r="K60" i="50"/>
  <c r="CI28" i="40"/>
  <c r="CJ28" i="40" s="1"/>
  <c r="CJ35" i="40" s="1"/>
  <c r="G20" i="43" s="1"/>
  <c r="G84" i="45" s="1"/>
  <c r="G92" i="45" s="1"/>
  <c r="B34" i="53"/>
  <c r="C35" i="55" s="1"/>
  <c r="C66" i="61" s="1"/>
  <c r="C48" i="57"/>
  <c r="C46" i="59" s="1"/>
  <c r="C48" i="59" s="1"/>
  <c r="E73" i="50"/>
  <c r="B70" i="52"/>
  <c r="I69" i="52"/>
  <c r="H69" i="52"/>
  <c r="C71" i="58"/>
  <c r="D65" i="53"/>
  <c r="D67" i="53" s="1"/>
  <c r="G38" i="55" s="1"/>
  <c r="G69" i="61" s="1"/>
  <c r="B300" i="52"/>
  <c r="B301" i="52" s="1"/>
  <c r="E72" i="53"/>
  <c r="E73" i="53" s="1"/>
  <c r="E19" i="44"/>
  <c r="J98" i="53"/>
  <c r="F246" i="52"/>
  <c r="H246" i="52" s="1"/>
  <c r="E28" i="53"/>
  <c r="E29" i="53" s="1"/>
  <c r="E32" i="53" s="1"/>
  <c r="B259" i="52"/>
  <c r="I39" i="53"/>
  <c r="I65" i="53" s="1"/>
  <c r="I78" i="53" s="1"/>
  <c r="CI41" i="40"/>
  <c r="CJ41" i="40" s="1"/>
  <c r="H90" i="52"/>
  <c r="BU40" i="40"/>
  <c r="BV40" i="40" s="1"/>
  <c r="G49" i="40"/>
  <c r="CA39" i="40"/>
  <c r="CI39" i="40" s="1"/>
  <c r="CJ39" i="40" s="1"/>
  <c r="BM39" i="40"/>
  <c r="BU39" i="40" s="1"/>
  <c r="BV39" i="40" s="1"/>
  <c r="AY39" i="40"/>
  <c r="BG39" i="40" s="1"/>
  <c r="BH39" i="40" s="1"/>
  <c r="N39" i="40"/>
  <c r="I62" i="41" s="1"/>
  <c r="G68" i="41"/>
  <c r="BU28" i="40"/>
  <c r="BV28" i="40" s="1"/>
  <c r="BV35" i="40" s="1"/>
  <c r="G8" i="44" s="1"/>
  <c r="G10" i="44" s="1"/>
  <c r="G17" i="44" s="1"/>
  <c r="G62" i="44" s="1"/>
  <c r="F31" i="78"/>
  <c r="BG28" i="40"/>
  <c r="BH28" i="40" s="1"/>
  <c r="BH35" i="40" s="1"/>
  <c r="G48" i="40"/>
  <c r="AY38" i="40"/>
  <c r="BM38" i="40"/>
  <c r="CA38" i="40"/>
  <c r="N38" i="40"/>
  <c r="I61" i="41" s="1"/>
  <c r="BN38" i="40"/>
  <c r="CB38" i="40"/>
  <c r="AZ38" i="40"/>
  <c r="H48" i="40"/>
  <c r="F45" i="40"/>
  <c r="H191" i="52"/>
  <c r="G64" i="58" s="1"/>
  <c r="I191" i="52"/>
  <c r="G17" i="54" s="1"/>
  <c r="BA49" i="40"/>
  <c r="CC49" i="40"/>
  <c r="BO49" i="40"/>
  <c r="K32" i="56"/>
  <c r="B377" i="52"/>
  <c r="M60" i="50"/>
  <c r="F72" i="53"/>
  <c r="F73" i="53" s="1"/>
  <c r="F28" i="53"/>
  <c r="B336" i="52"/>
  <c r="H336" i="52" s="1"/>
  <c r="F323" i="52"/>
  <c r="K98" i="53"/>
  <c r="B334" i="52"/>
  <c r="F26" i="53"/>
  <c r="K69" i="45"/>
  <c r="K110" i="45" s="1"/>
  <c r="K33" i="55"/>
  <c r="K64" i="61" s="1"/>
  <c r="F98" i="53"/>
  <c r="E323" i="52"/>
  <c r="C345" i="52"/>
  <c r="D345" i="52"/>
  <c r="B345" i="52"/>
  <c r="B224" i="52"/>
  <c r="H223" i="52"/>
  <c r="I223" i="52"/>
  <c r="G71" i="58"/>
  <c r="G48" i="57"/>
  <c r="I73" i="50"/>
  <c r="BO50" i="40"/>
  <c r="BA50" i="40"/>
  <c r="BU41" i="40"/>
  <c r="BV41" i="40" s="1"/>
  <c r="K89" i="53"/>
  <c r="K6" i="53"/>
  <c r="P6" i="53"/>
  <c r="BD16" i="40"/>
  <c r="BQ16" i="40"/>
  <c r="N54" i="40"/>
  <c r="K67" i="41" s="1"/>
  <c r="BN54" i="40"/>
  <c r="BU54" i="40" s="1"/>
  <c r="BV54" i="40" s="1"/>
  <c r="CB54" i="40"/>
  <c r="CI54" i="40" s="1"/>
  <c r="CJ54" i="40" s="1"/>
  <c r="AZ54" i="40"/>
  <c r="BG54" i="40" s="1"/>
  <c r="BH54" i="40" s="1"/>
  <c r="BG41" i="40"/>
  <c r="BH41" i="40" s="1"/>
  <c r="B217" i="52"/>
  <c r="BD6" i="40"/>
  <c r="BQ6" i="40"/>
  <c r="BD27" i="40"/>
  <c r="BQ27" i="40"/>
  <c r="E89" i="53"/>
  <c r="O89" i="53"/>
  <c r="H146" i="52"/>
  <c r="E71" i="58"/>
  <c r="I146" i="52"/>
  <c r="B147" i="52"/>
  <c r="AZ50" i="40"/>
  <c r="BN50" i="40"/>
  <c r="CB50" i="40"/>
  <c r="BN52" i="40"/>
  <c r="BU52" i="40" s="1"/>
  <c r="BV52" i="40" s="1"/>
  <c r="CB52" i="40"/>
  <c r="AZ52" i="40"/>
  <c r="AZ51" i="40"/>
  <c r="CB51" i="40"/>
  <c r="BN51" i="40"/>
  <c r="BA51" i="40"/>
  <c r="BO51" i="40"/>
  <c r="CC51" i="40"/>
  <c r="N51" i="40"/>
  <c r="I64" i="41"/>
  <c r="F10" i="52"/>
  <c r="F16" i="52" s="1"/>
  <c r="F32" i="52" s="1"/>
  <c r="F63" i="52" s="1"/>
  <c r="F75" i="52" s="1"/>
  <c r="C44" i="44"/>
  <c r="G93" i="53"/>
  <c r="G99" i="53" s="1"/>
  <c r="BP37" i="40"/>
  <c r="BC37" i="40"/>
  <c r="B63" i="52"/>
  <c r="C58" i="58"/>
  <c r="BB47" i="40"/>
  <c r="BO47" i="40"/>
  <c r="E27" i="51" l="1"/>
  <c r="C96" i="53"/>
  <c r="AZ40" i="40"/>
  <c r="BG40" i="40" s="1"/>
  <c r="BH40" i="40" s="1"/>
  <c r="CC52" i="40"/>
  <c r="CI52" i="40" s="1"/>
  <c r="CJ52" i="40" s="1"/>
  <c r="BA52" i="40"/>
  <c r="N52" i="40"/>
  <c r="K65" i="41" s="1"/>
  <c r="E84" i="45"/>
  <c r="E101" i="52" s="1"/>
  <c r="H101" i="52" s="1"/>
  <c r="N50" i="40"/>
  <c r="K63" i="41" s="1"/>
  <c r="K16" i="54"/>
  <c r="H55" i="40"/>
  <c r="D140" i="52"/>
  <c r="D152" i="52" s="1"/>
  <c r="B106" i="52"/>
  <c r="B109" i="52" s="1"/>
  <c r="E58" i="58" s="1"/>
  <c r="H92" i="52"/>
  <c r="G55" i="40"/>
  <c r="G73" i="50"/>
  <c r="BG52" i="40"/>
  <c r="BH52" i="40" s="1"/>
  <c r="G67" i="58"/>
  <c r="G69" i="58" s="1"/>
  <c r="C39" i="53"/>
  <c r="E37" i="55" s="1"/>
  <c r="E68" i="61" s="1"/>
  <c r="H114" i="52"/>
  <c r="E64" i="58" s="1"/>
  <c r="H39" i="53"/>
  <c r="H65" i="53" s="1"/>
  <c r="H78" i="53" s="1"/>
  <c r="C67" i="58"/>
  <c r="C69" i="58" s="1"/>
  <c r="N45" i="40"/>
  <c r="I68" i="41"/>
  <c r="I114" i="52"/>
  <c r="E17" i="54" s="1"/>
  <c r="E62" i="58"/>
  <c r="O39" i="53"/>
  <c r="O65" i="53" s="1"/>
  <c r="O78" i="53" s="1"/>
  <c r="I268" i="52"/>
  <c r="I17" i="54" s="1"/>
  <c r="H93" i="53"/>
  <c r="H99" i="53" s="1"/>
  <c r="E82" i="55" s="1"/>
  <c r="E113" i="61" s="1"/>
  <c r="BU51" i="40"/>
  <c r="BV51" i="40" s="1"/>
  <c r="C294" i="52"/>
  <c r="H268" i="52"/>
  <c r="I64" i="58" s="1"/>
  <c r="G70" i="61"/>
  <c r="J39" i="53"/>
  <c r="J65" i="53" s="1"/>
  <c r="J78" i="53" s="1"/>
  <c r="I16" i="54"/>
  <c r="I62" i="58"/>
  <c r="B65" i="53"/>
  <c r="B67" i="53" s="1"/>
  <c r="C38" i="55" s="1"/>
  <c r="C69" i="61" s="1"/>
  <c r="F87" i="52"/>
  <c r="F93" i="52" s="1"/>
  <c r="F109" i="52" s="1"/>
  <c r="F140" i="52" s="1"/>
  <c r="F152" i="52" s="1"/>
  <c r="I20" i="56"/>
  <c r="K13" i="56"/>
  <c r="K20" i="56" s="1"/>
  <c r="G25" i="56"/>
  <c r="G37" i="59"/>
  <c r="G40" i="59" s="1"/>
  <c r="K73" i="50"/>
  <c r="I48" i="57"/>
  <c r="I46" i="59" s="1"/>
  <c r="I48" i="59" s="1"/>
  <c r="B75" i="52"/>
  <c r="G50" i="51"/>
  <c r="CI38" i="40"/>
  <c r="CJ38" i="40" s="1"/>
  <c r="CJ45" i="40" s="1"/>
  <c r="I20" i="43" s="1"/>
  <c r="E244" i="52" s="1"/>
  <c r="I244" i="52" s="1"/>
  <c r="G27" i="51"/>
  <c r="E178" i="52"/>
  <c r="H178" i="52" s="1"/>
  <c r="H53" i="78"/>
  <c r="D96" i="53"/>
  <c r="BG38" i="40"/>
  <c r="BH38" i="40" s="1"/>
  <c r="BH45" i="40" s="1"/>
  <c r="D107" i="53"/>
  <c r="H31" i="78"/>
  <c r="E167" i="52"/>
  <c r="H167" i="52" s="1"/>
  <c r="D78" i="53"/>
  <c r="D80" i="53" s="1"/>
  <c r="E36" i="55"/>
  <c r="E67" i="61" s="1"/>
  <c r="C34" i="53"/>
  <c r="E35" i="55" s="1"/>
  <c r="E66" i="61" s="1"/>
  <c r="I36" i="55"/>
  <c r="I67" i="61" s="1"/>
  <c r="E34" i="53"/>
  <c r="I35" i="55" s="1"/>
  <c r="I66" i="61" s="1"/>
  <c r="E65" i="53"/>
  <c r="F29" i="53"/>
  <c r="F32" i="53" s="1"/>
  <c r="H259" i="52"/>
  <c r="B260" i="52"/>
  <c r="B263" i="52" s="1"/>
  <c r="I39" i="55" s="1"/>
  <c r="G38" i="44"/>
  <c r="G19" i="44"/>
  <c r="BN49" i="40"/>
  <c r="BU49" i="40" s="1"/>
  <c r="BV49" i="40" s="1"/>
  <c r="CB49" i="40"/>
  <c r="CI49" i="40" s="1"/>
  <c r="CJ49" i="40" s="1"/>
  <c r="AZ49" i="40"/>
  <c r="BG49" i="40" s="1"/>
  <c r="BH49" i="40" s="1"/>
  <c r="N49" i="40"/>
  <c r="K62" i="41" s="1"/>
  <c r="C107" i="53"/>
  <c r="BO48" i="40"/>
  <c r="BA48" i="40"/>
  <c r="CC48" i="40"/>
  <c r="BN48" i="40"/>
  <c r="AZ48" i="40"/>
  <c r="CB48" i="40"/>
  <c r="N48" i="40"/>
  <c r="K61" i="41" s="1"/>
  <c r="CI50" i="40"/>
  <c r="CJ50" i="40" s="1"/>
  <c r="B337" i="52"/>
  <c r="B340" i="52" s="1"/>
  <c r="B371" i="52" s="1"/>
  <c r="BU38" i="40"/>
  <c r="BV38" i="40" s="1"/>
  <c r="BV45" i="40" s="1"/>
  <c r="I8" i="44" s="1"/>
  <c r="I10" i="44" s="1"/>
  <c r="I17" i="44" s="1"/>
  <c r="I62" i="44" s="1"/>
  <c r="BG50" i="40"/>
  <c r="BH50" i="40" s="1"/>
  <c r="B229" i="52"/>
  <c r="K39" i="53"/>
  <c r="K65" i="53" s="1"/>
  <c r="K78" i="53" s="1"/>
  <c r="C371" i="52"/>
  <c r="C383" i="52" s="1"/>
  <c r="H323" i="52"/>
  <c r="K71" i="58"/>
  <c r="I377" i="52"/>
  <c r="B378" i="52"/>
  <c r="H377" i="52"/>
  <c r="P39" i="53"/>
  <c r="P65" i="53" s="1"/>
  <c r="P78" i="53" s="1"/>
  <c r="D371" i="52"/>
  <c r="D383" i="52" s="1"/>
  <c r="M73" i="50"/>
  <c r="K48" i="57"/>
  <c r="I345" i="52"/>
  <c r="K17" i="54" s="1"/>
  <c r="H345" i="52"/>
  <c r="K64" i="58" s="1"/>
  <c r="K67" i="58" s="1"/>
  <c r="K69" i="58" s="1"/>
  <c r="F39" i="53"/>
  <c r="K37" i="55" s="1"/>
  <c r="K68" i="61" s="1"/>
  <c r="BU50" i="40"/>
  <c r="BV50" i="40" s="1"/>
  <c r="CI51" i="40"/>
  <c r="CJ51" i="40" s="1"/>
  <c r="BE6" i="40"/>
  <c r="BR6" i="40"/>
  <c r="E46" i="59"/>
  <c r="E48" i="59" s="1"/>
  <c r="G46" i="59"/>
  <c r="G48" i="59" s="1"/>
  <c r="BG51" i="40"/>
  <c r="BH51" i="40" s="1"/>
  <c r="BR27" i="40"/>
  <c r="BE27" i="40"/>
  <c r="P89" i="53"/>
  <c r="F89" i="53"/>
  <c r="BR16" i="40"/>
  <c r="BE16" i="40"/>
  <c r="BC47" i="40"/>
  <c r="BP47" i="40"/>
  <c r="BD37" i="40"/>
  <c r="BQ37" i="40"/>
  <c r="G115" i="53"/>
  <c r="G148" i="53" s="1"/>
  <c r="G162" i="53" s="1"/>
  <c r="G164" i="53" s="1"/>
  <c r="C83" i="55" s="1"/>
  <c r="C114" i="61" s="1"/>
  <c r="C82" i="55"/>
  <c r="C113" i="61" s="1"/>
  <c r="C80" i="55"/>
  <c r="K64" i="41"/>
  <c r="E50" i="51" l="1"/>
  <c r="E92" i="45"/>
  <c r="F53" i="78"/>
  <c r="I101" i="52"/>
  <c r="K68" i="41"/>
  <c r="E39" i="55"/>
  <c r="B140" i="52"/>
  <c r="B152" i="52" s="1"/>
  <c r="C65" i="53"/>
  <c r="C67" i="53" s="1"/>
  <c r="E38" i="55" s="1"/>
  <c r="E69" i="61" s="1"/>
  <c r="E67" i="58"/>
  <c r="E69" i="58" s="1"/>
  <c r="I67" i="58"/>
  <c r="I69" i="58" s="1"/>
  <c r="H115" i="53"/>
  <c r="H148" i="53" s="1"/>
  <c r="H162" i="53" s="1"/>
  <c r="H164" i="53" s="1"/>
  <c r="E83" i="55" s="1"/>
  <c r="E114" i="61" s="1"/>
  <c r="E80" i="55"/>
  <c r="E111" i="61" s="1"/>
  <c r="B78" i="53"/>
  <c r="B80" i="53" s="1"/>
  <c r="I178" i="52"/>
  <c r="H244" i="52"/>
  <c r="K39" i="55"/>
  <c r="K70" i="61" s="1"/>
  <c r="I40" i="55"/>
  <c r="I71" i="61" s="1"/>
  <c r="I70" i="61"/>
  <c r="I25" i="56"/>
  <c r="I37" i="59"/>
  <c r="I40" i="59" s="1"/>
  <c r="K37" i="59"/>
  <c r="K40" i="59" s="1"/>
  <c r="K25" i="56"/>
  <c r="K46" i="59"/>
  <c r="K48" i="59" s="1"/>
  <c r="C111" i="61"/>
  <c r="C84" i="55"/>
  <c r="C115" i="61" s="1"/>
  <c r="G117" i="53"/>
  <c r="C81" i="55" s="1"/>
  <c r="C112" i="61" s="1"/>
  <c r="G150" i="53"/>
  <c r="J31" i="78"/>
  <c r="I27" i="51"/>
  <c r="I84" i="45"/>
  <c r="E255" i="52" s="1"/>
  <c r="H255" i="52" s="1"/>
  <c r="E96" i="53"/>
  <c r="BG48" i="40"/>
  <c r="BH48" i="40" s="1"/>
  <c r="BH55" i="40" s="1"/>
  <c r="I167" i="52"/>
  <c r="K36" i="55"/>
  <c r="K67" i="61" s="1"/>
  <c r="F34" i="53"/>
  <c r="K35" i="55" s="1"/>
  <c r="K66" i="61" s="1"/>
  <c r="E78" i="53"/>
  <c r="E80" i="53" s="1"/>
  <c r="E67" i="53"/>
  <c r="I38" i="55" s="1"/>
  <c r="I69" i="61" s="1"/>
  <c r="F65" i="53"/>
  <c r="K58" i="58"/>
  <c r="I58" i="58"/>
  <c r="B294" i="52"/>
  <c r="B306" i="52" s="1"/>
  <c r="I38" i="44"/>
  <c r="I19" i="44"/>
  <c r="F164" i="52"/>
  <c r="F170" i="52" s="1"/>
  <c r="F186" i="52" s="1"/>
  <c r="F217" i="52" s="1"/>
  <c r="F229" i="52" s="1"/>
  <c r="G44" i="44"/>
  <c r="I93" i="53"/>
  <c r="I99" i="53" s="1"/>
  <c r="N55" i="40"/>
  <c r="CI48" i="40"/>
  <c r="CJ48" i="40" s="1"/>
  <c r="CJ55" i="40" s="1"/>
  <c r="K20" i="43" s="1"/>
  <c r="L31" i="78" s="1"/>
  <c r="BU48" i="40"/>
  <c r="BV48" i="40" s="1"/>
  <c r="BV55" i="40" s="1"/>
  <c r="K8" i="44" s="1"/>
  <c r="K10" i="44" s="1"/>
  <c r="K17" i="44" s="1"/>
  <c r="B383" i="52"/>
  <c r="BS27" i="40"/>
  <c r="BF27" i="40"/>
  <c r="BT27" i="40" s="1"/>
  <c r="BS16" i="40"/>
  <c r="BF16" i="40"/>
  <c r="BT16" i="40" s="1"/>
  <c r="BF6" i="40"/>
  <c r="BT6" i="40" s="1"/>
  <c r="BS6" i="40"/>
  <c r="BD47" i="40"/>
  <c r="BQ47" i="40"/>
  <c r="BE37" i="40"/>
  <c r="BR37" i="40"/>
  <c r="E70" i="61" l="1"/>
  <c r="E40" i="55"/>
  <c r="E71" i="61" s="1"/>
  <c r="C78" i="53"/>
  <c r="C80" i="53" s="1"/>
  <c r="E84" i="55"/>
  <c r="E115" i="61" s="1"/>
  <c r="H150" i="53"/>
  <c r="H117" i="53"/>
  <c r="E81" i="55" s="1"/>
  <c r="E112" i="61" s="1"/>
  <c r="E107" i="53"/>
  <c r="I255" i="52"/>
  <c r="I92" i="45"/>
  <c r="K38" i="44"/>
  <c r="K44" i="44" s="1"/>
  <c r="K62" i="44"/>
  <c r="J53" i="78"/>
  <c r="I50" i="51"/>
  <c r="K40" i="55"/>
  <c r="K71" i="61" s="1"/>
  <c r="F78" i="53"/>
  <c r="F80" i="53" s="1"/>
  <c r="F67" i="53"/>
  <c r="K38" i="55" s="1"/>
  <c r="K69" i="61" s="1"/>
  <c r="G80" i="55"/>
  <c r="G82" i="55"/>
  <c r="G113" i="61" s="1"/>
  <c r="I115" i="53"/>
  <c r="I148" i="53" s="1"/>
  <c r="I162" i="53" s="1"/>
  <c r="I164" i="53" s="1"/>
  <c r="G83" i="55" s="1"/>
  <c r="G114" i="61" s="1"/>
  <c r="I44" i="44"/>
  <c r="F241" i="52"/>
  <c r="F247" i="52" s="1"/>
  <c r="F263" i="52" s="1"/>
  <c r="F294" i="52" s="1"/>
  <c r="F306" i="52" s="1"/>
  <c r="J93" i="53"/>
  <c r="J99" i="53" s="1"/>
  <c r="K27" i="51"/>
  <c r="F96" i="53"/>
  <c r="E321" i="52"/>
  <c r="I321" i="52" s="1"/>
  <c r="K84" i="45"/>
  <c r="L53" i="78" s="1"/>
  <c r="K19" i="44"/>
  <c r="BS37" i="40"/>
  <c r="BF37" i="40"/>
  <c r="BT37" i="40" s="1"/>
  <c r="BR47" i="40"/>
  <c r="BE47" i="40"/>
  <c r="F318" i="52" l="1"/>
  <c r="F324" i="52" s="1"/>
  <c r="F340" i="52" s="1"/>
  <c r="F371" i="52" s="1"/>
  <c r="F383" i="52" s="1"/>
  <c r="K93" i="53"/>
  <c r="K99" i="53" s="1"/>
  <c r="K115" i="53" s="1"/>
  <c r="K148" i="53" s="1"/>
  <c r="K162" i="53" s="1"/>
  <c r="K164" i="53" s="1"/>
  <c r="K83" i="55" s="1"/>
  <c r="K114" i="61" s="1"/>
  <c r="G111" i="61"/>
  <c r="G84" i="55"/>
  <c r="G115" i="61" s="1"/>
  <c r="I117" i="53"/>
  <c r="G81" i="55" s="1"/>
  <c r="G112" i="61" s="1"/>
  <c r="I150" i="53"/>
  <c r="H321" i="52"/>
  <c r="K92" i="45"/>
  <c r="K50" i="51"/>
  <c r="I82" i="55"/>
  <c r="I113" i="61" s="1"/>
  <c r="J115" i="53"/>
  <c r="J148" i="53" s="1"/>
  <c r="J162" i="53" s="1"/>
  <c r="J164" i="53" s="1"/>
  <c r="I83" i="55" s="1"/>
  <c r="I114" i="61" s="1"/>
  <c r="I80" i="55"/>
  <c r="F107" i="53"/>
  <c r="E332" i="52"/>
  <c r="I332" i="52" s="1"/>
  <c r="BS47" i="40"/>
  <c r="BF47" i="40"/>
  <c r="BT47" i="40" s="1"/>
  <c r="K80" i="55" l="1"/>
  <c r="K111" i="61" s="1"/>
  <c r="K82" i="55"/>
  <c r="K113" i="61" s="1"/>
  <c r="I111" i="61"/>
  <c r="I84" i="55"/>
  <c r="I115" i="61" s="1"/>
  <c r="K117" i="53"/>
  <c r="K81" i="55" s="1"/>
  <c r="K112" i="61" s="1"/>
  <c r="K150" i="53"/>
  <c r="J150" i="53"/>
  <c r="J117" i="53"/>
  <c r="I81" i="55" s="1"/>
  <c r="I112" i="61" s="1"/>
  <c r="H332" i="52"/>
  <c r="K84" i="55" l="1"/>
  <c r="K115" i="61" s="1"/>
  <c r="C17" i="43"/>
  <c r="C42" i="43" s="1"/>
  <c r="B93" i="53" l="1"/>
  <c r="C36" i="43"/>
  <c r="C21" i="51" s="1"/>
  <c r="E10" i="52"/>
  <c r="C24" i="51"/>
  <c r="C81" i="45"/>
  <c r="C44" i="43"/>
  <c r="D28" i="78"/>
  <c r="D26" i="78" l="1"/>
  <c r="C76" i="45"/>
  <c r="E21" i="52" s="1"/>
  <c r="C86" i="45"/>
  <c r="C11" i="43" s="1"/>
  <c r="C15" i="43" s="1"/>
  <c r="C49" i="58" s="1"/>
  <c r="H10" i="52"/>
  <c r="I10" i="52"/>
  <c r="C38" i="43"/>
  <c r="D19" i="28" l="1"/>
  <c r="B104" i="53"/>
  <c r="C47" i="51"/>
  <c r="C91" i="45"/>
  <c r="C20" i="43"/>
  <c r="C21" i="43" s="1"/>
  <c r="H21" i="52"/>
  <c r="I21" i="52"/>
  <c r="C51" i="43" l="1"/>
  <c r="C65" i="43"/>
  <c r="C84" i="45"/>
  <c r="C50" i="51" s="1"/>
  <c r="C51" i="51" s="1"/>
  <c r="C56" i="51" s="1"/>
  <c r="C27" i="51"/>
  <c r="C28" i="51" s="1"/>
  <c r="E13" i="52"/>
  <c r="E16" i="52" s="1"/>
  <c r="B96" i="53"/>
  <c r="B99" i="53" s="1"/>
  <c r="C71" i="55" s="1"/>
  <c r="C102" i="61" s="1"/>
  <c r="D31" i="78"/>
  <c r="D33" i="78" s="1"/>
  <c r="C38" i="56" s="1"/>
  <c r="C17" i="59" s="1"/>
  <c r="I13" i="52" l="1"/>
  <c r="I16" i="52" s="1"/>
  <c r="H13" i="52"/>
  <c r="H16" i="52" s="1"/>
  <c r="C26" i="55" s="1"/>
  <c r="C57" i="61" s="1"/>
  <c r="E24" i="52"/>
  <c r="I24" i="52" s="1"/>
  <c r="C69" i="55"/>
  <c r="C62" i="51"/>
  <c r="D71" i="78" s="1"/>
  <c r="D68" i="78"/>
  <c r="C92" i="45"/>
  <c r="C93" i="45" s="1"/>
  <c r="B109" i="53" s="1"/>
  <c r="B107" i="53"/>
  <c r="D53" i="78"/>
  <c r="C85" i="45"/>
  <c r="C108" i="45" s="1"/>
  <c r="H24" i="52" l="1"/>
  <c r="C24" i="55"/>
  <c r="C55" i="61" s="1"/>
  <c r="C27" i="55"/>
  <c r="C58" i="61" s="1"/>
  <c r="C7" i="54"/>
  <c r="C20" i="55" s="1"/>
  <c r="C51" i="61" s="1"/>
  <c r="C25" i="55"/>
  <c r="C56" i="61" s="1"/>
  <c r="C23" i="55"/>
  <c r="C54" i="61" s="1"/>
  <c r="C22" i="61"/>
  <c r="B72" i="43"/>
  <c r="C40" i="56"/>
  <c r="C19" i="59" s="1"/>
  <c r="C100" i="61"/>
  <c r="C75" i="55"/>
  <c r="C106" i="61" s="1"/>
  <c r="E26" i="52"/>
  <c r="E29" i="52" s="1"/>
  <c r="E32" i="52" s="1"/>
  <c r="E63" i="52" s="1"/>
  <c r="E75" i="52" s="1"/>
  <c r="B112" i="53"/>
  <c r="B115" i="53" s="1"/>
  <c r="B148" i="53" s="1"/>
  <c r="C46" i="57"/>
  <c r="C24" i="59" s="1"/>
  <c r="C111" i="45"/>
  <c r="C112" i="45" s="1"/>
  <c r="C34" i="58" l="1"/>
  <c r="C9" i="55"/>
  <c r="C40" i="61" s="1"/>
  <c r="E71" i="43"/>
  <c r="F12" i="78" s="1"/>
  <c r="F14" i="78" s="1"/>
  <c r="G9" i="50" s="1"/>
  <c r="C72" i="43"/>
  <c r="C77" i="43" s="1"/>
  <c r="D51" i="78" s="1"/>
  <c r="D54" i="78" s="1"/>
  <c r="D58" i="78" s="1"/>
  <c r="H26" i="52"/>
  <c r="H29" i="52" s="1"/>
  <c r="C10" i="54" s="1"/>
  <c r="C13" i="54" s="1"/>
  <c r="B71" i="43"/>
  <c r="B117" i="53"/>
  <c r="C70" i="55" s="1"/>
  <c r="C101" i="61" s="1"/>
  <c r="I26" i="52"/>
  <c r="I29" i="52" s="1"/>
  <c r="I32" i="52" s="1"/>
  <c r="C57" i="58" s="1"/>
  <c r="C60" i="58" s="1"/>
  <c r="B162" i="53"/>
  <c r="B164" i="53" s="1"/>
  <c r="C72" i="55" s="1"/>
  <c r="C103" i="61" s="1"/>
  <c r="B150" i="53"/>
  <c r="C90" i="55" l="1"/>
  <c r="C121" i="61" s="1"/>
  <c r="C34" i="56"/>
  <c r="C33" i="58" s="1"/>
  <c r="C73" i="58"/>
  <c r="C74" i="58"/>
  <c r="H32" i="52"/>
  <c r="H63" i="52" s="1"/>
  <c r="C73" i="43"/>
  <c r="D40" i="78" s="1"/>
  <c r="D42" i="78" s="1"/>
  <c r="D67" i="78" s="1"/>
  <c r="I63" i="52"/>
  <c r="C24" i="61"/>
  <c r="C22" i="54"/>
  <c r="C41" i="58"/>
  <c r="C10" i="55"/>
  <c r="C41" i="61" s="1"/>
  <c r="C12" i="58"/>
  <c r="C44" i="57"/>
  <c r="D69" i="78"/>
  <c r="C21" i="55"/>
  <c r="C52" i="61" s="1"/>
  <c r="C35" i="58"/>
  <c r="C73" i="55" l="1"/>
  <c r="C104" i="61" s="1"/>
  <c r="D71" i="48"/>
  <c r="D75" i="48" s="1"/>
  <c r="C36" i="56"/>
  <c r="C18" i="59" s="1"/>
  <c r="C20" i="59" s="1"/>
  <c r="C34" i="61"/>
  <c r="C15" i="55"/>
  <c r="C46" i="61" s="1"/>
  <c r="D79" i="78"/>
  <c r="D77" i="78"/>
  <c r="C26" i="61"/>
  <c r="C13" i="58"/>
  <c r="C11" i="55"/>
  <c r="C42" i="61" s="1"/>
  <c r="C23" i="59"/>
  <c r="C25" i="59" s="1"/>
  <c r="C74" i="55" l="1"/>
  <c r="C105" i="61" s="1"/>
  <c r="D83" i="78"/>
  <c r="E10" i="50"/>
  <c r="C27" i="59"/>
  <c r="E11" i="50" l="1"/>
  <c r="E58" i="50"/>
  <c r="E9" i="58"/>
  <c r="G9" i="58"/>
  <c r="I9" i="58"/>
  <c r="K9" i="58"/>
  <c r="E12" i="58"/>
  <c r="G12" i="58"/>
  <c r="I12" i="58"/>
  <c r="K12" i="58"/>
  <c r="E13" i="58"/>
  <c r="G13" i="58"/>
  <c r="I13" i="58"/>
  <c r="K13" i="58"/>
  <c r="C14" i="58"/>
  <c r="E14" i="58"/>
  <c r="G14" i="58"/>
  <c r="I14" i="58"/>
  <c r="K14" i="58"/>
  <c r="C15" i="58"/>
  <c r="E15" i="58"/>
  <c r="G15" i="58"/>
  <c r="I15" i="58"/>
  <c r="K15" i="58"/>
  <c r="C16" i="58"/>
  <c r="E16" i="58"/>
  <c r="G16" i="58"/>
  <c r="I16" i="58"/>
  <c r="K16" i="58"/>
  <c r="C19" i="58"/>
  <c r="E19" i="58"/>
  <c r="G19" i="58"/>
  <c r="I19" i="58"/>
  <c r="K19" i="58"/>
  <c r="C20" i="58"/>
  <c r="E20" i="58"/>
  <c r="G20" i="58"/>
  <c r="I20" i="58"/>
  <c r="K20" i="58"/>
  <c r="C21" i="58"/>
  <c r="E21" i="58"/>
  <c r="G21" i="58"/>
  <c r="I21" i="58"/>
  <c r="K21" i="58"/>
  <c r="C25" i="58"/>
  <c r="E25" i="58"/>
  <c r="G25" i="58"/>
  <c r="I25" i="58"/>
  <c r="K25" i="58"/>
  <c r="C26" i="58"/>
  <c r="E26" i="58"/>
  <c r="G26" i="58"/>
  <c r="I26" i="58"/>
  <c r="K26" i="58"/>
  <c r="C27" i="58"/>
  <c r="E27" i="58"/>
  <c r="G27" i="58"/>
  <c r="I27" i="58"/>
  <c r="K27" i="58"/>
  <c r="E33" i="58"/>
  <c r="G33" i="58"/>
  <c r="I33" i="58"/>
  <c r="K33" i="58"/>
  <c r="E34" i="58"/>
  <c r="G34" i="58"/>
  <c r="I34" i="58"/>
  <c r="K34" i="58"/>
  <c r="E35" i="58"/>
  <c r="G35" i="58"/>
  <c r="I35" i="58"/>
  <c r="K35" i="58"/>
  <c r="C37" i="58"/>
  <c r="E37" i="58"/>
  <c r="G37" i="58"/>
  <c r="I37" i="58"/>
  <c r="K37" i="58"/>
  <c r="C39" i="58"/>
  <c r="E39" i="58"/>
  <c r="G39" i="58"/>
  <c r="I39" i="58"/>
  <c r="K39" i="58"/>
  <c r="E41" i="58"/>
  <c r="G41" i="58"/>
  <c r="I41" i="58"/>
  <c r="K41" i="58"/>
  <c r="E57" i="58"/>
  <c r="G57" i="58"/>
  <c r="I57" i="58"/>
  <c r="K57" i="58"/>
  <c r="E60" i="58"/>
  <c r="G60" i="58"/>
  <c r="I60" i="58"/>
  <c r="K60" i="58"/>
  <c r="I71" i="58"/>
  <c r="E73" i="58"/>
  <c r="G73" i="58"/>
  <c r="I73" i="58"/>
  <c r="K73" i="58"/>
  <c r="E74" i="58"/>
  <c r="G74" i="58"/>
  <c r="I74" i="58"/>
  <c r="K74" i="58"/>
  <c r="C9" i="59"/>
  <c r="E9" i="59"/>
  <c r="G9" i="59"/>
  <c r="I9" i="59"/>
  <c r="K9" i="59"/>
  <c r="C11" i="59"/>
  <c r="E11" i="59"/>
  <c r="G11" i="59"/>
  <c r="I11" i="59"/>
  <c r="K11" i="59"/>
  <c r="E17" i="59"/>
  <c r="G17" i="59"/>
  <c r="I17" i="59"/>
  <c r="K17" i="59"/>
  <c r="E18" i="59"/>
  <c r="G18" i="59"/>
  <c r="I18" i="59"/>
  <c r="K18" i="59"/>
  <c r="E19" i="59"/>
  <c r="G19" i="59"/>
  <c r="I19" i="59"/>
  <c r="K19" i="59"/>
  <c r="E20" i="59"/>
  <c r="G20" i="59"/>
  <c r="I20" i="59"/>
  <c r="K20" i="59"/>
  <c r="E23" i="59"/>
  <c r="G23" i="59"/>
  <c r="I23" i="59"/>
  <c r="K23" i="59"/>
  <c r="E24" i="59"/>
  <c r="G24" i="59"/>
  <c r="I24" i="59"/>
  <c r="K24" i="59"/>
  <c r="E25" i="59"/>
  <c r="G25" i="59"/>
  <c r="I25" i="59"/>
  <c r="K25" i="59"/>
  <c r="E27" i="59"/>
  <c r="G27" i="59"/>
  <c r="I27" i="59"/>
  <c r="K27" i="59"/>
  <c r="C30" i="59"/>
  <c r="E30" i="59"/>
  <c r="G30" i="59"/>
  <c r="I30" i="59"/>
  <c r="K30" i="59"/>
  <c r="C51" i="59"/>
  <c r="E51" i="59"/>
  <c r="G51" i="59"/>
  <c r="I51" i="59"/>
  <c r="K51" i="59"/>
  <c r="C55" i="59"/>
  <c r="E55" i="59"/>
  <c r="G55" i="59"/>
  <c r="I55" i="59"/>
  <c r="K55" i="59"/>
  <c r="E11" i="43"/>
  <c r="G11" i="43"/>
  <c r="I11" i="43"/>
  <c r="K11" i="43"/>
  <c r="E17" i="43"/>
  <c r="G17" i="43"/>
  <c r="I17" i="43"/>
  <c r="K17" i="43"/>
  <c r="E21" i="43"/>
  <c r="G21" i="43"/>
  <c r="I21" i="43"/>
  <c r="K21" i="43"/>
  <c r="E36" i="43"/>
  <c r="G36" i="43"/>
  <c r="I36" i="43"/>
  <c r="K36" i="43"/>
  <c r="E38" i="43"/>
  <c r="G38" i="43"/>
  <c r="I38" i="43"/>
  <c r="K38" i="43"/>
  <c r="E41" i="43"/>
  <c r="G41" i="43"/>
  <c r="I41" i="43"/>
  <c r="K41" i="43"/>
  <c r="E42" i="43"/>
  <c r="G42" i="43"/>
  <c r="I42" i="43"/>
  <c r="K42" i="43"/>
  <c r="E44" i="43"/>
  <c r="G44" i="43"/>
  <c r="I44" i="43"/>
  <c r="K44" i="43"/>
  <c r="E51" i="43"/>
  <c r="G51" i="43"/>
  <c r="I51" i="43"/>
  <c r="K51" i="43"/>
  <c r="E65" i="43"/>
  <c r="G65" i="43"/>
  <c r="I65" i="43"/>
  <c r="K65" i="43"/>
  <c r="G71" i="43"/>
  <c r="I71" i="43"/>
  <c r="K71" i="43"/>
  <c r="E72" i="43"/>
  <c r="G72" i="43"/>
  <c r="I72" i="43"/>
  <c r="K72" i="43"/>
  <c r="E73" i="43"/>
  <c r="G73" i="43"/>
  <c r="I73" i="43"/>
  <c r="K73" i="43"/>
  <c r="E77" i="43"/>
  <c r="G77" i="43"/>
  <c r="I77" i="43"/>
  <c r="K77" i="43"/>
  <c r="E76" i="45"/>
  <c r="G76" i="45"/>
  <c r="I76" i="45"/>
  <c r="K76" i="45"/>
  <c r="E80" i="45"/>
  <c r="G80" i="45"/>
  <c r="I80" i="45"/>
  <c r="K80" i="45"/>
  <c r="E81" i="45"/>
  <c r="G81" i="45"/>
  <c r="I81" i="45"/>
  <c r="K81" i="45"/>
  <c r="E85" i="45"/>
  <c r="G85" i="45"/>
  <c r="I85" i="45"/>
  <c r="K85" i="45"/>
  <c r="D86" i="45"/>
  <c r="F86" i="45"/>
  <c r="H86" i="45"/>
  <c r="J86" i="45"/>
  <c r="E91" i="45"/>
  <c r="G91" i="45"/>
  <c r="I91" i="45"/>
  <c r="K91" i="45"/>
  <c r="E93" i="45"/>
  <c r="G93" i="45"/>
  <c r="I93" i="45"/>
  <c r="K93" i="45"/>
  <c r="E108" i="45"/>
  <c r="G108" i="45"/>
  <c r="I108" i="45"/>
  <c r="K108" i="45"/>
  <c r="E111" i="45"/>
  <c r="G111" i="45"/>
  <c r="I111" i="45"/>
  <c r="K111" i="45"/>
  <c r="E112" i="45"/>
  <c r="G112" i="45"/>
  <c r="I112" i="45"/>
  <c r="K112" i="45"/>
  <c r="F71" i="48"/>
  <c r="H71" i="48"/>
  <c r="J71" i="48"/>
  <c r="L71" i="48"/>
  <c r="F75" i="48"/>
  <c r="H75" i="48"/>
  <c r="J75" i="48"/>
  <c r="L75" i="48"/>
  <c r="H12" i="78"/>
  <c r="J12" i="78"/>
  <c r="L12" i="78"/>
  <c r="H14" i="78"/>
  <c r="J14" i="78"/>
  <c r="L14" i="78"/>
  <c r="F26" i="78"/>
  <c r="H26" i="78"/>
  <c r="J26" i="78"/>
  <c r="L26" i="78"/>
  <c r="F28" i="78"/>
  <c r="H28" i="78"/>
  <c r="J28" i="78"/>
  <c r="L28" i="78"/>
  <c r="F33" i="78"/>
  <c r="H33" i="78"/>
  <c r="J33" i="78"/>
  <c r="L33" i="78"/>
  <c r="F40" i="78"/>
  <c r="H40" i="78"/>
  <c r="J40" i="78"/>
  <c r="L40" i="78"/>
  <c r="F42" i="78"/>
  <c r="H42" i="78"/>
  <c r="J42" i="78"/>
  <c r="L42" i="78"/>
  <c r="F51" i="78"/>
  <c r="H51" i="78"/>
  <c r="J51" i="78"/>
  <c r="L51" i="78"/>
  <c r="F54" i="78"/>
  <c r="H54" i="78"/>
  <c r="J54" i="78"/>
  <c r="L54" i="78"/>
  <c r="F58" i="78"/>
  <c r="H58" i="78"/>
  <c r="J58" i="78"/>
  <c r="L58" i="78"/>
  <c r="F67" i="78"/>
  <c r="H67" i="78"/>
  <c r="J67" i="78"/>
  <c r="L67" i="78"/>
  <c r="F68" i="78"/>
  <c r="H68" i="78"/>
  <c r="J68" i="78"/>
  <c r="L68" i="78"/>
  <c r="F69" i="78"/>
  <c r="H69" i="78"/>
  <c r="J69" i="78"/>
  <c r="L69" i="78"/>
  <c r="F71" i="78"/>
  <c r="H71" i="78"/>
  <c r="J71" i="78"/>
  <c r="L71" i="78"/>
  <c r="F77" i="78"/>
  <c r="H77" i="78"/>
  <c r="J77" i="78"/>
  <c r="L77" i="78"/>
  <c r="F79" i="78"/>
  <c r="H79" i="78"/>
  <c r="J79" i="78"/>
  <c r="L79" i="78"/>
  <c r="F83" i="78"/>
  <c r="H83" i="78"/>
  <c r="J83" i="78"/>
  <c r="L83" i="78"/>
  <c r="I9" i="50"/>
  <c r="K9" i="50"/>
  <c r="M9" i="50"/>
  <c r="G10" i="50"/>
  <c r="I10" i="50"/>
  <c r="K10" i="50"/>
  <c r="M10" i="50"/>
  <c r="G11" i="50"/>
  <c r="I11" i="50"/>
  <c r="K11" i="50"/>
  <c r="M11" i="50"/>
  <c r="G22" i="50"/>
  <c r="I22" i="50"/>
  <c r="K22" i="50"/>
  <c r="M22" i="50"/>
  <c r="E23" i="50"/>
  <c r="G23" i="50"/>
  <c r="I23" i="50"/>
  <c r="K23" i="50"/>
  <c r="M23" i="50"/>
  <c r="E25" i="50"/>
  <c r="G25" i="50"/>
  <c r="I25" i="50"/>
  <c r="K25" i="50"/>
  <c r="M25" i="50"/>
  <c r="E45" i="50"/>
  <c r="G45" i="50"/>
  <c r="I45" i="50"/>
  <c r="K45" i="50"/>
  <c r="M45" i="50"/>
  <c r="G58" i="50"/>
  <c r="I58" i="50"/>
  <c r="K58" i="50"/>
  <c r="M58" i="50"/>
  <c r="E59" i="50"/>
  <c r="G59" i="50"/>
  <c r="I59" i="50"/>
  <c r="K59" i="50"/>
  <c r="M59" i="50"/>
  <c r="E61" i="50"/>
  <c r="G61" i="50"/>
  <c r="I61" i="50"/>
  <c r="K61" i="50"/>
  <c r="M61" i="50"/>
  <c r="E63" i="50"/>
  <c r="G63" i="50"/>
  <c r="I63" i="50"/>
  <c r="K63" i="50"/>
  <c r="M63" i="50"/>
  <c r="E70" i="50"/>
  <c r="G70" i="50"/>
  <c r="I70" i="50"/>
  <c r="K70" i="50"/>
  <c r="M70" i="50"/>
  <c r="E76" i="50"/>
  <c r="G76" i="50"/>
  <c r="I76" i="50"/>
  <c r="K76" i="50"/>
  <c r="M76" i="50"/>
  <c r="E82" i="50"/>
  <c r="G82" i="50"/>
  <c r="I82" i="50"/>
  <c r="K82" i="50"/>
  <c r="M82" i="50"/>
  <c r="E86" i="50"/>
  <c r="G86" i="50"/>
  <c r="I86" i="50"/>
  <c r="K86" i="50"/>
  <c r="M86" i="50"/>
  <c r="E21" i="51"/>
  <c r="G21" i="51"/>
  <c r="I21" i="51"/>
  <c r="K21" i="51"/>
  <c r="E23" i="51"/>
  <c r="G23" i="51"/>
  <c r="I23" i="51"/>
  <c r="K23" i="51"/>
  <c r="E24" i="51"/>
  <c r="G24" i="51"/>
  <c r="I24" i="51"/>
  <c r="K24" i="51"/>
  <c r="E28" i="51"/>
  <c r="G28" i="51"/>
  <c r="I28" i="51"/>
  <c r="K28" i="51"/>
  <c r="E47" i="51"/>
  <c r="G47" i="51"/>
  <c r="I47" i="51"/>
  <c r="K47" i="51"/>
  <c r="E51" i="51"/>
  <c r="G51" i="51"/>
  <c r="I51" i="51"/>
  <c r="K51" i="51"/>
  <c r="E56" i="51"/>
  <c r="G56" i="51"/>
  <c r="I56" i="51"/>
  <c r="K56" i="51"/>
  <c r="E62" i="51"/>
  <c r="G62" i="51"/>
  <c r="I62" i="51"/>
  <c r="K62" i="51"/>
  <c r="G66" i="52"/>
  <c r="H66" i="52"/>
  <c r="I66" i="52"/>
  <c r="G70" i="52"/>
  <c r="H70" i="52"/>
  <c r="I70" i="52"/>
  <c r="G72" i="52"/>
  <c r="H72" i="52"/>
  <c r="I72" i="52"/>
  <c r="G75" i="52"/>
  <c r="H75" i="52"/>
  <c r="I75" i="52"/>
  <c r="E87" i="52"/>
  <c r="H87" i="52"/>
  <c r="I87" i="52"/>
  <c r="E93" i="52"/>
  <c r="H93" i="52"/>
  <c r="I93" i="52"/>
  <c r="E98" i="52"/>
  <c r="H98" i="52"/>
  <c r="I98" i="52"/>
  <c r="E103" i="52"/>
  <c r="H103" i="52"/>
  <c r="I103" i="52"/>
  <c r="E106" i="52"/>
  <c r="H106" i="52"/>
  <c r="I106" i="52"/>
  <c r="E109" i="52"/>
  <c r="H109" i="52"/>
  <c r="I109" i="52"/>
  <c r="E140" i="52"/>
  <c r="H140" i="52"/>
  <c r="I140" i="52"/>
  <c r="G143" i="52"/>
  <c r="H143" i="52"/>
  <c r="I143" i="52"/>
  <c r="G147" i="52"/>
  <c r="H147" i="52"/>
  <c r="I147" i="52"/>
  <c r="G149" i="52"/>
  <c r="E152" i="52"/>
  <c r="G152" i="52"/>
  <c r="H152" i="52"/>
  <c r="I152" i="52"/>
  <c r="E164" i="52"/>
  <c r="H164" i="52"/>
  <c r="I164" i="52"/>
  <c r="E170" i="52"/>
  <c r="H170" i="52"/>
  <c r="I170" i="52"/>
  <c r="E175" i="52"/>
  <c r="H175" i="52"/>
  <c r="I175" i="52"/>
  <c r="E180" i="52"/>
  <c r="H180" i="52"/>
  <c r="I180" i="52"/>
  <c r="E183" i="52"/>
  <c r="H183" i="52"/>
  <c r="I183" i="52"/>
  <c r="E186" i="52"/>
  <c r="H186" i="52"/>
  <c r="I186" i="52"/>
  <c r="E217" i="52"/>
  <c r="H217" i="52"/>
  <c r="I217" i="52"/>
  <c r="G220" i="52"/>
  <c r="H220" i="52"/>
  <c r="I220" i="52"/>
  <c r="G224" i="52"/>
  <c r="H224" i="52"/>
  <c r="I224" i="52"/>
  <c r="G226" i="52"/>
  <c r="H226" i="52"/>
  <c r="I226" i="52"/>
  <c r="E229" i="52"/>
  <c r="G229" i="52"/>
  <c r="H229" i="52"/>
  <c r="I229" i="52"/>
  <c r="E241" i="52"/>
  <c r="H241" i="52"/>
  <c r="I241" i="52"/>
  <c r="E247" i="52"/>
  <c r="H247" i="52"/>
  <c r="I247" i="52"/>
  <c r="E252" i="52"/>
  <c r="H252" i="52"/>
  <c r="I252" i="52"/>
  <c r="E257" i="52"/>
  <c r="H257" i="52"/>
  <c r="I257" i="52"/>
  <c r="E260" i="52"/>
  <c r="H260" i="52"/>
  <c r="I260" i="52"/>
  <c r="E263" i="52"/>
  <c r="H263" i="52"/>
  <c r="I263" i="52"/>
  <c r="E294" i="52"/>
  <c r="H294" i="52"/>
  <c r="I294" i="52"/>
  <c r="G297" i="52"/>
  <c r="H297" i="52"/>
  <c r="I297" i="52"/>
  <c r="C300" i="52"/>
  <c r="H300" i="52"/>
  <c r="I300" i="52"/>
  <c r="C301" i="52"/>
  <c r="G301" i="52"/>
  <c r="H301" i="52"/>
  <c r="I301" i="52"/>
  <c r="G303" i="52"/>
  <c r="H303" i="52"/>
  <c r="I303" i="52"/>
  <c r="C306" i="52"/>
  <c r="E306" i="52"/>
  <c r="G306" i="52"/>
  <c r="H306" i="52"/>
  <c r="I306" i="52"/>
  <c r="E318" i="52"/>
  <c r="H318" i="52"/>
  <c r="I318" i="52"/>
  <c r="E324" i="52"/>
  <c r="H324" i="52"/>
  <c r="I324" i="52"/>
  <c r="E329" i="52"/>
  <c r="H329" i="52"/>
  <c r="I329" i="52"/>
  <c r="E334" i="52"/>
  <c r="H334" i="52"/>
  <c r="I334" i="52"/>
  <c r="E337" i="52"/>
  <c r="H337" i="52"/>
  <c r="I337" i="52"/>
  <c r="E340" i="52"/>
  <c r="H340" i="52"/>
  <c r="I340" i="52"/>
  <c r="E371" i="52"/>
  <c r="H371" i="52"/>
  <c r="I371" i="52"/>
  <c r="G374" i="52"/>
  <c r="H374" i="52"/>
  <c r="I374" i="52"/>
  <c r="G378" i="52"/>
  <c r="H378" i="52"/>
  <c r="I378" i="52"/>
  <c r="G380" i="52"/>
  <c r="H380" i="52"/>
  <c r="I380" i="52"/>
  <c r="E383" i="52"/>
  <c r="G383" i="52"/>
  <c r="H383" i="52"/>
  <c r="I383" i="52"/>
  <c r="C93" i="53"/>
  <c r="D93" i="53"/>
  <c r="E93" i="53"/>
  <c r="F93" i="53"/>
  <c r="C99" i="53"/>
  <c r="D99" i="53"/>
  <c r="E99" i="53"/>
  <c r="F99" i="53"/>
  <c r="C104" i="53"/>
  <c r="D104" i="53"/>
  <c r="E104" i="53"/>
  <c r="F104" i="53"/>
  <c r="C109" i="53"/>
  <c r="D109" i="53"/>
  <c r="E109" i="53"/>
  <c r="F109" i="53"/>
  <c r="C112" i="53"/>
  <c r="D112" i="53"/>
  <c r="E112" i="53"/>
  <c r="F112" i="53"/>
  <c r="C115" i="53"/>
  <c r="D115" i="53"/>
  <c r="E115" i="53"/>
  <c r="F115" i="53"/>
  <c r="C117" i="53"/>
  <c r="D117" i="53"/>
  <c r="E117" i="53"/>
  <c r="F117" i="53"/>
  <c r="C148" i="53"/>
  <c r="D148" i="53"/>
  <c r="E148" i="53"/>
  <c r="F148" i="53"/>
  <c r="C150" i="53"/>
  <c r="D150" i="53"/>
  <c r="E150" i="53"/>
  <c r="F150" i="53"/>
  <c r="L153" i="53"/>
  <c r="M153" i="53"/>
  <c r="N153" i="53"/>
  <c r="O153" i="53"/>
  <c r="P153" i="53"/>
  <c r="L157" i="53"/>
  <c r="M157" i="53"/>
  <c r="N157" i="53"/>
  <c r="O157" i="53"/>
  <c r="P157" i="53"/>
  <c r="L159" i="53"/>
  <c r="M159" i="53"/>
  <c r="N159" i="53"/>
  <c r="O159" i="53"/>
  <c r="P159" i="53"/>
  <c r="C162" i="53"/>
  <c r="D162" i="53"/>
  <c r="E162" i="53"/>
  <c r="F162" i="53"/>
  <c r="L162" i="53"/>
  <c r="M162" i="53"/>
  <c r="N162" i="53"/>
  <c r="O162" i="53"/>
  <c r="P162" i="53"/>
  <c r="C164" i="53"/>
  <c r="D164" i="53"/>
  <c r="E164" i="53"/>
  <c r="F164" i="53"/>
  <c r="E7" i="54"/>
  <c r="G7" i="54"/>
  <c r="I7" i="54"/>
  <c r="K7" i="54"/>
  <c r="E10" i="54"/>
  <c r="G10" i="54"/>
  <c r="I10" i="54"/>
  <c r="K10" i="54"/>
  <c r="E13" i="54"/>
  <c r="G13" i="54"/>
  <c r="I13" i="54"/>
  <c r="K13" i="54"/>
  <c r="E22" i="54"/>
  <c r="G22" i="54"/>
  <c r="I22" i="54"/>
  <c r="K22" i="54"/>
  <c r="C25" i="54"/>
  <c r="E25" i="54"/>
  <c r="G25" i="54"/>
  <c r="I25" i="54"/>
  <c r="K25" i="54"/>
  <c r="C28" i="54"/>
  <c r="E28" i="54"/>
  <c r="G28" i="54"/>
  <c r="I28" i="54"/>
  <c r="K28" i="54"/>
  <c r="C36" i="54"/>
  <c r="E36" i="54"/>
  <c r="G36" i="54"/>
  <c r="I36" i="54"/>
  <c r="K36" i="54"/>
  <c r="C39" i="54"/>
  <c r="E39" i="54"/>
  <c r="G39" i="54"/>
  <c r="I39" i="54"/>
  <c r="K39" i="54"/>
  <c r="C42" i="54"/>
  <c r="E42" i="54"/>
  <c r="G42" i="54"/>
  <c r="I42" i="54"/>
  <c r="K42" i="54"/>
  <c r="C50" i="54"/>
  <c r="E50" i="54"/>
  <c r="G50" i="54"/>
  <c r="I50" i="54"/>
  <c r="K50" i="54"/>
  <c r="E9" i="55"/>
  <c r="G9" i="55"/>
  <c r="I9" i="55"/>
  <c r="K9" i="55"/>
  <c r="E10" i="55"/>
  <c r="G10" i="55"/>
  <c r="I10" i="55"/>
  <c r="K10" i="55"/>
  <c r="E11" i="55"/>
  <c r="G11" i="55"/>
  <c r="I11" i="55"/>
  <c r="K11" i="55"/>
  <c r="C12" i="55"/>
  <c r="E12" i="55"/>
  <c r="G12" i="55"/>
  <c r="I12" i="55"/>
  <c r="K12" i="55"/>
  <c r="C13" i="55"/>
  <c r="E13" i="55"/>
  <c r="G13" i="55"/>
  <c r="I13" i="55"/>
  <c r="K13" i="55"/>
  <c r="C14" i="55"/>
  <c r="E14" i="55"/>
  <c r="G14" i="55"/>
  <c r="I14" i="55"/>
  <c r="K14" i="55"/>
  <c r="E15" i="55"/>
  <c r="G15" i="55"/>
  <c r="I15" i="55"/>
  <c r="K15" i="55"/>
  <c r="C16" i="55"/>
  <c r="E16" i="55"/>
  <c r="G16" i="55"/>
  <c r="I16" i="55"/>
  <c r="K16" i="55"/>
  <c r="C17" i="55"/>
  <c r="E17" i="55"/>
  <c r="G17" i="55"/>
  <c r="I17" i="55"/>
  <c r="K17" i="55"/>
  <c r="C18" i="55"/>
  <c r="E18" i="55"/>
  <c r="G18" i="55"/>
  <c r="I18" i="55"/>
  <c r="K18" i="55"/>
  <c r="C19" i="55"/>
  <c r="E19" i="55"/>
  <c r="G19" i="55"/>
  <c r="I19" i="55"/>
  <c r="K19" i="55"/>
  <c r="E20" i="55"/>
  <c r="G20" i="55"/>
  <c r="I20" i="55"/>
  <c r="K20" i="55"/>
  <c r="E21" i="55"/>
  <c r="G21" i="55"/>
  <c r="I21" i="55"/>
  <c r="K21" i="55"/>
  <c r="E23" i="55"/>
  <c r="G23" i="55"/>
  <c r="I23" i="55"/>
  <c r="K23" i="55"/>
  <c r="E24" i="55"/>
  <c r="G24" i="55"/>
  <c r="I24" i="55"/>
  <c r="K24" i="55"/>
  <c r="E25" i="55"/>
  <c r="G25" i="55"/>
  <c r="I25" i="55"/>
  <c r="K25" i="55"/>
  <c r="E26" i="55"/>
  <c r="G26" i="55"/>
  <c r="I26" i="55"/>
  <c r="K26" i="55"/>
  <c r="E27" i="55"/>
  <c r="G27" i="55"/>
  <c r="I27" i="55"/>
  <c r="K27" i="55"/>
  <c r="E69" i="55"/>
  <c r="G69" i="55"/>
  <c r="I69" i="55"/>
  <c r="K69" i="55"/>
  <c r="E70" i="55"/>
  <c r="G70" i="55"/>
  <c r="I70" i="55"/>
  <c r="K70" i="55"/>
  <c r="E71" i="55"/>
  <c r="G71" i="55"/>
  <c r="I71" i="55"/>
  <c r="K71" i="55"/>
  <c r="E72" i="55"/>
  <c r="G72" i="55"/>
  <c r="I72" i="55"/>
  <c r="K72" i="55"/>
  <c r="E73" i="55"/>
  <c r="G73" i="55"/>
  <c r="I73" i="55"/>
  <c r="K73" i="55"/>
  <c r="E74" i="55"/>
  <c r="G74" i="55"/>
  <c r="I74" i="55"/>
  <c r="K74" i="55"/>
  <c r="E75" i="55"/>
  <c r="G75" i="55"/>
  <c r="I75" i="55"/>
  <c r="K75" i="55"/>
  <c r="E90" i="55"/>
  <c r="G90" i="55"/>
  <c r="I90" i="55"/>
  <c r="K90" i="55"/>
  <c r="E34" i="56"/>
  <c r="G34" i="56"/>
  <c r="I34" i="56"/>
  <c r="K34" i="56"/>
  <c r="E36" i="56"/>
  <c r="G36" i="56"/>
  <c r="I36" i="56"/>
  <c r="K36" i="56"/>
  <c r="E38" i="56"/>
  <c r="G38" i="56"/>
  <c r="I38" i="56"/>
  <c r="K38" i="56"/>
  <c r="E40" i="56"/>
  <c r="G40" i="56"/>
  <c r="I40" i="56"/>
  <c r="K40" i="56"/>
  <c r="C42" i="56"/>
  <c r="E42" i="56"/>
  <c r="G42" i="56"/>
  <c r="I42" i="56"/>
  <c r="K42" i="56"/>
  <c r="C45" i="56"/>
  <c r="E45" i="56"/>
  <c r="G45" i="56"/>
  <c r="I45" i="56"/>
  <c r="K45" i="56"/>
  <c r="C50" i="56"/>
  <c r="E50" i="56"/>
  <c r="G50" i="56"/>
  <c r="I50" i="56"/>
  <c r="K50" i="56"/>
  <c r="E17" i="57"/>
  <c r="G17" i="57"/>
  <c r="I17" i="57"/>
  <c r="K17" i="57"/>
  <c r="C19" i="57"/>
  <c r="E19" i="57"/>
  <c r="G19" i="57"/>
  <c r="I19" i="57"/>
  <c r="K19" i="57"/>
  <c r="C22" i="57"/>
  <c r="E22" i="57"/>
  <c r="G22" i="57"/>
  <c r="I22" i="57"/>
  <c r="K22" i="57"/>
  <c r="C38" i="57"/>
  <c r="E38" i="57"/>
  <c r="G38" i="57"/>
  <c r="I38" i="57"/>
  <c r="K38" i="57"/>
  <c r="E44" i="57"/>
  <c r="G44" i="57"/>
  <c r="I44" i="57"/>
  <c r="K44" i="57"/>
  <c r="E46" i="57"/>
  <c r="G46" i="57"/>
  <c r="I46" i="57"/>
  <c r="K46" i="57"/>
  <c r="C50" i="57"/>
  <c r="E50" i="57"/>
  <c r="G50" i="57"/>
  <c r="I50" i="57"/>
  <c r="K50" i="57"/>
  <c r="C53" i="57"/>
  <c r="E53" i="57"/>
  <c r="G53" i="57"/>
  <c r="I53" i="57"/>
  <c r="K53" i="57"/>
  <c r="C56" i="57"/>
  <c r="E56" i="57"/>
  <c r="G56" i="57"/>
  <c r="I56" i="57"/>
  <c r="K56" i="57"/>
  <c r="C61" i="57"/>
  <c r="E61" i="57"/>
  <c r="G61" i="57"/>
  <c r="I61" i="57"/>
  <c r="K61" i="57"/>
  <c r="C64" i="57"/>
  <c r="E64" i="57"/>
  <c r="G64" i="57"/>
  <c r="I64" i="57"/>
  <c r="K64" i="57"/>
  <c r="E22" i="61"/>
  <c r="G22" i="61"/>
  <c r="I22" i="61"/>
  <c r="K22" i="61"/>
  <c r="E24" i="61"/>
  <c r="G24" i="61"/>
  <c r="I24" i="61"/>
  <c r="K24" i="61"/>
  <c r="E26" i="61"/>
  <c r="G26" i="61"/>
  <c r="I26" i="61"/>
  <c r="K26" i="61"/>
  <c r="C28" i="61"/>
  <c r="E28" i="61"/>
  <c r="G28" i="61"/>
  <c r="I28" i="61"/>
  <c r="K28" i="61"/>
  <c r="C30" i="61"/>
  <c r="E30" i="61"/>
  <c r="G30" i="61"/>
  <c r="I30" i="61"/>
  <c r="K30" i="61"/>
  <c r="C32" i="61"/>
  <c r="E32" i="61"/>
  <c r="G32" i="61"/>
  <c r="I32" i="61"/>
  <c r="K32" i="61"/>
  <c r="E34" i="61"/>
  <c r="G34" i="61"/>
  <c r="I34" i="61"/>
  <c r="K34" i="61"/>
  <c r="E40" i="61"/>
  <c r="G40" i="61"/>
  <c r="I40" i="61"/>
  <c r="K40" i="61"/>
  <c r="E41" i="61"/>
  <c r="G41" i="61"/>
  <c r="I41" i="61"/>
  <c r="K41" i="61"/>
  <c r="E42" i="61"/>
  <c r="G42" i="61"/>
  <c r="I42" i="61"/>
  <c r="K42" i="61"/>
  <c r="C43" i="61"/>
  <c r="E43" i="61"/>
  <c r="G43" i="61"/>
  <c r="I43" i="61"/>
  <c r="K43" i="61"/>
  <c r="C44" i="61"/>
  <c r="E44" i="61"/>
  <c r="G44" i="61"/>
  <c r="I44" i="61"/>
  <c r="K44" i="61"/>
  <c r="C45" i="61"/>
  <c r="E45" i="61"/>
  <c r="G45" i="61"/>
  <c r="I45" i="61"/>
  <c r="K45" i="61"/>
  <c r="E46" i="61"/>
  <c r="G46" i="61"/>
  <c r="I46" i="61"/>
  <c r="K46" i="61"/>
  <c r="C47" i="61"/>
  <c r="E47" i="61"/>
  <c r="G47" i="61"/>
  <c r="I47" i="61"/>
  <c r="K47" i="61"/>
  <c r="C48" i="61"/>
  <c r="E48" i="61"/>
  <c r="G48" i="61"/>
  <c r="I48" i="61"/>
  <c r="K48" i="61"/>
  <c r="C49" i="61"/>
  <c r="E49" i="61"/>
  <c r="G49" i="61"/>
  <c r="I49" i="61"/>
  <c r="K49" i="61"/>
  <c r="C50" i="61"/>
  <c r="E50" i="61"/>
  <c r="G50" i="61"/>
  <c r="I50" i="61"/>
  <c r="K50" i="61"/>
  <c r="E51" i="61"/>
  <c r="G51" i="61"/>
  <c r="I51" i="61"/>
  <c r="K51" i="61"/>
  <c r="E52" i="61"/>
  <c r="G52" i="61"/>
  <c r="I52" i="61"/>
  <c r="K52" i="61"/>
  <c r="E54" i="61"/>
  <c r="G54" i="61"/>
  <c r="I54" i="61"/>
  <c r="K54" i="61"/>
  <c r="E55" i="61"/>
  <c r="G55" i="61"/>
  <c r="I55" i="61"/>
  <c r="K55" i="61"/>
  <c r="E56" i="61"/>
  <c r="G56" i="61"/>
  <c r="I56" i="61"/>
  <c r="K56" i="61"/>
  <c r="E57" i="61"/>
  <c r="G57" i="61"/>
  <c r="I57" i="61"/>
  <c r="K57" i="61"/>
  <c r="E58" i="61"/>
  <c r="G58" i="61"/>
  <c r="I58" i="61"/>
  <c r="K58" i="61"/>
  <c r="E100" i="61"/>
  <c r="G100" i="61"/>
  <c r="I100" i="61"/>
  <c r="K100" i="61"/>
  <c r="E101" i="61"/>
  <c r="G101" i="61"/>
  <c r="I101" i="61"/>
  <c r="K101" i="61"/>
  <c r="E102" i="61"/>
  <c r="G102" i="61"/>
  <c r="I102" i="61"/>
  <c r="K102" i="61"/>
  <c r="E103" i="61"/>
  <c r="G103" i="61"/>
  <c r="I103" i="61"/>
  <c r="K103" i="61"/>
  <c r="E104" i="61"/>
  <c r="G104" i="61"/>
  <c r="I104" i="61"/>
  <c r="K104" i="61"/>
  <c r="E105" i="61"/>
  <c r="G105" i="61"/>
  <c r="I105" i="61"/>
  <c r="K105" i="61"/>
  <c r="E106" i="61"/>
  <c r="G106" i="61"/>
  <c r="I106" i="61"/>
  <c r="K106" i="61"/>
  <c r="E121" i="61"/>
  <c r="G121" i="61"/>
  <c r="I121" i="61"/>
  <c r="K121" i="61"/>
</calcChain>
</file>

<file path=xl/sharedStrings.xml><?xml version="1.0" encoding="utf-8"?>
<sst xmlns="http://schemas.openxmlformats.org/spreadsheetml/2006/main" count="3243" uniqueCount="1398">
  <si>
    <t xml:space="preserve">Parts turnover / Parts stock </t>
  </si>
  <si>
    <t>Stock rotation months</t>
  </si>
  <si>
    <t>Parts stock at sales price</t>
  </si>
  <si>
    <t>Weighted avg</t>
  </si>
  <si>
    <t>gross margin</t>
  </si>
  <si>
    <t>(-)  Initial stock</t>
  </si>
  <si>
    <t>(+)  Closing stock</t>
  </si>
  <si>
    <t>= Change in stock</t>
  </si>
  <si>
    <t>4.3. Purchases during year</t>
  </si>
  <si>
    <t>Purchases</t>
  </si>
  <si>
    <t xml:space="preserve">1. Potential workshop hours consumption on DAF vehicles </t>
  </si>
  <si>
    <t>Service retention DAF vehicles</t>
  </si>
  <si>
    <t>Number of hours other activities</t>
  </si>
  <si>
    <t>Total number of invoiced hours</t>
  </si>
  <si>
    <t>3. Total turnover hours</t>
  </si>
  <si>
    <t>Annual tariff indexation</t>
  </si>
  <si>
    <t>Hour tariffs:</t>
  </si>
  <si>
    <t>DAF service (external invoicing)</t>
  </si>
  <si>
    <t>Preparation trucks (internal invoicing)</t>
  </si>
  <si>
    <t>Other activities</t>
  </si>
  <si>
    <t>Turnover:</t>
  </si>
  <si>
    <t>6.4 SWOT Analysis &amp; Action Plan</t>
  </si>
  <si>
    <t>6.3 After Sales - Service</t>
  </si>
  <si>
    <t>6.2 After Sales - Parts</t>
  </si>
  <si>
    <t xml:space="preserve">DAF service </t>
  </si>
  <si>
    <t xml:space="preserve">Preparation new trucks </t>
  </si>
  <si>
    <t xml:space="preserve">Preparation used trucks </t>
  </si>
  <si>
    <t>4. Outsourced workshop activities</t>
  </si>
  <si>
    <t>Other 1</t>
  </si>
  <si>
    <t>Other 2</t>
  </si>
  <si>
    <t>Hours per mechanic</t>
  </si>
  <si>
    <t xml:space="preserve">Efficiency </t>
  </si>
  <si>
    <t>Productive hours</t>
  </si>
  <si>
    <t>Mechanics DAF</t>
  </si>
  <si>
    <t xml:space="preserve">Workshop managers </t>
  </si>
  <si>
    <t xml:space="preserve">1. Vehicles </t>
  </si>
  <si>
    <t>1. Retail</t>
  </si>
  <si>
    <t>2. Fleet</t>
  </si>
  <si>
    <t>Gross margin</t>
  </si>
  <si>
    <t>Price per vehicle</t>
  </si>
  <si>
    <t>New retail</t>
  </si>
  <si>
    <t>New fleet</t>
  </si>
  <si>
    <t>Used</t>
  </si>
  <si>
    <t>Other</t>
  </si>
  <si>
    <t xml:space="preserve">Total </t>
  </si>
  <si>
    <t>percentage</t>
  </si>
  <si>
    <t>DAF retail</t>
  </si>
  <si>
    <t>other activities</t>
  </si>
  <si>
    <t>2. Parts</t>
  </si>
  <si>
    <t>Workshop DAF</t>
  </si>
  <si>
    <t>Average bonus</t>
  </si>
  <si>
    <t>DAF parts</t>
  </si>
  <si>
    <t>Vehicles</t>
  </si>
  <si>
    <t>Outsourced workshop activities</t>
  </si>
  <si>
    <t>Bonus vehicles</t>
  </si>
  <si>
    <t>Bonus parts</t>
  </si>
  <si>
    <t>1.1    Dealer principal</t>
  </si>
  <si>
    <t>1.2    Controller</t>
  </si>
  <si>
    <t>1.4    After sales manager</t>
  </si>
  <si>
    <t>1.5    Sales Manager</t>
  </si>
  <si>
    <t>1.6    Salesmen</t>
  </si>
  <si>
    <t xml:space="preserve">1.8    Mechanics DAF </t>
  </si>
  <si>
    <t>1.11  Workshop managers</t>
  </si>
  <si>
    <t>1.12  Warehouse clerks</t>
  </si>
  <si>
    <t>1.14  Parts sales manager</t>
  </si>
  <si>
    <t>1.15  Parts manager</t>
  </si>
  <si>
    <t>Total personnel</t>
  </si>
  <si>
    <t>Yearly indexation</t>
  </si>
  <si>
    <t>3. Other</t>
  </si>
  <si>
    <t>Total cost</t>
  </si>
  <si>
    <t xml:space="preserve">Number </t>
  </si>
  <si>
    <t>2.2. Controller</t>
  </si>
  <si>
    <t>2.5. Sales manager</t>
  </si>
  <si>
    <t>2.6. Salesmen</t>
  </si>
  <si>
    <t xml:space="preserve">     Fixed</t>
  </si>
  <si>
    <t xml:space="preserve">     Variable </t>
  </si>
  <si>
    <t xml:space="preserve">3. Other </t>
  </si>
  <si>
    <t>2.8. Mechanics DAF</t>
  </si>
  <si>
    <t>2.10. Workshop administration &amp; other</t>
  </si>
  <si>
    <t>2.12. Warehouse clerks</t>
  </si>
  <si>
    <t>2.14. Parts sales manager</t>
  </si>
  <si>
    <t>Total cost of personnel</t>
  </si>
  <si>
    <t>Annual indexation</t>
  </si>
  <si>
    <t xml:space="preserve">Company vehicles </t>
  </si>
  <si>
    <t>Company cars</t>
  </si>
  <si>
    <t>Office supplies</t>
  </si>
  <si>
    <t>Other supply (tools,…)</t>
  </si>
  <si>
    <t>Policy expense (coulances,…)</t>
  </si>
  <si>
    <t>Energy</t>
  </si>
  <si>
    <t>Computer expenses</t>
  </si>
  <si>
    <t>Travel &amp; Subsistance</t>
  </si>
  <si>
    <t>Outsourced services (bookkeeping, …)</t>
  </si>
  <si>
    <t>Communication</t>
  </si>
  <si>
    <t>Training</t>
  </si>
  <si>
    <t>Repair &amp; Maintenance Assets</t>
  </si>
  <si>
    <t xml:space="preserve">Demonstration vehicles </t>
  </si>
  <si>
    <t>Miscellaneous</t>
  </si>
  <si>
    <t xml:space="preserve">Rent </t>
  </si>
  <si>
    <t>Taxes (real estate, environment,…)</t>
  </si>
  <si>
    <t>Insurance</t>
  </si>
  <si>
    <t>Gen. &amp;</t>
  </si>
  <si>
    <t>Suggested allocation keys</t>
  </si>
  <si>
    <t>new</t>
  </si>
  <si>
    <t>used</t>
  </si>
  <si>
    <t>other</t>
  </si>
  <si>
    <t>Admin.</t>
  </si>
  <si>
    <t>number of vehicles</t>
  </si>
  <si>
    <t>number of cars</t>
  </si>
  <si>
    <t>number of desks</t>
  </si>
  <si>
    <t>usage</t>
  </si>
  <si>
    <t>m²</t>
  </si>
  <si>
    <t>turnover</t>
  </si>
  <si>
    <t>number of screens</t>
  </si>
  <si>
    <t>Outsourced services</t>
  </si>
  <si>
    <t>number of connections</t>
  </si>
  <si>
    <t>Demonstration vehicles</t>
  </si>
  <si>
    <t>new dealers only</t>
  </si>
  <si>
    <t>opening</t>
  </si>
  <si>
    <t>balance</t>
  </si>
  <si>
    <t>Land</t>
  </si>
  <si>
    <r>
      <t xml:space="preserve">Vehicle Parc Standstill % </t>
    </r>
    <r>
      <rPr>
        <sz val="8"/>
        <rFont val="Trebuchet MS"/>
        <family val="2"/>
      </rPr>
      <t>(input in 5.1)</t>
    </r>
  </si>
  <si>
    <t>Building</t>
  </si>
  <si>
    <t>Computers</t>
  </si>
  <si>
    <t xml:space="preserve">Vehicles </t>
  </si>
  <si>
    <t xml:space="preserve">Other </t>
  </si>
  <si>
    <t xml:space="preserve">Total investments </t>
  </si>
  <si>
    <t>annual</t>
  </si>
  <si>
    <t>depreciations</t>
  </si>
  <si>
    <t>depreciation</t>
  </si>
  <si>
    <t>YTD</t>
  </si>
  <si>
    <t>amount</t>
  </si>
  <si>
    <t>a. Intangible fixed assets</t>
  </si>
  <si>
    <t>b. Tangible fixed assets</t>
  </si>
  <si>
    <t xml:space="preserve">     Land</t>
  </si>
  <si>
    <t xml:space="preserve">     Building</t>
  </si>
  <si>
    <t xml:space="preserve">     Installations  &amp; Equipment</t>
  </si>
  <si>
    <t xml:space="preserve">     Computers</t>
  </si>
  <si>
    <t xml:space="preserve">     Furniture &amp; fixtures</t>
  </si>
  <si>
    <t xml:space="preserve">     Demonstration vehicles</t>
  </si>
  <si>
    <t xml:space="preserve">     Other </t>
  </si>
  <si>
    <t xml:space="preserve">     Total tangible fixed assets</t>
  </si>
  <si>
    <t>Total depreciations</t>
  </si>
  <si>
    <t>A. Intangible fixed assets</t>
  </si>
  <si>
    <t>Depreciations</t>
  </si>
  <si>
    <t>Investments</t>
  </si>
  <si>
    <t>years</t>
  </si>
  <si>
    <t>Total depr.</t>
  </si>
  <si>
    <t>B. Tangible fixed assets</t>
  </si>
  <si>
    <t xml:space="preserve">Total depr. </t>
  </si>
  <si>
    <t>1.VAT general</t>
  </si>
  <si>
    <t>Days</t>
  </si>
  <si>
    <t>Oil &amp; lubricants</t>
  </si>
  <si>
    <t>A. Investments</t>
  </si>
  <si>
    <t>B. Purchases</t>
  </si>
  <si>
    <t>Parts DAF</t>
  </si>
  <si>
    <t>C. Expenses (after corrections)(*)</t>
  </si>
  <si>
    <t>(*) corrections = rent of building, taxes and insurance</t>
  </si>
  <si>
    <t>4. VAT balance</t>
  </si>
  <si>
    <t>1. Long term requirements (after depreciations)</t>
  </si>
  <si>
    <t>Intangible fixed assets</t>
  </si>
  <si>
    <t>Tangible fixed assets</t>
  </si>
  <si>
    <t>Financial fixed assets</t>
  </si>
  <si>
    <t>Initial stock parts</t>
  </si>
  <si>
    <t>Initial stock used trucks</t>
  </si>
  <si>
    <t>2. Short term requirements (after depreciations)</t>
  </si>
  <si>
    <t xml:space="preserve">2.1. Trade receivables </t>
  </si>
  <si>
    <t>Actual Days of Sales</t>
  </si>
  <si>
    <t>Outstanding</t>
  </si>
  <si>
    <t xml:space="preserve">Workshop DAF </t>
  </si>
  <si>
    <t>2.2. Inventories</t>
  </si>
  <si>
    <t>Days On Hand</t>
  </si>
  <si>
    <t>Change in stock parts</t>
  </si>
  <si>
    <t>Change in stock used trucks</t>
  </si>
  <si>
    <t>2.3. Trade payables</t>
  </si>
  <si>
    <t xml:space="preserve">Days of Payables </t>
  </si>
  <si>
    <t>Expenses</t>
  </si>
  <si>
    <t>Total trade payables</t>
  </si>
  <si>
    <t>Total trade receivables (+)</t>
  </si>
  <si>
    <t>Total trade payables (-)</t>
  </si>
  <si>
    <t>Cash (+)</t>
  </si>
  <si>
    <t>Dividends</t>
  </si>
  <si>
    <t>Total requirements (LT +ST)</t>
  </si>
  <si>
    <t>LT- Requirements</t>
  </si>
  <si>
    <t>ST- Requirements</t>
  </si>
  <si>
    <t>2. Increase in capital</t>
  </si>
  <si>
    <t xml:space="preserve">3. Reserves </t>
  </si>
  <si>
    <t>Total equity  &amp; associated means</t>
  </si>
  <si>
    <t>Years</t>
  </si>
  <si>
    <t>Amount</t>
  </si>
  <si>
    <t>Opening or previous years</t>
  </si>
  <si>
    <t>ST requirements</t>
  </si>
  <si>
    <t>Cash surplus</t>
  </si>
  <si>
    <t xml:space="preserve">average </t>
  </si>
  <si>
    <t>LT loans</t>
  </si>
  <si>
    <t>ST loans</t>
  </si>
  <si>
    <t>Year =</t>
  </si>
  <si>
    <t>New</t>
  </si>
  <si>
    <t>Gen. &amp; Admin.</t>
  </si>
  <si>
    <t>Total (incl. internal)</t>
  </si>
  <si>
    <t>TOTAL (excl. Internal)</t>
  </si>
  <si>
    <t>Turnover</t>
  </si>
  <si>
    <t>External</t>
  </si>
  <si>
    <t xml:space="preserve">     DAF</t>
  </si>
  <si>
    <t xml:space="preserve">     Other</t>
  </si>
  <si>
    <t xml:space="preserve">     Tyres</t>
  </si>
  <si>
    <t xml:space="preserve">     Oil &amp; Lubricants</t>
  </si>
  <si>
    <t>Internal</t>
  </si>
  <si>
    <t>Total turnover</t>
  </si>
  <si>
    <t>Cost of sales</t>
  </si>
  <si>
    <t>Salaries &amp; Wages</t>
  </si>
  <si>
    <t>Bonus supplier on sales</t>
  </si>
  <si>
    <t>Total Cost of Sales</t>
  </si>
  <si>
    <t>Gross Profit/Loss</t>
  </si>
  <si>
    <t>Sales Promotion &amp; Adv.</t>
  </si>
  <si>
    <t xml:space="preserve">Outsourced services </t>
  </si>
  <si>
    <t>Interest cost ST loans</t>
  </si>
  <si>
    <t>Interest cost LT loans</t>
  </si>
  <si>
    <t>Taxes (real estate, …)</t>
  </si>
  <si>
    <t>Operating profit/loss per activity</t>
  </si>
  <si>
    <t xml:space="preserve">Year = </t>
  </si>
  <si>
    <t>Extraordinary income</t>
  </si>
  <si>
    <t>Extraordinary costs</t>
  </si>
  <si>
    <t>Provisions</t>
  </si>
  <si>
    <t>Taxation</t>
  </si>
  <si>
    <t>Reserves</t>
  </si>
  <si>
    <t>Dividends (*)</t>
  </si>
  <si>
    <t>Retained profit/loss</t>
  </si>
  <si>
    <t>(*) Funding implications</t>
  </si>
  <si>
    <t>a. Fixed assets</t>
  </si>
  <si>
    <t xml:space="preserve">     Vehicles</t>
  </si>
  <si>
    <t>Total Fixed Assets</t>
  </si>
  <si>
    <t>b. Current assets</t>
  </si>
  <si>
    <t>Inventories</t>
  </si>
  <si>
    <t xml:space="preserve">    Parts</t>
  </si>
  <si>
    <t xml:space="preserve">    Other</t>
  </si>
  <si>
    <t>Equilibrium</t>
  </si>
  <si>
    <t>a. Equity</t>
  </si>
  <si>
    <t>Revaluation reserves</t>
  </si>
  <si>
    <t>History</t>
  </si>
  <si>
    <t>Forecast</t>
  </si>
  <si>
    <t>Copy of Chamber of Commerce registration</t>
  </si>
  <si>
    <t>Subordinated loans</t>
  </si>
  <si>
    <t>Long term loans</t>
  </si>
  <si>
    <t>Trade payables</t>
  </si>
  <si>
    <t>Banks</t>
  </si>
  <si>
    <t>Total short term debts</t>
  </si>
  <si>
    <t>2. Margins</t>
  </si>
  <si>
    <t>3. Profitability</t>
  </si>
  <si>
    <t>4. Liquidity</t>
  </si>
  <si>
    <t>4.1 Current ratio</t>
  </si>
  <si>
    <t>4.2 Quick ratio</t>
  </si>
  <si>
    <t>4.3 Working capital</t>
  </si>
  <si>
    <t>5.1 Stock days on hand (DOH)</t>
  </si>
  <si>
    <t>5.1.3 Parts</t>
  </si>
  <si>
    <t>5.2 Days sales outstanding (DSO)</t>
  </si>
  <si>
    <t xml:space="preserve">6. Solvency </t>
  </si>
  <si>
    <t>7. Interest coverage</t>
  </si>
  <si>
    <t>1. Service retention</t>
  </si>
  <si>
    <t>2. Parts retention</t>
  </si>
  <si>
    <t>Correction margin preparation new and used vehicles</t>
  </si>
  <si>
    <t>Total expenses</t>
  </si>
  <si>
    <t xml:space="preserve">    Depreciation</t>
  </si>
  <si>
    <t>1.2.1 Changes in current assets</t>
  </si>
  <si>
    <t xml:space="preserve">   Total</t>
  </si>
  <si>
    <t>1.2.2 Changes in current liabilities</t>
  </si>
  <si>
    <t xml:space="preserve">   Total </t>
  </si>
  <si>
    <t xml:space="preserve">    (Increase)/Decrease intangible fixed assets</t>
  </si>
  <si>
    <t xml:space="preserve">    (Increase)/Decrease tangible fixed assets (land, building, equipment,…)</t>
  </si>
  <si>
    <t xml:space="preserve">    (Increase)/Decrease financial fixed assets</t>
  </si>
  <si>
    <t>Increase/(Decrease) in equity (excl. Profit/loss)</t>
  </si>
  <si>
    <t>Increase/(Decrease) in LT funds</t>
  </si>
  <si>
    <t>park</t>
  </si>
  <si>
    <t>parts</t>
  </si>
  <si>
    <t>totaal</t>
  </si>
  <si>
    <t>Second Year</t>
  </si>
  <si>
    <t>Third Year</t>
  </si>
  <si>
    <t>Totaal</t>
  </si>
  <si>
    <t>Fourth Year</t>
  </si>
  <si>
    <t>Fifth Year</t>
  </si>
  <si>
    <t>Number of days after VAT declaration</t>
  </si>
  <si>
    <t xml:space="preserve">   of payment VAT to VAT authorities</t>
  </si>
  <si>
    <t xml:space="preserve">   of receiption VAT from VAT authorities</t>
  </si>
  <si>
    <r>
      <t xml:space="preserve">Number of Vehicles: </t>
    </r>
    <r>
      <rPr>
        <sz val="10"/>
        <rFont val="Trebuchet MS"/>
        <family val="2"/>
      </rPr>
      <t>The DAF vehicle parc will be used to calculate the full After Sales Potential for the DAF vehicles</t>
    </r>
  </si>
  <si>
    <t>Total received and to be paid</t>
  </si>
  <si>
    <t>Total paid and to be recovered</t>
  </si>
  <si>
    <t>Standard payment term in days</t>
  </si>
  <si>
    <t>VAT on tangible fixed assets</t>
  </si>
  <si>
    <t>VAT to be recovered</t>
  </si>
  <si>
    <t>VAT to be paid</t>
  </si>
  <si>
    <t>Austria</t>
  </si>
  <si>
    <t>Belgium</t>
  </si>
  <si>
    <t>Bulgaria</t>
  </si>
  <si>
    <t>Denmark</t>
  </si>
  <si>
    <t>France</t>
  </si>
  <si>
    <t>Finland</t>
  </si>
  <si>
    <t>Germany</t>
  </si>
  <si>
    <t>Greece</t>
  </si>
  <si>
    <t>Hungary</t>
  </si>
  <si>
    <t>Ireland</t>
  </si>
  <si>
    <t>Israel</t>
  </si>
  <si>
    <t>Italy</t>
  </si>
  <si>
    <t>Netherlands</t>
  </si>
  <si>
    <t>Norway</t>
  </si>
  <si>
    <t>Poland</t>
  </si>
  <si>
    <t>Portugal</t>
  </si>
  <si>
    <t>Romania</t>
  </si>
  <si>
    <t>Spain</t>
  </si>
  <si>
    <t>Sweden</t>
  </si>
  <si>
    <t>Switzerland</t>
  </si>
  <si>
    <t>Chamber of Commerce seat</t>
  </si>
  <si>
    <t>5.1 DAF Vehicle Parc (Input)</t>
  </si>
  <si>
    <t>if yes, which functionalities</t>
  </si>
  <si>
    <t>Invoicing</t>
  </si>
  <si>
    <t>Customer Database</t>
  </si>
  <si>
    <t>Trace</t>
  </si>
  <si>
    <t>7. Dealer Management IT system</t>
  </si>
  <si>
    <t>******</t>
  </si>
  <si>
    <t>Turkey</t>
  </si>
  <si>
    <t>3. Analysis running parc development DAF and other makes</t>
  </si>
  <si>
    <t>Financial need (-) or surplus (+) on long term</t>
  </si>
  <si>
    <t>3. Decision required number of parts personnel</t>
  </si>
  <si>
    <t>Required number of parts personnel</t>
  </si>
  <si>
    <t>Administration, drivers and reception</t>
  </si>
  <si>
    <t>Total parts personnel</t>
  </si>
  <si>
    <t>Turnover per person</t>
  </si>
  <si>
    <t>2.5. Total Short Term requirements</t>
  </si>
  <si>
    <t>VAT to be paid (-) or to be recovered (+)</t>
  </si>
  <si>
    <t>VAT balance</t>
  </si>
  <si>
    <t>VAT on investments (-)</t>
  </si>
  <si>
    <t>c. Financial fixed assets</t>
  </si>
  <si>
    <t>Total fixed assets</t>
  </si>
  <si>
    <t>ISO-certificate 9001</t>
  </si>
  <si>
    <t>ISO-certificate 14001</t>
  </si>
  <si>
    <t>Chamber of Commerce number Holding</t>
  </si>
  <si>
    <t>1.2 Depreciations on the fixed assets which were already on the balance sheet before the basisyear</t>
  </si>
  <si>
    <t xml:space="preserve">    Goodwill</t>
  </si>
  <si>
    <t xml:space="preserve">    Start up costs</t>
  </si>
  <si>
    <t xml:space="preserve">     Participations</t>
  </si>
  <si>
    <t xml:space="preserve">4. Total depreciations on assets </t>
  </si>
  <si>
    <t>1. Fixed assets already on balance sheet of existing dealer before start basis year (to be skipped for new dealers)</t>
  </si>
  <si>
    <t>5. Map of country with hub dealer area highlighted</t>
  </si>
  <si>
    <t>1. Total running DAF parc in dealer area in year before basic year</t>
  </si>
  <si>
    <t>3. Turnover other products</t>
  </si>
  <si>
    <t>Turnover other products</t>
  </si>
  <si>
    <t>Closing stock in units</t>
  </si>
  <si>
    <t>Month</t>
  </si>
  <si>
    <t>Day</t>
  </si>
  <si>
    <t>2.4.  VAT on investments (and part of the outstanding amounts to be paid)</t>
  </si>
  <si>
    <t>Number of days between two VAT declarations</t>
  </si>
  <si>
    <t xml:space="preserve">    Parts stock, new or existing dealer</t>
  </si>
  <si>
    <t xml:space="preserve">    Used trucks stock, new or existing dealer</t>
  </si>
  <si>
    <t>C. Calculation absorption rate</t>
  </si>
  <si>
    <t>B. Operational ratios</t>
  </si>
  <si>
    <t>A. Financial ratios</t>
  </si>
  <si>
    <t>3. Productivity workshop</t>
  </si>
  <si>
    <t>Total gross profit excluding vehicle sales (1)</t>
  </si>
  <si>
    <t xml:space="preserve">       (= ROCE or ROA)</t>
  </si>
  <si>
    <t>Truck inventory financing</t>
  </si>
  <si>
    <t>Increase/(Decrease) in truck inventory financing</t>
  </si>
  <si>
    <t>1. Summary funding requirements</t>
  </si>
  <si>
    <t>2. Long term funding</t>
  </si>
  <si>
    <t>2.1. Equity &amp; associated means</t>
  </si>
  <si>
    <t xml:space="preserve">1. Paid-in capital </t>
  </si>
  <si>
    <t>4. Revaluation reserves</t>
  </si>
  <si>
    <t>2.2. Long term funding (&gt;= 1 Year)</t>
  </si>
  <si>
    <t>a. Long term debt structure</t>
  </si>
  <si>
    <t xml:space="preserve">3. Short term funding </t>
  </si>
  <si>
    <t>New trucks</t>
  </si>
  <si>
    <t>Other products</t>
  </si>
  <si>
    <t>3.2. Short term debt structure</t>
  </si>
  <si>
    <t xml:space="preserve">Total short term financing </t>
  </si>
  <si>
    <t>Vehicles new</t>
  </si>
  <si>
    <t>Vehicles used</t>
  </si>
  <si>
    <t>Parts counter DAF</t>
  </si>
  <si>
    <t>Parts counter other activities</t>
  </si>
  <si>
    <t xml:space="preserve">New trucks </t>
  </si>
  <si>
    <t>Short term requirements</t>
  </si>
  <si>
    <t>Available short term means</t>
  </si>
  <si>
    <t>VAT tariff</t>
  </si>
  <si>
    <t>Furniture &amp; fixtures</t>
  </si>
  <si>
    <t>Parts other activities</t>
  </si>
  <si>
    <t xml:space="preserve">    Stock parts</t>
  </si>
  <si>
    <t xml:space="preserve">    Stock used trucks</t>
  </si>
  <si>
    <t xml:space="preserve">     Installations  &amp; equipment</t>
  </si>
  <si>
    <t>Installations &amp; equipment</t>
  </si>
  <si>
    <t>d. Change in inventory</t>
  </si>
  <si>
    <t xml:space="preserve">     Installations &amp; equipment</t>
  </si>
  <si>
    <t>Travel &amp; subsistance</t>
  </si>
  <si>
    <t xml:space="preserve">Sales promotion &amp; advertising </t>
  </si>
  <si>
    <t>Repair &amp; maintenance assets</t>
  </si>
  <si>
    <t>1. Number of personnel</t>
  </si>
  <si>
    <t>1.3    General &amp; administration</t>
  </si>
  <si>
    <t>1.7    Sales administration &amp; other</t>
  </si>
  <si>
    <t>1.9    Mechanics other activities</t>
  </si>
  <si>
    <t>1.10  Workshop administration &amp; other</t>
  </si>
  <si>
    <t>1.13  Warehouse administration &amp; other</t>
  </si>
  <si>
    <t>2.1. Dealer principal</t>
  </si>
  <si>
    <t>2. Annual personnel cost</t>
  </si>
  <si>
    <t>Number of years to calculate potential</t>
  </si>
  <si>
    <t>Maximum years vehicle in potential</t>
  </si>
  <si>
    <t>8. Change operating expenses</t>
  </si>
  <si>
    <t>1. Average gross salary</t>
  </si>
  <si>
    <t>2. Social security and taxes employer</t>
  </si>
  <si>
    <t>2.15. Parts manager</t>
  </si>
  <si>
    <t>2.13. Warehouse administration &amp; other</t>
  </si>
  <si>
    <t>2.11. Workshop managers</t>
  </si>
  <si>
    <t>2.9. Mechanics other activities</t>
  </si>
  <si>
    <t>2.7. Sales administration &amp; other</t>
  </si>
  <si>
    <t>2.4. After sales manager</t>
  </si>
  <si>
    <t>2.3. General &amp; administration</t>
  </si>
  <si>
    <t>Total other</t>
  </si>
  <si>
    <t>1.5. Annual bonus, DAF and other activities</t>
  </si>
  <si>
    <t>Preparation new</t>
  </si>
  <si>
    <t>Preparation used</t>
  </si>
  <si>
    <t>Counter other activ.</t>
  </si>
  <si>
    <t>2.2. Annual bonus DAF and other activities</t>
  </si>
  <si>
    <t>Hours new</t>
  </si>
  <si>
    <t>Hours used</t>
  </si>
  <si>
    <t>Total turnover hours</t>
  </si>
  <si>
    <t>Body &amp; paint</t>
  </si>
  <si>
    <t>Mechanics other activities</t>
  </si>
  <si>
    <t>Other activities (used, trailers, bodies,…)</t>
  </si>
  <si>
    <t>Administration &amp; other</t>
  </si>
  <si>
    <t>Annual price increase DAF parts</t>
  </si>
  <si>
    <t>Total turnover vehicles</t>
  </si>
  <si>
    <t xml:space="preserve">    Avg. volume per year per salesman</t>
  </si>
  <si>
    <t>4. Administration &amp; other</t>
  </si>
  <si>
    <t>5. Sales manager</t>
  </si>
  <si>
    <t xml:space="preserve">4. DAF volume mix </t>
  </si>
  <si>
    <t>Gross profit / loss</t>
  </si>
  <si>
    <t>Operating profit / loss</t>
  </si>
  <si>
    <t>Profit / loss before tax</t>
  </si>
  <si>
    <t>Net profit / loss</t>
  </si>
  <si>
    <t>Changes in equity</t>
  </si>
  <si>
    <t>Total assets</t>
  </si>
  <si>
    <t>Total current assets</t>
  </si>
  <si>
    <t xml:space="preserve">    New trucks</t>
  </si>
  <si>
    <t xml:space="preserve">    Used trucks</t>
  </si>
  <si>
    <t xml:space="preserve">     Installations &amp; Equipment</t>
  </si>
  <si>
    <t>Total equity</t>
  </si>
  <si>
    <t>Total long term debts</t>
  </si>
  <si>
    <t>Permanent funds (equity + LT debts)</t>
  </si>
  <si>
    <t>Total debts</t>
  </si>
  <si>
    <t xml:space="preserve">Total liabilities </t>
  </si>
  <si>
    <t>2.1 Gross margin</t>
  </si>
  <si>
    <t>3.3 Profit before interest and tax / Permanent funds</t>
  </si>
  <si>
    <t xml:space="preserve">3.2 Net profit / Equity </t>
  </si>
  <si>
    <t>3.1 Profit before tax / Equity (= ROE or ROI)</t>
  </si>
  <si>
    <t>2.5 Net profit / Turnover</t>
  </si>
  <si>
    <t>2.4 Profit before interest and tax / Turnover</t>
  </si>
  <si>
    <t>2.2 Gross operating profit / Turnover</t>
  </si>
  <si>
    <t>5. Working capital cycle</t>
  </si>
  <si>
    <t>5.1.1 New trucks</t>
  </si>
  <si>
    <t>5.1.2 Other products</t>
  </si>
  <si>
    <t>8. Salaries &amp; wages / Gross margin</t>
  </si>
  <si>
    <t>Total gross profit / loss</t>
  </si>
  <si>
    <t>Correction gross profit vehicle sales</t>
  </si>
  <si>
    <t>Truck inventory financing (3)</t>
  </si>
  <si>
    <t>75%-100%</t>
  </si>
  <si>
    <t xml:space="preserve">    Net profit / loss</t>
  </si>
  <si>
    <t xml:space="preserve">    (Increase) / Decrease in accounts receivable</t>
  </si>
  <si>
    <t xml:space="preserve">    (Increase)/Decrease in inventories</t>
  </si>
  <si>
    <t>Total parc</t>
  </si>
  <si>
    <t xml:space="preserve">    (Increase)/Decrease in other current assets (excl. cash/banks)</t>
  </si>
  <si>
    <t xml:space="preserve">    Increase/(Decrease) in other current liabilities (excl. banks &amp; financing)</t>
  </si>
  <si>
    <t xml:space="preserve">    Increase/(Decrease) in accounts payable</t>
  </si>
  <si>
    <t>Human resources</t>
  </si>
  <si>
    <t>Total liabilities</t>
  </si>
  <si>
    <t>Average number of days outstanding receivables:</t>
  </si>
  <si>
    <t>Average number of days outstanding payables:</t>
  </si>
  <si>
    <t>Overdue percentage</t>
  </si>
  <si>
    <t>2.2 Preparation new and used trucks (internal invoiced hours as part of the total invoiced hours)</t>
  </si>
  <si>
    <t>2.1 Total parts turnover (after discount)</t>
  </si>
  <si>
    <t>2.2 Preparation new and used trucks (internal invoiced parts as part of the total invoiced parts)</t>
  </si>
  <si>
    <t xml:space="preserve">2.3 Split total parts turnover over counter and workshop </t>
  </si>
  <si>
    <t>5.1 Required number of mechanics</t>
  </si>
  <si>
    <t>5.2 Decision number of mechanics</t>
  </si>
  <si>
    <t>3.1. Percentage of inventory financing</t>
  </si>
  <si>
    <t>Others</t>
  </si>
  <si>
    <t>Repair &amp; Maintenance Contracts</t>
  </si>
  <si>
    <t>3. Strengths of the products &amp; services</t>
  </si>
  <si>
    <t>4. Weaknesses of the products &amp; services</t>
  </si>
  <si>
    <t>Reference Sheet</t>
  </si>
  <si>
    <t>Dealer Business Plan</t>
  </si>
  <si>
    <t>Result in the year</t>
  </si>
  <si>
    <t>Price increase</t>
  </si>
  <si>
    <t>1.1. New : Gross margin (of turnover) &amp; average purchase cost per vehicle excluding accessories &amp; bodies mounted by dealer</t>
  </si>
  <si>
    <t>1.2. Used: Gross margin (of turnover) &amp; average purchase cost per vehicle</t>
  </si>
  <si>
    <t>1.3. Other: Gross margin (of turnover) &amp; purchase costs</t>
  </si>
  <si>
    <t>3. Outsourced workshop activities: gross margin (of turnover) &amp; cost of sales</t>
  </si>
  <si>
    <t>DSO</t>
  </si>
  <si>
    <t>DOH</t>
  </si>
  <si>
    <t>DPO</t>
  </si>
  <si>
    <t>days</t>
  </si>
  <si>
    <t xml:space="preserve">Margin </t>
  </si>
  <si>
    <t>Margin</t>
  </si>
  <si>
    <t>4. Parts stock</t>
  </si>
  <si>
    <t>4.2. Change in stock at purchase price (based on sales price)</t>
  </si>
  <si>
    <t>Stock order percentage DAF</t>
  </si>
  <si>
    <t>Total 6 -15 ton</t>
  </si>
  <si>
    <t>Total &gt; 15 ton</t>
  </si>
  <si>
    <t>% Counter DAF vehicles to spokes</t>
  </si>
  <si>
    <t>Counter DAF vehicles to spokes</t>
  </si>
  <si>
    <t>Counter DAF vehicles to others</t>
  </si>
  <si>
    <t>Counter DAF to spokes</t>
  </si>
  <si>
    <t>Counter DAF to others</t>
  </si>
  <si>
    <t>% to be serviced by spokes</t>
  </si>
  <si>
    <t>Potential for dealer</t>
  </si>
  <si>
    <t>Parts counter DAF to spokes</t>
  </si>
  <si>
    <t>Parts counter DAF to others</t>
  </si>
  <si>
    <t>Weighted average margin DAF parts</t>
  </si>
  <si>
    <t>Indicator</t>
  </si>
  <si>
    <t>Price</t>
  </si>
  <si>
    <t>Image</t>
  </si>
  <si>
    <t>Used truck price</t>
  </si>
  <si>
    <t>Trading Name (s)</t>
  </si>
  <si>
    <t>Postal code</t>
  </si>
  <si>
    <t>City</t>
  </si>
  <si>
    <t>Telephone number</t>
  </si>
  <si>
    <t>Web-site</t>
  </si>
  <si>
    <t>Legal entity</t>
  </si>
  <si>
    <t>Chamber of Commerce number</t>
  </si>
  <si>
    <t>Main Make</t>
  </si>
  <si>
    <t>Avg.</t>
  </si>
  <si>
    <t>Sector</t>
  </si>
  <si>
    <t>Construction</t>
  </si>
  <si>
    <t>Food/Beverages</t>
  </si>
  <si>
    <t>Bulk</t>
  </si>
  <si>
    <t>Container</t>
  </si>
  <si>
    <t>Automotive</t>
  </si>
  <si>
    <t>5.4.3 Competitive Analysis SWOT</t>
  </si>
  <si>
    <t>Other makes</t>
  </si>
  <si>
    <t>2. Economic situation dealer area</t>
  </si>
  <si>
    <t>7. Parc Trailer</t>
  </si>
  <si>
    <t>1.1 Fixed asset value at beginning of basis year and desinvestments over years after, excluding depreciations</t>
  </si>
  <si>
    <t>6. Vehicle Parc Stand Still</t>
  </si>
  <si>
    <t>101-250</t>
  </si>
  <si>
    <t>&gt;250</t>
  </si>
  <si>
    <t>DAF Business Plan</t>
  </si>
  <si>
    <t>Average sales price</t>
  </si>
  <si>
    <t>Limited liability</t>
  </si>
  <si>
    <t>3. Major fleets/other customers in the area</t>
  </si>
  <si>
    <t>Highlights Business Plan/Executive summary</t>
  </si>
  <si>
    <t>2.1 Average sales price</t>
  </si>
  <si>
    <t>Turnover 6 - 15t</t>
  </si>
  <si>
    <t>Turnover &gt; 15t</t>
  </si>
  <si>
    <t>5.1 DAF Vehicle Parc Input</t>
  </si>
  <si>
    <t>Chapter 8</t>
  </si>
  <si>
    <t>Intro</t>
  </si>
  <si>
    <t>1. New Truck Market size country</t>
  </si>
  <si>
    <t>6. Vehicle Parc Other makes</t>
  </si>
  <si>
    <t>Owner/Partner/Director name</t>
  </si>
  <si>
    <t>1. Market size dealer area</t>
  </si>
  <si>
    <t>- Economic growth:</t>
  </si>
  <si>
    <t>- Economic developments:</t>
  </si>
  <si>
    <t>- Inflation:</t>
  </si>
  <si>
    <t>- Interest development:</t>
  </si>
  <si>
    <t>- Infrastructure development:</t>
  </si>
  <si>
    <t>-Truck market developments (future 4 years):</t>
  </si>
  <si>
    <t>Date of Birth</t>
  </si>
  <si>
    <t>Education</t>
  </si>
  <si>
    <t>Working experience</t>
  </si>
  <si>
    <t>DAF 105</t>
  </si>
  <si>
    <t>Provision bad debts</t>
  </si>
  <si>
    <t>Interest cost subordinated loans</t>
  </si>
  <si>
    <t>Inventory (+)</t>
  </si>
  <si>
    <t>5. Retained earnings previous years</t>
  </si>
  <si>
    <t>Retained earnings</t>
  </si>
  <si>
    <t>PLN</t>
  </si>
  <si>
    <t>CHF</t>
  </si>
  <si>
    <t>NOK</t>
  </si>
  <si>
    <t>SKK</t>
  </si>
  <si>
    <t>CZK</t>
  </si>
  <si>
    <t>SEK</t>
  </si>
  <si>
    <t>Dealer location:</t>
  </si>
  <si>
    <t>Dealer Network</t>
  </si>
  <si>
    <t>1.1.1 Average turnover per vehicle excluding bodies and VAT, but including assessories</t>
  </si>
  <si>
    <t>1.1.2 Average turnover fleet sales per vehicle excluding bodies and VAT, but including assessories</t>
  </si>
  <si>
    <t xml:space="preserve">    Other + WIP</t>
  </si>
  <si>
    <t>Cash &amp; bank</t>
  </si>
  <si>
    <t>Total operating expenses</t>
  </si>
  <si>
    <t>Share capital</t>
  </si>
  <si>
    <t>5.3 Days payables outstanding  (DPO)</t>
  </si>
  <si>
    <t>Operating margin</t>
  </si>
  <si>
    <t>Return on sales</t>
  </si>
  <si>
    <t>Return on assets</t>
  </si>
  <si>
    <t>Return on equity</t>
  </si>
  <si>
    <t>Absorption</t>
  </si>
  <si>
    <t>Debt/equity</t>
  </si>
  <si>
    <t>Current ratio</t>
  </si>
  <si>
    <t>Quick ratio</t>
  </si>
  <si>
    <t xml:space="preserve">Solvency </t>
  </si>
  <si>
    <t>Days sales outstanding (DSO)</t>
  </si>
  <si>
    <t>Days payables outstanding  (DPO)</t>
  </si>
  <si>
    <t>Sales Mix</t>
  </si>
  <si>
    <t>Deliveries</t>
  </si>
  <si>
    <t>Sales</t>
  </si>
  <si>
    <t>Operating expense %</t>
  </si>
  <si>
    <t>Inventory turns</t>
  </si>
  <si>
    <t>Inventory DOH</t>
  </si>
  <si>
    <t>1. General</t>
  </si>
  <si>
    <t>2. New truck department</t>
  </si>
  <si>
    <t>3. Used truck department</t>
  </si>
  <si>
    <t>4. Other business</t>
  </si>
  <si>
    <t>5. Parts department</t>
  </si>
  <si>
    <t>Sales/employee</t>
  </si>
  <si>
    <t>6. Service &amp; Body department</t>
  </si>
  <si>
    <t>7. General &amp; Administration</t>
  </si>
  <si>
    <t>Unallocated expenses</t>
  </si>
  <si>
    <t>% Sales</t>
  </si>
  <si>
    <t>Number of vans</t>
  </si>
  <si>
    <t>Number of bodies</t>
  </si>
  <si>
    <t>Average sales price per body</t>
  </si>
  <si>
    <t>Turnover trailer</t>
  </si>
  <si>
    <t>Turnover vans</t>
  </si>
  <si>
    <t>Turnover bodies</t>
  </si>
  <si>
    <t>Date established</t>
  </si>
  <si>
    <t>Latest certified accounts</t>
  </si>
  <si>
    <t>Russia</t>
  </si>
  <si>
    <t>South Africa</t>
  </si>
  <si>
    <t>USD</t>
  </si>
  <si>
    <t>GBP</t>
  </si>
  <si>
    <t>1.1 Gross Cash flow</t>
  </si>
  <si>
    <t xml:space="preserve">  A. Total</t>
  </si>
  <si>
    <t>Operating cash flow (A+B+C)</t>
  </si>
  <si>
    <t>1.3 Change Working capital</t>
  </si>
  <si>
    <t>Overall</t>
  </si>
  <si>
    <t>&lt;5</t>
  </si>
  <si>
    <t>5-10</t>
  </si>
  <si>
    <t>11-25</t>
  </si>
  <si>
    <t>26-100</t>
  </si>
  <si>
    <t>25%-50%</t>
  </si>
  <si>
    <t>50%-75%</t>
  </si>
  <si>
    <t>International</t>
  </si>
  <si>
    <t>1. Business vision</t>
  </si>
  <si>
    <t>service</t>
  </si>
  <si>
    <t>Parts turnover other makes</t>
  </si>
  <si>
    <t>Workshop other makes</t>
  </si>
  <si>
    <t>2. Business mission</t>
  </si>
  <si>
    <t>National Truck Service (NTS)</t>
  </si>
  <si>
    <t>International Truck Service (ITS)</t>
  </si>
  <si>
    <t>5. Key Succes Factor</t>
  </si>
  <si>
    <t>1. Strengths and Weaknesses of the competition in the dealer area</t>
  </si>
  <si>
    <t>1. Products</t>
  </si>
  <si>
    <t>2. Services</t>
  </si>
  <si>
    <t>1. Presence of PACCAR Financial</t>
  </si>
  <si>
    <t>yes</t>
  </si>
  <si>
    <t>no</t>
  </si>
  <si>
    <t>3. Important leasing companies and or banks</t>
  </si>
  <si>
    <t>Guideline</t>
  </si>
  <si>
    <t>7.2.2 Turnover Parts</t>
  </si>
  <si>
    <t>7.2.1 Turnover Vehicles</t>
  </si>
  <si>
    <t>Selling expense</t>
  </si>
  <si>
    <t>Profit / loss before tax &amp; extra-ordinary income</t>
  </si>
  <si>
    <t>Other Operating expenses</t>
  </si>
  <si>
    <t>Total other operating expenses</t>
  </si>
  <si>
    <t>Depreciations &amp; Amortization</t>
  </si>
  <si>
    <t>Salaries and wages</t>
  </si>
  <si>
    <t>Other operating expenses</t>
  </si>
  <si>
    <t>Depreciation &amp; Amortization</t>
  </si>
  <si>
    <t>Financial Income</t>
  </si>
  <si>
    <t>Profit before tax &amp; ex-ord income/loss</t>
  </si>
  <si>
    <t>Financial income</t>
  </si>
  <si>
    <t>Profit/loss before tax &amp; extra-ord</t>
  </si>
  <si>
    <t>Selling expenses</t>
  </si>
  <si>
    <t>Avg turnover # truck</t>
  </si>
  <si>
    <t>Avg gross profit # truck</t>
  </si>
  <si>
    <t>Avg turnover # other business</t>
  </si>
  <si>
    <t>Avg gross profit # other business</t>
  </si>
  <si>
    <t xml:space="preserve">Minimize Threats </t>
  </si>
  <si>
    <t>Maximize Opportunities</t>
  </si>
  <si>
    <t>Adress Weaknesses</t>
  </si>
  <si>
    <t>Capitalize on Strengths</t>
  </si>
  <si>
    <t>Executive Summary</t>
  </si>
  <si>
    <t>Company Summary</t>
  </si>
  <si>
    <t xml:space="preserve">Market Analysis </t>
  </si>
  <si>
    <t>Market Analysis</t>
  </si>
  <si>
    <t>Management Summary</t>
  </si>
  <si>
    <t>Products &amp; Services</t>
  </si>
  <si>
    <t>Strategy and Implementation</t>
  </si>
  <si>
    <t>Assumptions &amp; remarks business plan</t>
  </si>
  <si>
    <t>Long-term business plan</t>
  </si>
  <si>
    <t>3.0 Products &amp; Services</t>
  </si>
  <si>
    <t>3.1 Financing &amp; Insurance</t>
  </si>
  <si>
    <t>2.1 Company Organisation</t>
  </si>
  <si>
    <t>4.0 Organisation &amp; HR</t>
  </si>
  <si>
    <t>6.0 New Truck Sales</t>
  </si>
  <si>
    <t>1.0 Executive Summary</t>
  </si>
  <si>
    <t>1.0 Executive summary</t>
  </si>
  <si>
    <t>5.0 Economy</t>
  </si>
  <si>
    <t>5.3 Running Parc - Dealer Area</t>
  </si>
  <si>
    <t>5.5 Customers</t>
  </si>
  <si>
    <t>6.1 Used Trucks</t>
  </si>
  <si>
    <t>7.3 Cost of Sales</t>
  </si>
  <si>
    <t>7.4.1 Salaries &amp; wages</t>
  </si>
  <si>
    <t>7.4.3 Investments, Depreciations and Provisions</t>
  </si>
  <si>
    <t>7.7 Profit &amp; Loss Account</t>
  </si>
  <si>
    <t>4.1.1 Management team</t>
  </si>
  <si>
    <t>Name Controller</t>
  </si>
  <si>
    <t>Salary</t>
  </si>
  <si>
    <t>Job rotation</t>
  </si>
  <si>
    <t>Job description</t>
  </si>
  <si>
    <t>Satisfaction</t>
  </si>
  <si>
    <t xml:space="preserve">    Stock used other</t>
  </si>
  <si>
    <t>National</t>
  </si>
  <si>
    <t>National+International</t>
  </si>
  <si>
    <t>Account receivables</t>
  </si>
  <si>
    <t>Consultancy</t>
  </si>
  <si>
    <t>Chapter 2</t>
  </si>
  <si>
    <t>Legal name dealership</t>
  </si>
  <si>
    <t>VAT number (EU countries only)</t>
  </si>
  <si>
    <t>Lenght longest bay</t>
  </si>
  <si>
    <t>Height of doors</t>
  </si>
  <si>
    <t>m</t>
  </si>
  <si>
    <t>one-stop-shop</t>
  </si>
  <si>
    <t>towing</t>
  </si>
  <si>
    <t>5. Extended warranties on services</t>
  </si>
  <si>
    <t>Strengths and Weaknesses of the competition in the dealer area</t>
  </si>
  <si>
    <t>Strengths</t>
  </si>
  <si>
    <t>Weaknesses</t>
  </si>
  <si>
    <t>4. Pricing and costing</t>
  </si>
  <si>
    <t xml:space="preserve">3. Positioning  </t>
  </si>
  <si>
    <t>2. Analysis part sales</t>
  </si>
  <si>
    <t>5.1.1 New Truck Market - Country</t>
  </si>
  <si>
    <t>5.1.2 New Truck Market - Dealer Area</t>
  </si>
  <si>
    <t>5.2 Used Truck Market - Dealer Area</t>
  </si>
  <si>
    <t>Scenario</t>
  </si>
  <si>
    <t>Scenario's</t>
  </si>
  <si>
    <t>Number of trailers</t>
  </si>
  <si>
    <t>January</t>
  </si>
  <si>
    <t>February</t>
  </si>
  <si>
    <t>March</t>
  </si>
  <si>
    <t>April</t>
  </si>
  <si>
    <t>May</t>
  </si>
  <si>
    <t>June</t>
  </si>
  <si>
    <t>August</t>
  </si>
  <si>
    <t>July</t>
  </si>
  <si>
    <t>September</t>
  </si>
  <si>
    <t>October</t>
  </si>
  <si>
    <t>November</t>
  </si>
  <si>
    <t>December</t>
  </si>
  <si>
    <r>
      <t xml:space="preserve">1. Hub and spoke structure </t>
    </r>
    <r>
      <rPr>
        <sz val="10"/>
        <rFont val="Trebuchet MS"/>
        <family val="2"/>
      </rPr>
      <t>(description of responsibilities, legal structure, size of outlets etc.)</t>
    </r>
  </si>
  <si>
    <t>Loan 3:</t>
  </si>
  <si>
    <t>Loan 4:</t>
  </si>
  <si>
    <t>1. Change market size trucks</t>
  </si>
  <si>
    <t>2. Change market share DAF</t>
  </si>
  <si>
    <t>3. Change market used trucks</t>
  </si>
  <si>
    <t>4. Change of part retention</t>
  </si>
  <si>
    <t>5. Change of service retention</t>
  </si>
  <si>
    <t>6. Change of gross margin new trucks</t>
  </si>
  <si>
    <t xml:space="preserve">2.1.1 Total hours </t>
  </si>
  <si>
    <t xml:space="preserve">Scenario </t>
  </si>
  <si>
    <t>7. Salaries &amp; Wages</t>
  </si>
  <si>
    <t xml:space="preserve">3. Strategic objectives </t>
  </si>
  <si>
    <t>if yes, valid date thru:</t>
  </si>
  <si>
    <t>Vans</t>
  </si>
  <si>
    <t>Signer title</t>
  </si>
  <si>
    <t>Name Truck Sales manager</t>
  </si>
  <si>
    <t>Name After Sales manager</t>
  </si>
  <si>
    <t>2. Main opportunities DAF dealership</t>
  </si>
  <si>
    <t>3. Main threats DAF dealership</t>
  </si>
  <si>
    <t>1%-25%</t>
  </si>
  <si>
    <t>Succession plan</t>
  </si>
  <si>
    <t>3. Main opportunities for the dealership</t>
  </si>
  <si>
    <t>4. Main threats for the dealership</t>
  </si>
  <si>
    <t>Name of (dealer) holding</t>
  </si>
  <si>
    <t xml:space="preserve">Truck Quality </t>
  </si>
  <si>
    <t>Cost of ownership</t>
  </si>
  <si>
    <t>Product range</t>
  </si>
  <si>
    <t>2.2 Location &amp; Facilities</t>
  </si>
  <si>
    <t>Relationship with other companies</t>
  </si>
  <si>
    <t>Photographs of dealer premises</t>
  </si>
  <si>
    <t>Net profit</t>
  </si>
  <si>
    <t xml:space="preserve">Working capital </t>
  </si>
  <si>
    <t>Solvency</t>
  </si>
  <si>
    <t>Gross profit</t>
  </si>
  <si>
    <t>7.2.3 Turnover Service &amp; Bodyshop</t>
  </si>
  <si>
    <t>1.2 Operating Expenses</t>
  </si>
  <si>
    <t>1.1 Selling Expenses</t>
  </si>
  <si>
    <t>2.1 Allocation of selling expenses to activities</t>
  </si>
  <si>
    <t>2.2 Allocation of operating expenses to activities</t>
  </si>
  <si>
    <t>7.4.2 Selling &amp; Operating Expenses</t>
  </si>
  <si>
    <t>Subordinated loan</t>
  </si>
  <si>
    <t>7.8 Dealer Benchmark</t>
  </si>
  <si>
    <t>1.1 Mission &amp; Objectives</t>
  </si>
  <si>
    <t>2.0 Company Profile</t>
  </si>
  <si>
    <t>Address</t>
  </si>
  <si>
    <t>E-mail address</t>
  </si>
  <si>
    <t>6. Sold services new trucks</t>
  </si>
  <si>
    <t>7. Sold services used trucks</t>
  </si>
  <si>
    <t>8. Key Succes Factor</t>
  </si>
  <si>
    <t>4.1.2 Management team (other)</t>
  </si>
  <si>
    <t>Inventory</t>
  </si>
  <si>
    <t>Result R&amp;M contracts</t>
  </si>
  <si>
    <t xml:space="preserve">    Stock new trucks</t>
  </si>
  <si>
    <t>Depreciation and Amortization</t>
  </si>
  <si>
    <t>Input</t>
  </si>
  <si>
    <t>Output</t>
  </si>
  <si>
    <t>Operating profit</t>
  </si>
  <si>
    <t>Subordinated loans (subordinated to bank)</t>
  </si>
  <si>
    <t>Subordinated loans (subordinated to all creditors)</t>
  </si>
  <si>
    <t>Service &amp; Body</t>
  </si>
  <si>
    <t>D. Cash flow from investments activities</t>
  </si>
  <si>
    <t xml:space="preserve"> C. Total change in working capital</t>
  </si>
  <si>
    <t>4. Change in liquidity A+B+C+D+E</t>
  </si>
  <si>
    <t>5. Ending cash and equivalents</t>
  </si>
  <si>
    <t>1. Change of turnover</t>
  </si>
  <si>
    <t xml:space="preserve">2.3 Profit before tax &amp; ex-ord income / Turnover </t>
  </si>
  <si>
    <t>Total expenses - Selling expenses (2)</t>
  </si>
  <si>
    <t>4. Financial Expenses</t>
  </si>
  <si>
    <t>5. Financial Income</t>
  </si>
  <si>
    <t>Total financial expenses</t>
  </si>
  <si>
    <t>Total financial income</t>
  </si>
  <si>
    <t>interest</t>
  </si>
  <si>
    <t>interest rate</t>
  </si>
  <si>
    <t>Other trucks</t>
  </si>
  <si>
    <t>Financial Expenses</t>
  </si>
  <si>
    <t>2. Cash flows from investing activities</t>
  </si>
  <si>
    <t>3. Cash flows from financing activities</t>
  </si>
  <si>
    <t>E. Cash flows from financing activities</t>
  </si>
  <si>
    <t>1. Cash flows from operating activities</t>
  </si>
  <si>
    <t>Guidelines</t>
  </si>
  <si>
    <t>Operating Margin</t>
  </si>
  <si>
    <t>Operating Expenses</t>
  </si>
  <si>
    <t>Gross Margin</t>
  </si>
  <si>
    <t>Days on Hand</t>
  </si>
  <si>
    <t>New &amp; Used Combined</t>
  </si>
  <si>
    <t>Parts sales to service</t>
  </si>
  <si>
    <t>Service Level</t>
  </si>
  <si>
    <t>Stock Turn</t>
  </si>
  <si>
    <t>Stock orders vs. Rush orders</t>
  </si>
  <si>
    <t>Operating expenses</t>
  </si>
  <si>
    <t>Effieciency</t>
  </si>
  <si>
    <t>Trade credit</t>
  </si>
  <si>
    <t>current</t>
  </si>
  <si>
    <t>30 days</t>
  </si>
  <si>
    <t>60 days</t>
  </si>
  <si>
    <t>90 days</t>
  </si>
  <si>
    <t>120 days or more</t>
  </si>
  <si>
    <t>Bad Debt</t>
  </si>
  <si>
    <t>Entire Dealership</t>
  </si>
  <si>
    <t xml:space="preserve">Parts </t>
  </si>
  <si>
    <t>Body shop</t>
  </si>
  <si>
    <t>Net profit before taxes</t>
  </si>
  <si>
    <t>2 Market share DAF</t>
  </si>
  <si>
    <t>2a Market share DAF</t>
  </si>
  <si>
    <t>3 DAF Volume</t>
  </si>
  <si>
    <t xml:space="preserve">3a Scenario DAF volume </t>
  </si>
  <si>
    <t>7.6.1 Activity Contribution</t>
  </si>
  <si>
    <t>7.6.2 Activity Analysis</t>
  </si>
  <si>
    <t>Department/Description</t>
  </si>
  <si>
    <t>4-6%</t>
  </si>
  <si>
    <t>3-5%</t>
  </si>
  <si>
    <t>1-3%</t>
  </si>
  <si>
    <t>7-9  times</t>
  </si>
  <si>
    <t>40-50 days</t>
  </si>
  <si>
    <t>6-10%</t>
  </si>
  <si>
    <t>4-7%</t>
  </si>
  <si>
    <t>1-4%</t>
  </si>
  <si>
    <t>5-6 times</t>
  </si>
  <si>
    <t>60-73 days</t>
  </si>
  <si>
    <t>5-8%</t>
  </si>
  <si>
    <t>3-6%</t>
  </si>
  <si>
    <t>25-30%</t>
  </si>
  <si>
    <t>16-20%</t>
  </si>
  <si>
    <t>Obsolesence (12 months no sale)</t>
  </si>
  <si>
    <t>85-90%</t>
  </si>
  <si>
    <t>4,5-5,5 times</t>
  </si>
  <si>
    <t>90:10</t>
  </si>
  <si>
    <t>62-68%</t>
  </si>
  <si>
    <t>50-54%</t>
  </si>
  <si>
    <t>80-90%</t>
  </si>
  <si>
    <t>Days to file warranty</t>
  </si>
  <si>
    <t>&lt;10 days</t>
  </si>
  <si>
    <t>58-65%</t>
  </si>
  <si>
    <t>7-12%</t>
  </si>
  <si>
    <t>48-52%</t>
  </si>
  <si>
    <t>70-80%</t>
  </si>
  <si>
    <t>12-15%</t>
  </si>
  <si>
    <t>5-7%</t>
  </si>
  <si>
    <t>0-3%</t>
  </si>
  <si>
    <t>35-40 days</t>
  </si>
  <si>
    <t>1-2%</t>
  </si>
  <si>
    <t>13-18%</t>
  </si>
  <si>
    <t>10-14%</t>
  </si>
  <si>
    <t>3-4%</t>
  </si>
  <si>
    <t>2-3%</t>
  </si>
  <si>
    <t>100-110%</t>
  </si>
  <si>
    <t>1,5:1</t>
  </si>
  <si>
    <t>1,0:1</t>
  </si>
  <si>
    <t>Fax number</t>
  </si>
  <si>
    <t>Number of bayes</t>
  </si>
  <si>
    <t>in future</t>
  </si>
  <si>
    <t>2. Market competitors and characteristics</t>
  </si>
  <si>
    <t>=best</t>
  </si>
  <si>
    <t>=second best</t>
  </si>
  <si>
    <t>=third best</t>
  </si>
  <si>
    <t>6. Advantages towards competitors</t>
  </si>
  <si>
    <t>see also 7.2.3</t>
  </si>
  <si>
    <t xml:space="preserve">Stock orders vs. </t>
  </si>
  <si>
    <t>Rush orders</t>
  </si>
  <si>
    <t>see also 7.2.2</t>
  </si>
  <si>
    <t>Opportunities</t>
  </si>
  <si>
    <t>Threats</t>
  </si>
  <si>
    <t>2.1 Turnover</t>
  </si>
  <si>
    <t>2.Used trucks</t>
  </si>
  <si>
    <t>4. Total cost of sales (vehicles &amp; parts)</t>
  </si>
  <si>
    <t>1.4. Total cost of sales vehicles</t>
  </si>
  <si>
    <t>2.1. Gross margin (after discount given to the customer) and purchase costs parts (excluding bonus)</t>
  </si>
  <si>
    <t>7.5.1 Financial Income: Requirements</t>
  </si>
  <si>
    <t>7.5.2 Financial Income &amp; Expenses</t>
  </si>
  <si>
    <t>(according PACCAR)</t>
  </si>
  <si>
    <t>Actions</t>
  </si>
  <si>
    <t>2.1 Sales financing for new trucks</t>
  </si>
  <si>
    <t>2.2 Sales financing for used trucks</t>
  </si>
  <si>
    <t>7. Strengths of the new truck sales process</t>
  </si>
  <si>
    <t>8. Weaknesses of the new truck sales process</t>
  </si>
  <si>
    <t>9. Advantages towards competitors</t>
  </si>
  <si>
    <t>7. Strengths of the used truck sales process</t>
  </si>
  <si>
    <t>8. Weaknesses of the used truck sales process</t>
  </si>
  <si>
    <t>SWOT Analysis</t>
  </si>
  <si>
    <t>7. Strengths of the part sales process</t>
  </si>
  <si>
    <t>8. Weaknesses of the part sales process</t>
  </si>
  <si>
    <t>C. Short term liabilities</t>
  </si>
  <si>
    <t>b. Long term liabilities</t>
  </si>
  <si>
    <t>Financial income/expense</t>
  </si>
  <si>
    <t>Other products+WIP</t>
  </si>
  <si>
    <t>Leasing%</t>
  </si>
  <si>
    <t>Financing%</t>
  </si>
  <si>
    <t>R&amp;M%</t>
  </si>
  <si>
    <t>B. 1.2 Provisions</t>
  </si>
  <si>
    <t>7.5.3 VAT</t>
  </si>
  <si>
    <t xml:space="preserve">    Receivables</t>
  </si>
  <si>
    <t>Loan 1:</t>
  </si>
  <si>
    <t>-amount</t>
  </si>
  <si>
    <t>-term:</t>
  </si>
  <si>
    <t>-rate</t>
  </si>
  <si>
    <t>Loan 2:</t>
  </si>
  <si>
    <t>7.9.2 Balance Sheet - Liabilities</t>
  </si>
  <si>
    <t>7.9.1 Balance Sheet - Assets</t>
  </si>
  <si>
    <t>7.10 Ratio's Balance Sheet</t>
  </si>
  <si>
    <t>7.11 Cash Flow Analysis</t>
  </si>
  <si>
    <t>7.12 Assumptions &amp; Remarks</t>
  </si>
  <si>
    <t>Profit center</t>
  </si>
  <si>
    <t>Profit &amp; Loss</t>
  </si>
  <si>
    <t>2.1 Loan Guarantee details</t>
  </si>
  <si>
    <t>2.2 Remarks to funding of the company</t>
  </si>
  <si>
    <t>5.4.1 Competition in Area</t>
  </si>
  <si>
    <t>5.4.2 Competitive Analysis Table</t>
  </si>
  <si>
    <t>3. Value propositions (advantages for customers)</t>
  </si>
  <si>
    <t>4. Competitive edge</t>
  </si>
  <si>
    <t>6. Customer satisfaction</t>
  </si>
  <si>
    <t>6. Result in latest year</t>
  </si>
  <si>
    <t>3.2 Funding</t>
  </si>
  <si>
    <t>5. Advertising and promotion</t>
  </si>
  <si>
    <t>6. Sales/Marketing Management</t>
  </si>
  <si>
    <t>% of new trucks financed by bank or leasing company</t>
  </si>
  <si>
    <t>Selling expense (coulances,…)</t>
  </si>
  <si>
    <t>Long term funding</t>
  </si>
  <si>
    <t xml:space="preserve">Excess </t>
  </si>
  <si>
    <t>Configuration</t>
  </si>
  <si>
    <t>Number of Vehicles</t>
  </si>
  <si>
    <t>Type</t>
  </si>
  <si>
    <t>Chassis</t>
  </si>
  <si>
    <t>Axle</t>
  </si>
  <si>
    <t>1 yr</t>
  </si>
  <si>
    <t>2 yr</t>
  </si>
  <si>
    <t>3 yr</t>
  </si>
  <si>
    <t>4 yr</t>
  </si>
  <si>
    <t>5 yr</t>
  </si>
  <si>
    <t>6 yr</t>
  </si>
  <si>
    <t>7 yr</t>
  </si>
  <si>
    <t>8 yr</t>
  </si>
  <si>
    <t>9 yr</t>
  </si>
  <si>
    <t>10 yr</t>
  </si>
  <si>
    <t>11 yr</t>
  </si>
  <si>
    <t>12 yr</t>
  </si>
  <si>
    <t>13 yr</t>
  </si>
  <si>
    <t>14 yr</t>
  </si>
  <si>
    <t>15 yr</t>
  </si>
  <si>
    <t>Rigid</t>
  </si>
  <si>
    <t>Tractor</t>
  </si>
  <si>
    <t>Other Make Configuration</t>
  </si>
  <si>
    <t>GVW</t>
  </si>
  <si>
    <t>6 - 15 t</t>
  </si>
  <si>
    <t>&gt; 15 t</t>
  </si>
  <si>
    <t>Trailer Configuration</t>
  </si>
  <si>
    <t>Number of Trailers</t>
  </si>
  <si>
    <t>Trailer</t>
  </si>
  <si>
    <t>Semi-Trailer</t>
  </si>
  <si>
    <t>DAF Parts Consumption Per Vehicle</t>
  </si>
  <si>
    <t>DAF Labour Consumption Per Vehicle</t>
  </si>
  <si>
    <t>Labour Consumption Per Vehicle</t>
  </si>
  <si>
    <t>DAF Oil Consumption Per Vehicle</t>
  </si>
  <si>
    <t>Oil Consumption Per Vehicle</t>
  </si>
  <si>
    <t>Other Makes Parts Consumption Per Vehicle</t>
  </si>
  <si>
    <t>Parts Consumption Per Vehicle</t>
  </si>
  <si>
    <t>Vehicle Parc Standstill %</t>
  </si>
  <si>
    <t>Parts Pricing Factor</t>
  </si>
  <si>
    <t>Country Factor</t>
  </si>
  <si>
    <t>Default Standstill Factor</t>
  </si>
  <si>
    <t>Calculation Sheet</t>
  </si>
  <si>
    <t>DAF Parts</t>
  </si>
  <si>
    <t>DAF Labour Hours</t>
  </si>
  <si>
    <t>DAF Oil</t>
  </si>
  <si>
    <t>OM Parts</t>
  </si>
  <si>
    <t>Trailer Parts</t>
  </si>
  <si>
    <t>Belarus</t>
  </si>
  <si>
    <t>Bosnia</t>
  </si>
  <si>
    <t>Croatia</t>
  </si>
  <si>
    <t>Cyprus</t>
  </si>
  <si>
    <t>Czech</t>
  </si>
  <si>
    <t>Estonia</t>
  </si>
  <si>
    <t>Iceland</t>
  </si>
  <si>
    <t>Latvia</t>
  </si>
  <si>
    <t>Lithuania</t>
  </si>
  <si>
    <t>Luxemburg</t>
  </si>
  <si>
    <t>Macedonia</t>
  </si>
  <si>
    <t>Malta</t>
  </si>
  <si>
    <t>Serbia-Montenegro</t>
  </si>
  <si>
    <t>Slovakia</t>
  </si>
  <si>
    <t>Slovenia</t>
  </si>
  <si>
    <t>Ukraine</t>
  </si>
  <si>
    <t>United Kingdom</t>
  </si>
  <si>
    <t>Other country</t>
  </si>
  <si>
    <r>
      <t xml:space="preserve">2. Organigram of the legal structure of the dealership </t>
    </r>
    <r>
      <rPr>
        <sz val="10"/>
        <rFont val="Trebuchet MS"/>
        <family val="2"/>
      </rPr>
      <t>(all connections to parent companies, subsidiaries etc.)</t>
    </r>
  </si>
  <si>
    <r>
      <t xml:space="preserve">4. Repair &amp; Maintenance contracts </t>
    </r>
    <r>
      <rPr>
        <sz val="10"/>
        <rFont val="Trebuchet MS"/>
        <family val="2"/>
      </rPr>
      <t>(policy, approach, outstanding contracts)</t>
    </r>
  </si>
  <si>
    <r>
      <t xml:space="preserve">2. Human resources </t>
    </r>
    <r>
      <rPr>
        <sz val="10"/>
        <rFont val="Trebuchet MS"/>
        <family val="2"/>
      </rPr>
      <t>(policy and strategy)</t>
    </r>
  </si>
  <si>
    <r>
      <t xml:space="preserve">2. Analysis new truck sales </t>
    </r>
    <r>
      <rPr>
        <sz val="10"/>
        <rFont val="Trebuchet MS"/>
        <family val="2"/>
      </rPr>
      <t>(market share, volume development)</t>
    </r>
  </si>
  <si>
    <t>Price Factor</t>
  </si>
  <si>
    <t>Country</t>
  </si>
  <si>
    <t>Introduction &amp; Manual</t>
  </si>
  <si>
    <t>Introduction</t>
  </si>
  <si>
    <t>Reference sheet</t>
  </si>
  <si>
    <t>Country :</t>
  </si>
  <si>
    <t>Dealer name :</t>
  </si>
  <si>
    <t>Version :</t>
  </si>
  <si>
    <t>Date :</t>
  </si>
  <si>
    <t>Basis year</t>
  </si>
  <si>
    <t>Planning period:</t>
  </si>
  <si>
    <t>Currency :</t>
  </si>
  <si>
    <t>EUR</t>
  </si>
  <si>
    <t>Contents Business Plan :</t>
  </si>
  <si>
    <t>Chapter 1</t>
  </si>
  <si>
    <t>Chapter 3</t>
  </si>
  <si>
    <t>Chapter 4</t>
  </si>
  <si>
    <t>Chapter 5</t>
  </si>
  <si>
    <t>Chapter 6</t>
  </si>
  <si>
    <t>Chapter 7</t>
  </si>
  <si>
    <t>Dealer name:</t>
  </si>
  <si>
    <t>1. Economic situation country (history, actual, forecast)</t>
  </si>
  <si>
    <t xml:space="preserve">3. Main opportunities </t>
  </si>
  <si>
    <t xml:space="preserve">4. Main threats </t>
  </si>
  <si>
    <t>1. Total market size country</t>
  </si>
  <si>
    <t>GVW between 6 - 15 ton</t>
  </si>
  <si>
    <t>GVW over 15 ton</t>
  </si>
  <si>
    <t>Total</t>
  </si>
  <si>
    <t>2. Analysis truck market development (trends, volume, segments, legislation)</t>
  </si>
  <si>
    <t>1. Total market size dealer area</t>
  </si>
  <si>
    <t>2. Analysis truck market development in the area</t>
  </si>
  <si>
    <t>1. Total used truck market dealer area</t>
  </si>
  <si>
    <t>DAF 45</t>
  </si>
  <si>
    <t>DAF 55</t>
  </si>
  <si>
    <t>DAF 65</t>
  </si>
  <si>
    <t>DAF 75</t>
  </si>
  <si>
    <t>DAF 85</t>
  </si>
  <si>
    <t>DAF 95</t>
  </si>
  <si>
    <t>2. Parc development dealer area</t>
  </si>
  <si>
    <t>7 years</t>
  </si>
  <si>
    <t>DAF</t>
  </si>
  <si>
    <t>10 years</t>
  </si>
  <si>
    <t>Iveco</t>
  </si>
  <si>
    <t>2.</t>
  </si>
  <si>
    <t>3.</t>
  </si>
  <si>
    <t>MAN</t>
  </si>
  <si>
    <t>Mercedes</t>
  </si>
  <si>
    <t>RVI</t>
  </si>
  <si>
    <t>Scania</t>
  </si>
  <si>
    <t>Volvo</t>
  </si>
  <si>
    <t>Other:</t>
  </si>
  <si>
    <t>1. Map of dealer locations of competition and spokes in area</t>
  </si>
  <si>
    <t xml:space="preserve">2. Market shares in dealer area   </t>
  </si>
  <si>
    <t>Year</t>
  </si>
  <si>
    <t>Make</t>
  </si>
  <si>
    <t>6-15 ton</t>
  </si>
  <si>
    <t>&gt; 15 ton</t>
  </si>
  <si>
    <t>Man</t>
  </si>
  <si>
    <t>Renault</t>
  </si>
  <si>
    <t>1. Major customers</t>
  </si>
  <si>
    <t>Customer name</t>
  </si>
  <si>
    <t>Location</t>
  </si>
  <si>
    <t>Kind of Transport</t>
  </si>
  <si>
    <t>Fleetsize</t>
  </si>
  <si>
    <t>4.</t>
  </si>
  <si>
    <t>5.</t>
  </si>
  <si>
    <t>8.</t>
  </si>
  <si>
    <t>10.</t>
  </si>
  <si>
    <t>2. Purchase behavior customers</t>
  </si>
  <si>
    <t xml:space="preserve">4. Main opportunities </t>
  </si>
  <si>
    <t xml:space="preserve">5. Main threats </t>
  </si>
  <si>
    <t>3. Map of the location of the dealership in the place of residence</t>
  </si>
  <si>
    <t>4. Strengths of the area organisation</t>
  </si>
  <si>
    <t>5. Weaknesses of the area organisation</t>
  </si>
  <si>
    <t>1. Dealer premises and facilities surface</t>
  </si>
  <si>
    <t>Surface property</t>
  </si>
  <si>
    <t>Offices</t>
  </si>
  <si>
    <t>Built-up surface</t>
  </si>
  <si>
    <t>Parts store</t>
  </si>
  <si>
    <t>Workshop</t>
  </si>
  <si>
    <t>Parking</t>
  </si>
  <si>
    <t>Used Truck Area</t>
  </si>
  <si>
    <t>2. Detailed map of the dealer site</t>
  </si>
  <si>
    <t>3. Strengths of the facilities</t>
  </si>
  <si>
    <t>4. Weaknesses of the facilities</t>
  </si>
  <si>
    <t>Organisation</t>
  </si>
  <si>
    <t>1. Organisation chart</t>
  </si>
  <si>
    <t>3. Strengths of the organisation and human resources</t>
  </si>
  <si>
    <t>4. Weaknesses of the organisation and human resources</t>
  </si>
  <si>
    <t xml:space="preserve">1. Sources of funding </t>
  </si>
  <si>
    <t xml:space="preserve">Amount end </t>
  </si>
  <si>
    <t>Percentage</t>
  </si>
  <si>
    <t>last fiscal year</t>
  </si>
  <si>
    <t>of total</t>
  </si>
  <si>
    <t>Equity</t>
  </si>
  <si>
    <t>Bank loans longer than 1 year</t>
  </si>
  <si>
    <t xml:space="preserve">Bank loans shorter than 1 year </t>
  </si>
  <si>
    <t>3. Approach towards receivables and payables</t>
  </si>
  <si>
    <t>Actual</t>
  </si>
  <si>
    <t>Policy</t>
  </si>
  <si>
    <t>4. Policy and actual performance concerning Credit Management</t>
  </si>
  <si>
    <t>5. Strengths of the funding</t>
  </si>
  <si>
    <t>6. Weaknesses of the funding</t>
  </si>
  <si>
    <t>7. Key issue</t>
  </si>
  <si>
    <t>Product</t>
  </si>
  <si>
    <t>Offered</t>
  </si>
  <si>
    <t>Remarks</t>
  </si>
  <si>
    <t>Trucks</t>
  </si>
  <si>
    <t>Used trucks</t>
  </si>
  <si>
    <t>Parts</t>
  </si>
  <si>
    <t>Superstructures</t>
  </si>
  <si>
    <t>(Semi)trailers</t>
  </si>
  <si>
    <t>Taillifts</t>
  </si>
  <si>
    <t>Cooling units</t>
  </si>
  <si>
    <t>Cranes</t>
  </si>
  <si>
    <t>Couplings</t>
  </si>
  <si>
    <t>Hydraulics</t>
  </si>
  <si>
    <t>Tyres</t>
  </si>
  <si>
    <t>Service</t>
  </si>
  <si>
    <t xml:space="preserve">Repair &amp; Maintenance </t>
  </si>
  <si>
    <t>Full damage repairs</t>
  </si>
  <si>
    <t>Leasing</t>
  </si>
  <si>
    <t>Residual Value Guarantees</t>
  </si>
  <si>
    <t>Replacement vehicles</t>
  </si>
  <si>
    <t>Extended warranty</t>
  </si>
  <si>
    <t>1. New truck sales history</t>
  </si>
  <si>
    <t>1. Used truck sales history</t>
  </si>
  <si>
    <t>2. Analysis used truck sales</t>
  </si>
  <si>
    <t>1. Service policy</t>
  </si>
  <si>
    <t>2. Effectivity of the workshop</t>
  </si>
  <si>
    <t>Productivity</t>
  </si>
  <si>
    <t>Efficiency</t>
  </si>
  <si>
    <t>Effectivity</t>
  </si>
  <si>
    <t>Comments:</t>
  </si>
  <si>
    <t>3. Service retention</t>
  </si>
  <si>
    <t>Service retention:</t>
  </si>
  <si>
    <t>4. Strengths of the after sales service</t>
  </si>
  <si>
    <t>5. Weaknesses of the after sales service</t>
  </si>
  <si>
    <t xml:space="preserve">1. Parts policy </t>
  </si>
  <si>
    <t>Comments</t>
  </si>
  <si>
    <t>Parts availability %:</t>
  </si>
  <si>
    <t>(first pick)</t>
  </si>
  <si>
    <t>Stock rotation:</t>
  </si>
  <si>
    <t>Parts retention:</t>
  </si>
  <si>
    <t>Financial Business Plan</t>
  </si>
  <si>
    <t>7.1 Dealer Area Analysis</t>
  </si>
  <si>
    <t xml:space="preserve">Currency : </t>
  </si>
  <si>
    <t>Basic year</t>
  </si>
  <si>
    <t>6 - 15 ton</t>
  </si>
  <si>
    <t xml:space="preserve">   &gt; 15 ton</t>
  </si>
  <si>
    <t>5. Fleet vs total DAF sales</t>
  </si>
  <si>
    <t xml:space="preserve">6. Running parc DAF </t>
  </si>
  <si>
    <t>1. New DAF vehicles</t>
  </si>
  <si>
    <t>Price correction fleet sales</t>
  </si>
  <si>
    <t>(includes also correction on hours and accessories)</t>
  </si>
  <si>
    <t>1.2. Total turnover DAF vehicles</t>
  </si>
  <si>
    <t>Turnover New</t>
  </si>
  <si>
    <t xml:space="preserve">Average sales price per vehicle </t>
  </si>
  <si>
    <t>Turnover Used Trucks</t>
  </si>
  <si>
    <t>2.2 Stock Used Trucks</t>
  </si>
  <si>
    <t>(-) Initial stock at cost price</t>
  </si>
  <si>
    <t>(+) Closing stock at cost price</t>
  </si>
  <si>
    <t>= change in stock</t>
  </si>
  <si>
    <t>3. Other products</t>
  </si>
  <si>
    <t>4. Decision required number of salesmen</t>
  </si>
  <si>
    <t>1. DAF</t>
  </si>
  <si>
    <t xml:space="preserve">    Required salesmen</t>
  </si>
  <si>
    <t xml:space="preserve">    Decision number of salesmen</t>
  </si>
  <si>
    <t>2. Used trucks</t>
  </si>
  <si>
    <t>Total number</t>
  </si>
  <si>
    <t xml:space="preserve">1. Potential parts consumption on DAF vehicles </t>
  </si>
  <si>
    <t>Potential based on parc</t>
  </si>
  <si>
    <t>Parts retention DAF vehicles</t>
  </si>
  <si>
    <t>Parts turnover on DAF vehicles</t>
  </si>
  <si>
    <t>Parts turnover other activities</t>
  </si>
  <si>
    <t>Oil and lubricants</t>
  </si>
  <si>
    <t>Consumption</t>
  </si>
  <si>
    <t>per vehicle</t>
  </si>
  <si>
    <t>Parts new trucks</t>
  </si>
  <si>
    <t>Parts used trucks</t>
  </si>
  <si>
    <t>Workshop sales as part of:</t>
  </si>
  <si>
    <t>Counter other activities</t>
  </si>
  <si>
    <t>Total counter</t>
  </si>
  <si>
    <t>Workshop DAF vehicles</t>
  </si>
  <si>
    <t>Workshop other activities</t>
  </si>
  <si>
    <t>Total workshop</t>
  </si>
  <si>
    <t xml:space="preserve">Warehouse clerks </t>
  </si>
  <si>
    <t>Parts sales managers</t>
  </si>
  <si>
    <t>Parts manager</t>
  </si>
  <si>
    <t>4.1. Stock rotation</t>
  </si>
  <si>
    <t>Forecast Market size dealer area</t>
  </si>
  <si>
    <t>Forecast Market size country</t>
  </si>
  <si>
    <t>2. New Truck - Market size dealer area (basis for Quantitative Business Plan)</t>
  </si>
  <si>
    <t>1. Absorption rate financing excluded (1) / (2)</t>
  </si>
  <si>
    <t>2. Absorption rate financing included (1) / (2) + (3)</t>
  </si>
  <si>
    <t>Number of Used Vehicles</t>
  </si>
  <si>
    <t>Number of New Vehicles</t>
  </si>
  <si>
    <t>3. Running parc DAF - dealer area</t>
  </si>
  <si>
    <t>Attachments</t>
  </si>
  <si>
    <t>8.0 Attachments</t>
  </si>
  <si>
    <t>Attachment A</t>
  </si>
  <si>
    <t>Attachment B</t>
  </si>
  <si>
    <t>Attachment C</t>
  </si>
  <si>
    <t>9.0 Scenario's</t>
  </si>
  <si>
    <t>10.0 Guidelines</t>
  </si>
  <si>
    <t>4. Used Truck sales dealer</t>
  </si>
  <si>
    <t>5. Trailers sales dealer</t>
  </si>
  <si>
    <t>7. Subordinated loans (to all creditors)</t>
  </si>
  <si>
    <t>Subordinated loans (to bank)</t>
  </si>
  <si>
    <t>% of used trucks financed by bank or leasing company</t>
  </si>
  <si>
    <t xml:space="preserve">    Total intangible assets</t>
  </si>
  <si>
    <t xml:space="preserve">b.  Tangible fixed assets  </t>
  </si>
  <si>
    <t>2. Depreciations on fixed assets</t>
  </si>
  <si>
    <t>3. Amortization &amp; Provisions for risks and costs</t>
  </si>
  <si>
    <t>1. Fixed asset value plus Investments and desinvestments over period</t>
  </si>
  <si>
    <t>Number of hours DAF</t>
  </si>
  <si>
    <t>Parts turnover DAF</t>
  </si>
  <si>
    <t>5-10%</t>
  </si>
  <si>
    <t>10-20%</t>
  </si>
  <si>
    <t>15-30%</t>
  </si>
  <si>
    <t>45-60%</t>
  </si>
  <si>
    <t>Sales mix*</t>
  </si>
  <si>
    <t>*varies per country</t>
  </si>
  <si>
    <r>
      <t xml:space="preserve">2.VAT received from customers </t>
    </r>
    <r>
      <rPr>
        <sz val="14"/>
        <rFont val="Trebuchet MS"/>
        <family val="2"/>
      </rPr>
      <t>(to pay to VAT authorities)</t>
    </r>
  </si>
  <si>
    <r>
      <t xml:space="preserve">3. VAT paid </t>
    </r>
    <r>
      <rPr>
        <sz val="14"/>
        <rFont val="Trebuchet MS"/>
        <family val="2"/>
      </rPr>
      <t>(to recover from VAT authorities)</t>
    </r>
  </si>
  <si>
    <t>- version Januari 2011 -</t>
  </si>
  <si>
    <t>Tunisia</t>
  </si>
  <si>
    <t>Tunis</t>
  </si>
  <si>
    <t>Truck International Mobility SA</t>
  </si>
  <si>
    <t>jabbas@planet.tn</t>
  </si>
  <si>
    <t>TIM SA</t>
  </si>
  <si>
    <t>CEO</t>
  </si>
  <si>
    <t>26.04.1954</t>
  </si>
  <si>
    <t>Selim Kilani ABBAS</t>
  </si>
  <si>
    <t>18.01.1989</t>
  </si>
  <si>
    <t>Deprectiation of the TND against the US Dollar (6%) and the EURO (19%)</t>
  </si>
  <si>
    <t>1. Pricing</t>
  </si>
  <si>
    <t xml:space="preserve">3. Network </t>
  </si>
  <si>
    <t xml:space="preserve">1. Technical reputation </t>
  </si>
  <si>
    <t xml:space="preserve">2. High running maintenance cost </t>
  </si>
  <si>
    <t xml:space="preserve">3. Weak second hand market </t>
  </si>
  <si>
    <t>1. Quality</t>
  </si>
  <si>
    <t xml:space="preserve">2. Image </t>
  </si>
  <si>
    <t xml:space="preserve">1. Service </t>
  </si>
  <si>
    <t xml:space="preserve">2. Network </t>
  </si>
  <si>
    <t xml:space="preserve">1. Pricing </t>
  </si>
  <si>
    <t>2. Quality</t>
  </si>
  <si>
    <t xml:space="preserve">3. Image </t>
  </si>
  <si>
    <t xml:space="preserve">1. Range </t>
  </si>
  <si>
    <t xml:space="preserve">1. Image </t>
  </si>
  <si>
    <t xml:space="preserve">2. Quality </t>
  </si>
  <si>
    <t xml:space="preserve">3. Running maintenance cost </t>
  </si>
  <si>
    <t xml:space="preserve">1. Price </t>
  </si>
  <si>
    <t xml:space="preserve">2. Service </t>
  </si>
  <si>
    <t>3. Pricing</t>
  </si>
  <si>
    <t xml:space="preserve">2. Wide range of product </t>
  </si>
  <si>
    <t xml:space="preserve">1. Wide range of product </t>
  </si>
  <si>
    <t xml:space="preserve">3. low range </t>
  </si>
  <si>
    <t>3. Quality</t>
  </si>
  <si>
    <t xml:space="preserve">3. Low used truck </t>
  </si>
  <si>
    <t>Fleet owners have their own maintenance facilities, competition from OEM and pirates parts and independent workshops</t>
  </si>
  <si>
    <t>2. Afrique Travaux</t>
  </si>
  <si>
    <t>3. Chaabane</t>
  </si>
  <si>
    <t>4. Delice Danone</t>
  </si>
  <si>
    <t>Soliman</t>
  </si>
  <si>
    <t xml:space="preserve">5. Magazin General </t>
  </si>
  <si>
    <t>6. Monoprix</t>
  </si>
  <si>
    <t xml:space="preserve">Tunis </t>
  </si>
  <si>
    <t>7. SNA</t>
  </si>
  <si>
    <t>8. TTRI</t>
  </si>
  <si>
    <t>10. M&amp;M</t>
  </si>
  <si>
    <t xml:space="preserve">Bizerte </t>
  </si>
  <si>
    <t xml:space="preserve">9. Riahi Transport </t>
  </si>
  <si>
    <t>Zaghouan</t>
  </si>
  <si>
    <t>Jalel Ben Ismaïl</t>
  </si>
  <si>
    <t xml:space="preserve">The trade balance deficit has expanded further, reaching a level of 15,592 MD at the end of 2017, capred to 12,601 MD the year before. </t>
  </si>
  <si>
    <t>Mohamed Jamil ABBAS</t>
  </si>
  <si>
    <t xml:space="preserve">Mohamed Mouhli </t>
  </si>
  <si>
    <t>26.02.1979</t>
  </si>
  <si>
    <t>High quality vehicles, adapted to the local market, optimized total cost of ownership</t>
  </si>
  <si>
    <t>B</t>
  </si>
  <si>
    <t>Technical Staff: engineering degree (5 years) and advanced technician degree (3 years)</t>
  </si>
  <si>
    <t>Persistent inflationary pressure with a rate of 7.7%</t>
  </si>
  <si>
    <t>GDP growth for 2018 forecast 2,8%, for 2019 forecast 3,5% and for 2020 forecast 4%</t>
  </si>
  <si>
    <t>Important investment infrastructure projects around 2 billions $</t>
  </si>
  <si>
    <t>target the correct resources.</t>
  </si>
  <si>
    <t>company policy (if needed)</t>
  </si>
  <si>
    <t xml:space="preserve">A satisfaction survey will be conducted at the end of every year to evaluate employee satisfaction and make any necessary changes to the </t>
  </si>
  <si>
    <t>x</t>
  </si>
  <si>
    <t xml:space="preserve">1. Soroubat </t>
  </si>
  <si>
    <t xml:space="preserve">   </t>
  </si>
  <si>
    <t>are growing, generating more demand for the transport industry</t>
  </si>
  <si>
    <t>Drivers / owners tend to buy when trucks start to become financially unprofitable (high maintenance cost, high downtime)</t>
  </si>
  <si>
    <t>Premium after sales service, parts stock availability and competitive prices</t>
  </si>
  <si>
    <t xml:space="preserve">No legal restriction for truck replacement, no environmental policy contraining, operators have a long period </t>
  </si>
  <si>
    <t xml:space="preserve">7. </t>
  </si>
  <si>
    <t xml:space="preserve">2. Over 40 years experience in the automotive business </t>
  </si>
  <si>
    <t xml:space="preserve">4. </t>
  </si>
  <si>
    <t xml:space="preserve">5. </t>
  </si>
  <si>
    <t xml:space="preserve">6. </t>
  </si>
  <si>
    <t>5. Proactive After Sales Service</t>
  </si>
  <si>
    <t xml:space="preserve">8. </t>
  </si>
  <si>
    <t xml:space="preserve">9. </t>
  </si>
  <si>
    <t xml:space="preserve">10. </t>
  </si>
  <si>
    <t xml:space="preserve">9. Openness to further improvements </t>
  </si>
  <si>
    <t xml:space="preserve">4. Improve and update the facilities </t>
  </si>
  <si>
    <t xml:space="preserve">5. Offer remote assistance / mobile workshops / R&amp;M contracts </t>
  </si>
  <si>
    <t xml:space="preserve">7. Trainings, competence development, bonuses </t>
  </si>
  <si>
    <t xml:space="preserve">Communicate on the quality of the product, train the technicians </t>
  </si>
  <si>
    <t>The human resource team will receive trainging from DAF and local recruitment companies to give them a broader spectrum of the industry and</t>
  </si>
  <si>
    <t>Minimum wage is 180 EUR, Sales staff 400 EUR, technical staff (engineers 400 EUR and advanced technicians 250 EUR)</t>
  </si>
  <si>
    <t xml:space="preserve">1. Advertising campaigns </t>
  </si>
  <si>
    <t xml:space="preserve">4. Fleet owners operate in their own workshops </t>
  </si>
  <si>
    <t>6. Unclear social and economic situation (strikes)</t>
  </si>
  <si>
    <t xml:space="preserve">N/A since it's a new company </t>
  </si>
  <si>
    <t>7. Motivated and high performing technical and commercial team</t>
  </si>
  <si>
    <t>8. Communicate on the advantages of these innovations</t>
  </si>
  <si>
    <t xml:space="preserve">9. Set up higher targets and an interest in a continuous improvement to ensure operational efficiency
</t>
  </si>
  <si>
    <t>12.10.1957</t>
  </si>
  <si>
    <t>p</t>
  </si>
  <si>
    <t>3. Expand the network in accordance to network strategic planning</t>
  </si>
  <si>
    <t>6. Launch marketing and promotional joint campaigns/events</t>
  </si>
  <si>
    <t>1. DAF a strong name brand in Worldwide</t>
  </si>
  <si>
    <t>4. The network is dedicated to both sales and after sales / 3S</t>
  </si>
  <si>
    <t>6. Strong relationships leasing companies</t>
  </si>
  <si>
    <t>3. Due to weak past sales performance, the running fleet will not generate substantial aftersales  revenues compared to competition which impacts pricing flexibility on trucks
during the first three years</t>
  </si>
  <si>
    <t xml:space="preserve">2. Higher operating cost due to unmamortized investments </t>
  </si>
  <si>
    <t>1. Market growth expected due to overall economic recovery</t>
  </si>
  <si>
    <t xml:space="preserve">1. Identify the sectors in the economy that are growing and generating demand for the transport business </t>
  </si>
  <si>
    <t xml:space="preserve">3.aftersales  Competition from private operators </t>
  </si>
  <si>
    <t>2. Rigorous and thorough research to be done prior to any investment decisions. Conservative dividends distribution policy for the first years. Control management to issue recommandations to be discussed, validated and impletemented. Strive towards operational excellence</t>
  </si>
  <si>
    <t>1.Last major truck manufacturer haing an imprint onthe local market and narrow market base compared to major competitors</t>
  </si>
  <si>
    <t>3. By promoting a very aggressive sales and aftersales pricing policy and hiring high performing team (sales and aftersales)</t>
  </si>
  <si>
    <t xml:space="preserve">2. Customer buying habits are changing, they are more prone to the total cost of ownesrhip than in the past </t>
  </si>
  <si>
    <t>1. Strong competitiors</t>
  </si>
  <si>
    <t xml:space="preserve">1. To face the competition, we will perform on all counts such as competitive pricing, technically reliable trucks, professional after sales service, and develop a well knighned network and conduct  an agressive communication and marketing campaigns
 </t>
  </si>
  <si>
    <t>2. Tenders dominated by IVECO and Renault due to European given very agressive pricing policy</t>
  </si>
  <si>
    <t xml:space="preserve">2.  try to tailor tenders offers to match iveco and renault
</t>
  </si>
  <si>
    <t>3. Communicate on the quality of our after sale services and the necessity to use genuine parts and respect service recommandation by the manufacturer to optimize uptime</t>
  </si>
  <si>
    <t>4. Communicate on the quality of our after sale services and the necessity to use genuine parts and respect service recommandation by the manufacturer to convince fleet owners to concentrate on their core business and agressive package for important repair</t>
  </si>
  <si>
    <t>6. Continuous watch on the social and economic situation to take it into account in our business forecast</t>
  </si>
  <si>
    <t>5. OEM parts pricing</t>
  </si>
  <si>
    <t xml:space="preserve">5. offer complementary services to reduce the gap with OEM price </t>
  </si>
  <si>
    <t>7. competition from korean and chineses trucks</t>
  </si>
  <si>
    <t>7. to lobby ministries and administration to keep a hire a taxation on asian imports</t>
  </si>
  <si>
    <t>Sousse</t>
  </si>
  <si>
    <t xml:space="preserve">Salesmen: baccalaureate degree and 4 years diploma in sales and marketing </t>
  </si>
  <si>
    <t xml:space="preserve">Boulevard de l'environnement Route Nationale 82 </t>
  </si>
  <si>
    <t>Well located, easy access, close to main highways, 3S facilities</t>
  </si>
  <si>
    <t>2. Strong relathinship in the industry and major operators, extensise network in public administration/ministies and banks/leasing</t>
  </si>
  <si>
    <t>3. Network  cover most of the areas where there is high demand</t>
  </si>
  <si>
    <t xml:space="preserve">8. To enhance IT solutions and product technical innovations 
</t>
  </si>
  <si>
    <t>TRUCK INTERNATIONAL MOBILITY SA</t>
  </si>
  <si>
    <t>Appendix</t>
  </si>
  <si>
    <t xml:space="preserve">Price of the truck, low brand recognition in the market, technicians are not familiar with the specificities of the product </t>
  </si>
  <si>
    <t>1. Soroubat</t>
  </si>
  <si>
    <t>5. Magazin Général</t>
  </si>
  <si>
    <t>9. Riahi Transport</t>
  </si>
  <si>
    <t>Bizerte</t>
  </si>
  <si>
    <t>Fleet owners tend: to buy by batches to benefit from bargaining power / driven by business opportunities / buying attitude is to renew the old fleet or when their business grow</t>
  </si>
  <si>
    <t xml:space="preserve">3.Avergage of the running popultation heavy truck is over 8 years it should lead to a higher renewal rate </t>
  </si>
  <si>
    <t>3. By convincing customers that the total cost of running new truck is lower than running overaged trucks given the cost of maintnenace and downtime</t>
  </si>
  <si>
    <t xml:space="preserve">2.By offering very attractive fianncial and service proposals
</t>
  </si>
  <si>
    <t>1.Large investment in advertising, marketing and sales promotion, campaigns, roadshows</t>
  </si>
  <si>
    <t xml:space="preserve">10. TRP wide range of products enable us to prospect clients of competitor makes 
</t>
  </si>
  <si>
    <t>10. Communication campaign and dedicated proactive parts salesmen</t>
  </si>
  <si>
    <t xml:space="preserve">Highly experienced mechanics, training programs, tooling and equipment </t>
  </si>
  <si>
    <t>Central Bank launch a program to raise gradually the monetary rate, continued tightening of bank lending and financial leasing</t>
  </si>
  <si>
    <t xml:space="preserve">Construction segment demand growth due to important infrastructure projects, mining, tourism, agriculture and export industries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</si>
</sst>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quot;-&quot;??_-;_-@_-"/>
    <numFmt numFmtId="165" formatCode="_-&quot;fl&quot;\ * #,##0.00_-;_-&quot;fl&quot;\ * #,##0.00\-;_-&quot;fl&quot;\ * &quot;-&quot;??_-;_-@_-"/>
    <numFmt numFmtId="166" formatCode="0.0%"/>
    <numFmt numFmtId="167" formatCode="0.0"/>
    <numFmt numFmtId="168" formatCode="#,##0.0"/>
    <numFmt numFmtId="169" formatCode="_-* #,##0_-;_-* #,##0\-;_-* &quot;-&quot;??_-;_-@_-"/>
    <numFmt numFmtId="170" formatCode="dd/mm/yy"/>
    <numFmt numFmtId="171" formatCode="_(&quot;$&quot;* #,##0.00_);_(&quot;$&quot;* \(#,##0.00\);_(&quot;$&quot;* &quot;-&quot;??_);_(@_)"/>
    <numFmt numFmtId="172" formatCode="_(* #,##0.00_);_(* \(#,##0.00\);_(* &quot;-&quot;??_);_(@_)"/>
    <numFmt numFmtId="173" formatCode="&quot;€&quot;\ #,##0_-"/>
  </numFmts>
  <fonts count="62" x14ac:knownFonts="1">
    <font>
      <sz val="10"/>
      <name val="Arial"/>
    </font>
    <font>
      <b/>
      <sz val="10"/>
      <name val="Arial"/>
      <family val="2"/>
    </font>
    <font>
      <sz val="10"/>
      <name val="Arial"/>
      <family val="2"/>
    </font>
    <font>
      <sz val="10"/>
      <color indexed="10"/>
      <name val="Arial"/>
      <family val="2"/>
    </font>
    <font>
      <sz val="10"/>
      <color indexed="8"/>
      <name val="Arial"/>
      <family val="2"/>
    </font>
    <font>
      <b/>
      <i/>
      <sz val="10"/>
      <color indexed="8"/>
      <name val="Arial"/>
      <family val="2"/>
    </font>
    <font>
      <b/>
      <sz val="10"/>
      <name val="Arial"/>
      <family val="2"/>
    </font>
    <font>
      <sz val="10"/>
      <name val="Arial"/>
      <family val="2"/>
    </font>
    <font>
      <b/>
      <sz val="10"/>
      <color indexed="8"/>
      <name val="Arial"/>
      <family val="2"/>
    </font>
    <font>
      <b/>
      <sz val="12"/>
      <name val="Arial"/>
      <family val="2"/>
    </font>
    <font>
      <u/>
      <sz val="6.5"/>
      <color indexed="12"/>
      <name val="Arial"/>
      <family val="2"/>
    </font>
    <font>
      <sz val="8"/>
      <name val="Arial"/>
      <family val="2"/>
    </font>
    <font>
      <sz val="10"/>
      <color indexed="9"/>
      <name val="Trebuchet MS"/>
      <family val="2"/>
    </font>
    <font>
      <sz val="10"/>
      <name val="Trebuchet MS"/>
      <family val="2"/>
    </font>
    <font>
      <b/>
      <sz val="10"/>
      <name val="Trebuchet MS"/>
      <family val="2"/>
    </font>
    <font>
      <b/>
      <sz val="12"/>
      <name val="Trebuchet MS"/>
      <family val="2"/>
    </font>
    <font>
      <b/>
      <sz val="14"/>
      <name val="Trebuchet MS"/>
      <family val="2"/>
    </font>
    <font>
      <b/>
      <sz val="22"/>
      <color indexed="9"/>
      <name val="Trebuchet MS"/>
      <family val="2"/>
    </font>
    <font>
      <b/>
      <sz val="16"/>
      <color indexed="9"/>
      <name val="Trebuchet MS"/>
      <family val="2"/>
    </font>
    <font>
      <b/>
      <sz val="22"/>
      <name val="Trebuchet MS"/>
      <family val="2"/>
    </font>
    <font>
      <sz val="12"/>
      <name val="Trebuchet MS"/>
      <family val="2"/>
    </font>
    <font>
      <u/>
      <sz val="12"/>
      <color indexed="12"/>
      <name val="Trebuchet MS"/>
      <family val="2"/>
    </font>
    <font>
      <u/>
      <sz val="12"/>
      <color indexed="10"/>
      <name val="Trebuchet MS"/>
      <family val="2"/>
    </font>
    <font>
      <sz val="12"/>
      <color indexed="10"/>
      <name val="Trebuchet MS"/>
      <family val="2"/>
    </font>
    <font>
      <sz val="22"/>
      <name val="Trebuchet MS"/>
      <family val="2"/>
    </font>
    <font>
      <b/>
      <sz val="16"/>
      <name val="Trebuchet MS"/>
      <family val="2"/>
    </font>
    <font>
      <b/>
      <sz val="12"/>
      <color indexed="12"/>
      <name val="Trebuchet MS"/>
      <family val="2"/>
    </font>
    <font>
      <u/>
      <sz val="10"/>
      <color indexed="12"/>
      <name val="Trebuchet MS"/>
      <family val="2"/>
    </font>
    <font>
      <sz val="10"/>
      <color indexed="12"/>
      <name val="Trebuchet MS"/>
      <family val="2"/>
    </font>
    <font>
      <sz val="16"/>
      <name val="Trebuchet MS"/>
      <family val="2"/>
    </font>
    <font>
      <sz val="10"/>
      <color indexed="8"/>
      <name val="Trebuchet MS"/>
      <family val="2"/>
    </font>
    <font>
      <sz val="10"/>
      <color indexed="10"/>
      <name val="Trebuchet MS"/>
      <family val="2"/>
    </font>
    <font>
      <b/>
      <i/>
      <sz val="10"/>
      <color indexed="8"/>
      <name val="Trebuchet MS"/>
      <family val="2"/>
    </font>
    <font>
      <i/>
      <sz val="10"/>
      <name val="Trebuchet MS"/>
      <family val="2"/>
    </font>
    <font>
      <sz val="12"/>
      <color indexed="8"/>
      <name val="Trebuchet MS"/>
      <family val="2"/>
    </font>
    <font>
      <b/>
      <sz val="12"/>
      <color indexed="8"/>
      <name val="Trebuchet MS"/>
      <family val="2"/>
    </font>
    <font>
      <b/>
      <sz val="10"/>
      <color indexed="8"/>
      <name val="Trebuchet MS"/>
      <family val="2"/>
    </font>
    <font>
      <b/>
      <u/>
      <sz val="14"/>
      <name val="Trebuchet MS"/>
      <family val="2"/>
    </font>
    <font>
      <b/>
      <u/>
      <sz val="14"/>
      <color indexed="8"/>
      <name val="Trebuchet MS"/>
      <family val="2"/>
    </font>
    <font>
      <b/>
      <i/>
      <sz val="10"/>
      <name val="Trebuchet MS"/>
      <family val="2"/>
    </font>
    <font>
      <sz val="8"/>
      <color indexed="10"/>
      <name val="Trebuchet MS"/>
      <family val="2"/>
    </font>
    <font>
      <b/>
      <sz val="8"/>
      <name val="Trebuchet MS"/>
      <family val="2"/>
    </font>
    <font>
      <sz val="8"/>
      <name val="Trebuchet MS"/>
      <family val="2"/>
    </font>
    <font>
      <b/>
      <sz val="13"/>
      <name val="Trebuchet MS"/>
      <family val="2"/>
    </font>
    <font>
      <b/>
      <sz val="14"/>
      <color indexed="8"/>
      <name val="Trebuchet MS"/>
      <family val="2"/>
    </font>
    <font>
      <sz val="14"/>
      <name val="Trebuchet MS"/>
      <family val="2"/>
    </font>
    <font>
      <sz val="13"/>
      <name val="Trebuchet MS"/>
      <family val="2"/>
    </font>
    <font>
      <b/>
      <i/>
      <sz val="12"/>
      <color indexed="8"/>
      <name val="Trebuchet MS"/>
      <family val="2"/>
    </font>
    <font>
      <i/>
      <sz val="10"/>
      <color indexed="8"/>
      <name val="Trebuchet MS"/>
      <family val="2"/>
    </font>
    <font>
      <i/>
      <sz val="12"/>
      <color indexed="8"/>
      <name val="Trebuchet MS"/>
      <family val="2"/>
    </font>
    <font>
      <b/>
      <i/>
      <sz val="14"/>
      <name val="Trebuchet MS"/>
      <family val="2"/>
    </font>
    <font>
      <sz val="16"/>
      <color indexed="9"/>
      <name val="Trebuchet MS"/>
      <family val="2"/>
    </font>
    <font>
      <b/>
      <sz val="14"/>
      <color indexed="9"/>
      <name val="Arial"/>
      <family val="2"/>
    </font>
    <font>
      <sz val="14"/>
      <color indexed="9"/>
      <name val="Arial"/>
      <family val="2"/>
    </font>
    <font>
      <sz val="14"/>
      <color indexed="9"/>
      <name val="Trebuchet MS"/>
      <family val="2"/>
    </font>
    <font>
      <sz val="14"/>
      <color indexed="9"/>
      <name val="Arial"/>
      <family val="2"/>
    </font>
    <font>
      <b/>
      <sz val="10"/>
      <color indexed="9"/>
      <name val="Trebuchet MS"/>
      <family val="2"/>
    </font>
    <font>
      <sz val="10"/>
      <name val="Arial"/>
      <family val="2"/>
    </font>
    <font>
      <b/>
      <sz val="14"/>
      <color indexed="9"/>
      <name val="Trebuchet MS"/>
      <family val="2"/>
    </font>
    <font>
      <sz val="9"/>
      <name val="Trebuchet MS"/>
      <family val="2"/>
    </font>
    <font>
      <b/>
      <sz val="14"/>
      <color rgb="FF000000"/>
      <name val="Trebuchet MS"/>
      <family val="2"/>
    </font>
    <font>
      <b/>
      <sz val="10"/>
      <color rgb="FF000000"/>
      <name val="Arial"/>
      <family val="2"/>
    </font>
  </fonts>
  <fills count="1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6"/>
        <bgColor indexed="64"/>
      </patternFill>
    </fill>
    <fill>
      <patternFill patternType="solid">
        <fgColor indexed="13"/>
        <bgColor indexed="64"/>
      </patternFill>
    </fill>
    <fill>
      <patternFill patternType="solid">
        <fgColor indexed="44"/>
        <bgColor indexed="64"/>
      </patternFill>
    </fill>
    <fill>
      <patternFill patternType="solid">
        <fgColor indexed="22"/>
        <bgColor indexed="64"/>
      </patternFill>
    </fill>
    <fill>
      <patternFill patternType="solid">
        <fgColor indexed="41"/>
        <bgColor indexed="64"/>
      </patternFill>
    </fill>
    <fill>
      <patternFill patternType="solid">
        <fgColor indexed="12"/>
        <bgColor indexed="64"/>
      </patternFill>
    </fill>
    <fill>
      <patternFill patternType="solid">
        <fgColor indexed="42"/>
        <bgColor indexed="64"/>
      </patternFill>
    </fill>
    <fill>
      <patternFill patternType="solid">
        <fgColor indexed="56"/>
        <bgColor indexed="64"/>
      </patternFill>
    </fill>
    <fill>
      <patternFill patternType="solid">
        <fgColor indexed="48"/>
        <bgColor indexed="64"/>
      </patternFill>
    </fill>
    <fill>
      <patternFill patternType="solid">
        <fgColor indexed="27"/>
        <bgColor indexed="64"/>
      </patternFill>
    </fill>
    <fill>
      <patternFill patternType="gray0625">
        <bgColor indexed="44"/>
      </patternFill>
    </fill>
  </fills>
  <borders count="61">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style="medium">
        <color indexed="64"/>
      </left>
      <right/>
      <top/>
      <bottom/>
      <diagonal/>
    </border>
    <border>
      <left/>
      <right style="thin">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style="double">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
    <xf numFmtId="0" fontId="0" fillId="0" borderId="0"/>
    <xf numFmtId="0" fontId="10" fillId="0" borderId="0" applyNumberFormat="0" applyFill="0" applyBorder="0" applyAlignment="0" applyProtection="0">
      <alignment vertical="top"/>
      <protection locked="0"/>
    </xf>
    <xf numFmtId="164" fontId="2" fillId="0" borderId="0" applyFont="0" applyFill="0" applyBorder="0" applyAlignment="0" applyProtection="0"/>
    <xf numFmtId="172"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71" fontId="2" fillId="0" borderId="0" applyFont="0" applyFill="0" applyBorder="0" applyAlignment="0" applyProtection="0"/>
  </cellStyleXfs>
  <cellXfs count="2241">
    <xf numFmtId="0" fontId="0" fillId="0" borderId="0" xfId="0"/>
    <xf numFmtId="0" fontId="0" fillId="0" borderId="1" xfId="0"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applyAlignment="1">
      <alignment horizontal="center"/>
    </xf>
    <xf numFmtId="0" fontId="0" fillId="0" borderId="3" xfId="0" applyBorder="1" applyAlignment="1">
      <alignment horizontal="right"/>
    </xf>
    <xf numFmtId="0" fontId="4" fillId="0" borderId="3" xfId="0" applyFont="1" applyFill="1" applyBorder="1"/>
    <xf numFmtId="0" fontId="0" fillId="0" borderId="0" xfId="0" applyFill="1" applyBorder="1"/>
    <xf numFmtId="0" fontId="6" fillId="0" borderId="0" xfId="0" applyFont="1" applyBorder="1"/>
    <xf numFmtId="0" fontId="1" fillId="0" borderId="7" xfId="0" applyFont="1" applyBorder="1"/>
    <xf numFmtId="0" fontId="7" fillId="0" borderId="0" xfId="0" applyFont="1" applyFill="1" applyBorder="1"/>
    <xf numFmtId="0" fontId="0" fillId="0" borderId="8" xfId="0" applyBorder="1" applyAlignment="1">
      <alignment horizontal="right"/>
    </xf>
    <xf numFmtId="0" fontId="5" fillId="0" borderId="5" xfId="0" applyFont="1" applyFill="1" applyBorder="1"/>
    <xf numFmtId="0" fontId="5" fillId="0" borderId="6" xfId="0" applyFont="1" applyFill="1" applyBorder="1"/>
    <xf numFmtId="0" fontId="6" fillId="0" borderId="9" xfId="0" applyFont="1" applyBorder="1"/>
    <xf numFmtId="0" fontId="7" fillId="0" borderId="2" xfId="0" applyFont="1" applyBorder="1"/>
    <xf numFmtId="0" fontId="0" fillId="0" borderId="0" xfId="0" applyFill="1"/>
    <xf numFmtId="0" fontId="4" fillId="0" borderId="0" xfId="0" applyNumberFormat="1" applyFont="1" applyFill="1" applyBorder="1"/>
    <xf numFmtId="0" fontId="7" fillId="0" borderId="4" xfId="0" applyFont="1" applyBorder="1"/>
    <xf numFmtId="0" fontId="8" fillId="0" borderId="9" xfId="0" applyFont="1" applyFill="1" applyBorder="1"/>
    <xf numFmtId="0" fontId="7" fillId="0" borderId="10" xfId="0" applyFont="1" applyBorder="1"/>
    <xf numFmtId="0" fontId="6" fillId="0" borderId="0" xfId="0" applyFont="1" applyBorder="1" applyAlignment="1">
      <alignment horizontal="center"/>
    </xf>
    <xf numFmtId="0" fontId="7" fillId="0" borderId="0" xfId="0" applyFont="1" applyFill="1" applyBorder="1" applyAlignment="1">
      <alignment horizontal="right"/>
    </xf>
    <xf numFmtId="14" fontId="3" fillId="0" borderId="0" xfId="0" applyNumberFormat="1" applyFont="1" applyFill="1" applyBorder="1"/>
    <xf numFmtId="14" fontId="4" fillId="0" borderId="0" xfId="0" applyNumberFormat="1" applyFont="1" applyFill="1" applyBorder="1"/>
    <xf numFmtId="49" fontId="7" fillId="0" borderId="0" xfId="0" applyNumberFormat="1" applyFont="1" applyFill="1" applyBorder="1"/>
    <xf numFmtId="170" fontId="7" fillId="0" borderId="0" xfId="0" applyNumberFormat="1" applyFont="1" applyFill="1" applyBorder="1" applyAlignment="1">
      <alignment horizontal="right"/>
    </xf>
    <xf numFmtId="0" fontId="7" fillId="0" borderId="3" xfId="0" applyFont="1" applyFill="1" applyBorder="1" applyAlignment="1">
      <alignment horizontal="right"/>
    </xf>
    <xf numFmtId="14" fontId="5" fillId="0" borderId="5" xfId="0" applyNumberFormat="1" applyFont="1" applyFill="1" applyBorder="1"/>
    <xf numFmtId="0" fontId="6" fillId="0" borderId="11" xfId="0" applyFont="1" applyBorder="1"/>
    <xf numFmtId="0" fontId="6" fillId="0" borderId="9" xfId="0" applyFont="1" applyFill="1" applyBorder="1" applyAlignment="1">
      <alignment horizontal="right"/>
    </xf>
    <xf numFmtId="0" fontId="0" fillId="0" borderId="1" xfId="0" quotePrefix="1" applyBorder="1"/>
    <xf numFmtId="0" fontId="1" fillId="0" borderId="11" xfId="0" applyFont="1" applyBorder="1"/>
    <xf numFmtId="0" fontId="6" fillId="0" borderId="4" xfId="0" applyFont="1" applyBorder="1" applyAlignment="1">
      <alignment horizontal="center"/>
    </xf>
    <xf numFmtId="3" fontId="7" fillId="0" borderId="12" xfId="0" applyNumberFormat="1" applyFont="1" applyBorder="1"/>
    <xf numFmtId="3" fontId="7" fillId="0" borderId="9" xfId="0" applyNumberFormat="1" applyFont="1" applyBorder="1"/>
    <xf numFmtId="0" fontId="12" fillId="2" borderId="10" xfId="0" applyFont="1" applyFill="1" applyBorder="1" applyProtection="1"/>
    <xf numFmtId="0" fontId="13" fillId="2" borderId="1" xfId="0" applyFont="1" applyFill="1" applyBorder="1" applyProtection="1"/>
    <xf numFmtId="0" fontId="13" fillId="2" borderId="8" xfId="0" applyFont="1" applyFill="1" applyBorder="1" applyProtection="1"/>
    <xf numFmtId="0" fontId="13" fillId="2" borderId="0" xfId="0" applyFont="1" applyFill="1"/>
    <xf numFmtId="0" fontId="13" fillId="0" borderId="0" xfId="0" applyFont="1"/>
    <xf numFmtId="0" fontId="13" fillId="2" borderId="4" xfId="0" applyFont="1" applyFill="1" applyBorder="1" applyProtection="1"/>
    <xf numFmtId="0" fontId="13" fillId="2" borderId="5" xfId="0" applyFont="1" applyFill="1" applyBorder="1" applyProtection="1"/>
    <xf numFmtId="0" fontId="13" fillId="2" borderId="6" xfId="0" applyFont="1" applyFill="1" applyBorder="1" applyProtection="1"/>
    <xf numFmtId="0" fontId="13" fillId="2" borderId="2" xfId="0" applyFont="1" applyFill="1" applyBorder="1" applyProtection="1"/>
    <xf numFmtId="0" fontId="14" fillId="3" borderId="13" xfId="0" applyFont="1" applyFill="1" applyBorder="1" applyAlignment="1" applyProtection="1">
      <alignment horizontal="center" vertical="top"/>
    </xf>
    <xf numFmtId="0" fontId="14" fillId="2" borderId="0" xfId="0" applyFont="1" applyFill="1" applyBorder="1" applyAlignment="1" applyProtection="1">
      <alignment horizontal="center" vertical="top"/>
    </xf>
    <xf numFmtId="0" fontId="0" fillId="2" borderId="0" xfId="0" applyFill="1" applyBorder="1" applyAlignment="1" applyProtection="1">
      <alignment horizontal="center" vertical="top"/>
    </xf>
    <xf numFmtId="0" fontId="13" fillId="2" borderId="0" xfId="0" applyFont="1" applyFill="1" applyBorder="1" applyProtection="1"/>
    <xf numFmtId="0" fontId="13" fillId="2" borderId="3" xfId="0" applyFont="1" applyFill="1" applyBorder="1" applyProtection="1"/>
    <xf numFmtId="0" fontId="14" fillId="3" borderId="14" xfId="0" applyFont="1" applyFill="1" applyBorder="1" applyAlignment="1" applyProtection="1">
      <alignment horizontal="center" vertical="top"/>
    </xf>
    <xf numFmtId="0" fontId="14" fillId="3" borderId="4" xfId="0" applyFont="1" applyFill="1" applyBorder="1" applyAlignment="1" applyProtection="1">
      <alignment horizontal="center" vertical="top"/>
    </xf>
    <xf numFmtId="0" fontId="14" fillId="3" borderId="6" xfId="0" applyFont="1" applyFill="1" applyBorder="1" applyAlignment="1" applyProtection="1">
      <alignment horizontal="center" vertical="top"/>
    </xf>
    <xf numFmtId="0" fontId="14" fillId="3" borderId="5" xfId="0" applyFont="1" applyFill="1" applyBorder="1" applyAlignment="1" applyProtection="1">
      <alignment horizontal="center" vertical="top"/>
    </xf>
    <xf numFmtId="0" fontId="13" fillId="2" borderId="9" xfId="0" applyFont="1" applyFill="1" applyBorder="1" applyAlignment="1" applyProtection="1">
      <alignment horizontal="center" vertical="top"/>
    </xf>
    <xf numFmtId="0" fontId="13" fillId="2" borderId="0" xfId="0" applyFont="1" applyFill="1" applyBorder="1" applyAlignment="1" applyProtection="1">
      <alignment horizontal="center" vertical="top"/>
    </xf>
    <xf numFmtId="0" fontId="13" fillId="2" borderId="14" xfId="0" applyFont="1" applyFill="1" applyBorder="1" applyAlignment="1" applyProtection="1">
      <alignment horizontal="center" vertical="top"/>
    </xf>
    <xf numFmtId="3" fontId="13" fillId="4" borderId="9" xfId="4" applyNumberFormat="1" applyFont="1" applyFill="1" applyBorder="1" applyAlignment="1" applyProtection="1">
      <alignment horizontal="center" vertical="top"/>
      <protection locked="0"/>
    </xf>
    <xf numFmtId="3" fontId="14" fillId="3" borderId="14" xfId="4" applyNumberFormat="1" applyFont="1" applyFill="1" applyBorder="1" applyAlignment="1" applyProtection="1">
      <alignment horizontal="center" vertical="top"/>
    </xf>
    <xf numFmtId="0" fontId="13" fillId="2" borderId="0" xfId="0" applyFont="1" applyFill="1" applyBorder="1" applyAlignment="1" applyProtection="1">
      <alignment horizontal="center" vertical="center"/>
    </xf>
    <xf numFmtId="0" fontId="13" fillId="2" borderId="12" xfId="0" applyFont="1" applyFill="1" applyBorder="1" applyAlignment="1" applyProtection="1">
      <alignment horizontal="center" vertical="top"/>
    </xf>
    <xf numFmtId="0" fontId="13" fillId="2" borderId="13" xfId="0" applyFont="1" applyFill="1" applyBorder="1" applyAlignment="1" applyProtection="1">
      <alignment horizontal="center" vertical="top"/>
    </xf>
    <xf numFmtId="0" fontId="12" fillId="2" borderId="0" xfId="0" applyFont="1" applyFill="1" applyBorder="1" applyAlignment="1" applyProtection="1">
      <alignment horizontal="left" vertical="top"/>
    </xf>
    <xf numFmtId="0" fontId="13" fillId="3" borderId="9" xfId="0" applyFont="1" applyFill="1" applyBorder="1" applyAlignment="1" applyProtection="1">
      <alignment horizontal="left" vertical="top"/>
    </xf>
    <xf numFmtId="0" fontId="13" fillId="3" borderId="11" xfId="0" applyFont="1" applyFill="1" applyBorder="1" applyAlignment="1" applyProtection="1">
      <alignment horizontal="left" vertical="top"/>
    </xf>
    <xf numFmtId="0" fontId="13" fillId="3" borderId="12" xfId="0" applyFont="1" applyFill="1" applyBorder="1" applyAlignment="1" applyProtection="1">
      <alignment horizontal="left" vertical="top"/>
    </xf>
    <xf numFmtId="3" fontId="14" fillId="3" borderId="9" xfId="4" applyNumberFormat="1" applyFont="1" applyFill="1" applyBorder="1" applyAlignment="1" applyProtection="1">
      <alignment horizontal="center" vertical="top"/>
    </xf>
    <xf numFmtId="0" fontId="13" fillId="5" borderId="4" xfId="0" applyFont="1" applyFill="1" applyBorder="1" applyProtection="1">
      <protection locked="0"/>
    </xf>
    <xf numFmtId="0" fontId="13" fillId="2" borderId="5" xfId="0" applyFont="1" applyFill="1" applyBorder="1"/>
    <xf numFmtId="0" fontId="13" fillId="2" borderId="6" xfId="0" applyFont="1" applyFill="1" applyBorder="1"/>
    <xf numFmtId="0" fontId="13" fillId="2" borderId="4" xfId="0" applyFont="1" applyFill="1" applyBorder="1"/>
    <xf numFmtId="0" fontId="13" fillId="2" borderId="0" xfId="0" applyFont="1" applyFill="1" applyBorder="1"/>
    <xf numFmtId="0" fontId="13" fillId="2" borderId="1" xfId="0" applyFont="1" applyFill="1" applyBorder="1"/>
    <xf numFmtId="0" fontId="13" fillId="0" borderId="8" xfId="0" applyFont="1" applyBorder="1"/>
    <xf numFmtId="0" fontId="13" fillId="0" borderId="3" xfId="0" applyFont="1" applyBorder="1"/>
    <xf numFmtId="3" fontId="14" fillId="3" borderId="13" xfId="4" applyNumberFormat="1" applyFont="1" applyFill="1" applyBorder="1" applyAlignment="1" applyProtection="1">
      <alignment horizontal="center" vertical="top"/>
    </xf>
    <xf numFmtId="3" fontId="13" fillId="2" borderId="1" xfId="4" applyNumberFormat="1" applyFont="1" applyFill="1" applyBorder="1" applyAlignment="1" applyProtection="1">
      <alignment horizontal="center" vertical="top"/>
    </xf>
    <xf numFmtId="3" fontId="14" fillId="2" borderId="1" xfId="4" applyNumberFormat="1" applyFont="1" applyFill="1" applyBorder="1" applyAlignment="1" applyProtection="1">
      <alignment horizontal="center" vertical="top"/>
    </xf>
    <xf numFmtId="0" fontId="13" fillId="2" borderId="9" xfId="0" applyFont="1" applyFill="1" applyBorder="1" applyAlignment="1" applyProtection="1">
      <alignment horizontal="center"/>
    </xf>
    <xf numFmtId="0" fontId="13" fillId="2" borderId="0" xfId="0" applyFont="1" applyFill="1" applyBorder="1" applyAlignment="1" applyProtection="1">
      <alignment horizontal="left" vertical="top"/>
    </xf>
    <xf numFmtId="0" fontId="13" fillId="0" borderId="6" xfId="0" applyFont="1" applyBorder="1"/>
    <xf numFmtId="0" fontId="13" fillId="2" borderId="10" xfId="0" applyFont="1" applyFill="1" applyBorder="1" applyProtection="1"/>
    <xf numFmtId="0" fontId="0" fillId="0" borderId="0" xfId="0" applyBorder="1" applyAlignment="1" applyProtection="1"/>
    <xf numFmtId="3" fontId="13" fillId="4" borderId="9" xfId="4" applyNumberFormat="1" applyFont="1" applyFill="1" applyBorder="1" applyAlignment="1" applyProtection="1">
      <alignment horizontal="center" vertical="top"/>
    </xf>
    <xf numFmtId="3" fontId="13" fillId="4" borderId="11" xfId="4" applyNumberFormat="1" applyFont="1" applyFill="1" applyBorder="1" applyAlignment="1" applyProtection="1">
      <alignment horizontal="center" vertical="top"/>
    </xf>
    <xf numFmtId="3" fontId="14" fillId="2" borderId="2" xfId="4" applyNumberFormat="1" applyFont="1" applyFill="1" applyBorder="1" applyAlignment="1" applyProtection="1">
      <alignment horizontal="center" vertical="top"/>
    </xf>
    <xf numFmtId="0" fontId="13" fillId="0" borderId="9" xfId="0" applyFont="1" applyBorder="1" applyAlignment="1" applyProtection="1">
      <alignment horizontal="center"/>
    </xf>
    <xf numFmtId="3" fontId="13" fillId="4" borderId="13" xfId="4" applyNumberFormat="1" applyFont="1" applyFill="1" applyBorder="1" applyAlignment="1" applyProtection="1">
      <alignment horizontal="center" vertical="top"/>
    </xf>
    <xf numFmtId="3" fontId="13" fillId="4" borderId="10" xfId="4" applyNumberFormat="1" applyFont="1" applyFill="1" applyBorder="1" applyAlignment="1" applyProtection="1">
      <alignment horizontal="center" vertical="top"/>
    </xf>
    <xf numFmtId="3" fontId="14" fillId="3" borderId="11" xfId="4" applyNumberFormat="1" applyFont="1" applyFill="1" applyBorder="1" applyAlignment="1" applyProtection="1">
      <alignment horizontal="center" vertical="top"/>
    </xf>
    <xf numFmtId="3" fontId="14" fillId="3" borderId="7" xfId="4" applyNumberFormat="1" applyFont="1" applyFill="1" applyBorder="1" applyAlignment="1" applyProtection="1">
      <alignment horizontal="center" vertical="top"/>
    </xf>
    <xf numFmtId="3" fontId="14" fillId="3" borderId="12" xfId="4" applyNumberFormat="1" applyFont="1" applyFill="1" applyBorder="1" applyAlignment="1" applyProtection="1">
      <alignment horizontal="center" vertical="top"/>
    </xf>
    <xf numFmtId="3" fontId="14" fillId="2" borderId="0" xfId="4" applyNumberFormat="1" applyFont="1" applyFill="1" applyBorder="1" applyAlignment="1" applyProtection="1">
      <alignment horizontal="center" vertical="top"/>
    </xf>
    <xf numFmtId="0" fontId="13" fillId="2" borderId="2" xfId="0" applyFont="1" applyFill="1" applyBorder="1"/>
    <xf numFmtId="0" fontId="13" fillId="2" borderId="10" xfId="0" applyFont="1" applyFill="1" applyBorder="1"/>
    <xf numFmtId="0" fontId="13" fillId="2" borderId="8" xfId="0" applyFont="1" applyFill="1" applyBorder="1"/>
    <xf numFmtId="0" fontId="14" fillId="3" borderId="13" xfId="0" applyFont="1" applyFill="1" applyBorder="1" applyAlignment="1">
      <alignment horizontal="center" vertical="top"/>
    </xf>
    <xf numFmtId="0" fontId="14" fillId="2" borderId="0" xfId="0" applyFont="1" applyFill="1" applyBorder="1" applyAlignment="1">
      <alignment horizontal="center" vertical="top"/>
    </xf>
    <xf numFmtId="0" fontId="0" fillId="2" borderId="0" xfId="0" applyFill="1" applyBorder="1" applyAlignment="1">
      <alignment horizontal="center" vertical="top"/>
    </xf>
    <xf numFmtId="0" fontId="0" fillId="0" borderId="2" xfId="0" applyBorder="1" applyAlignment="1"/>
    <xf numFmtId="0" fontId="13" fillId="2" borderId="3" xfId="0" applyFont="1" applyFill="1" applyBorder="1"/>
    <xf numFmtId="0" fontId="14" fillId="3" borderId="14" xfId="0" applyFont="1" applyFill="1" applyBorder="1" applyAlignment="1">
      <alignment horizontal="center" vertical="top"/>
    </xf>
    <xf numFmtId="0" fontId="14" fillId="3" borderId="4" xfId="0" applyFont="1" applyFill="1" applyBorder="1" applyAlignment="1">
      <alignment horizontal="center" vertical="top"/>
    </xf>
    <xf numFmtId="0" fontId="14" fillId="3" borderId="6" xfId="0" applyFont="1" applyFill="1" applyBorder="1" applyAlignment="1">
      <alignment horizontal="center" vertical="top"/>
    </xf>
    <xf numFmtId="0" fontId="14" fillId="3" borderId="5" xfId="0" applyFont="1" applyFill="1" applyBorder="1" applyAlignment="1">
      <alignment horizontal="center" vertical="top"/>
    </xf>
    <xf numFmtId="0" fontId="14" fillId="2" borderId="2" xfId="0" applyFont="1" applyFill="1" applyBorder="1" applyAlignment="1">
      <alignment horizontal="center" vertical="top"/>
    </xf>
    <xf numFmtId="0" fontId="13" fillId="2" borderId="9" xfId="0" applyFont="1" applyFill="1" applyBorder="1" applyAlignment="1">
      <alignment horizontal="center" vertical="top"/>
    </xf>
    <xf numFmtId="0" fontId="13" fillId="2" borderId="0" xfId="0" applyFont="1" applyFill="1" applyBorder="1" applyAlignment="1">
      <alignment horizontal="center" vertical="top"/>
    </xf>
    <xf numFmtId="0" fontId="13" fillId="2" borderId="14" xfId="0" applyFont="1" applyFill="1" applyBorder="1" applyAlignment="1">
      <alignment horizontal="center" vertical="top"/>
    </xf>
    <xf numFmtId="168" fontId="13" fillId="4" borderId="9" xfId="7" applyNumberFormat="1" applyFont="1" applyFill="1" applyBorder="1" applyAlignment="1" applyProtection="1">
      <alignment horizontal="center" vertical="top"/>
      <protection locked="0"/>
    </xf>
    <xf numFmtId="3" fontId="14" fillId="2" borderId="2" xfId="4" applyNumberFormat="1" applyFont="1" applyFill="1" applyBorder="1" applyAlignment="1">
      <alignment horizontal="center" vertical="top"/>
    </xf>
    <xf numFmtId="0" fontId="13" fillId="2" borderId="0" xfId="0" applyFont="1" applyFill="1" applyBorder="1" applyAlignment="1">
      <alignment horizontal="center" vertical="center"/>
    </xf>
    <xf numFmtId="0" fontId="13" fillId="2" borderId="13" xfId="0" applyFont="1" applyFill="1" applyBorder="1" applyAlignment="1">
      <alignment horizontal="center" vertical="top"/>
    </xf>
    <xf numFmtId="0" fontId="13" fillId="3" borderId="9" xfId="0" applyFont="1" applyFill="1" applyBorder="1" applyAlignment="1">
      <alignment horizontal="left" vertical="top"/>
    </xf>
    <xf numFmtId="0" fontId="12" fillId="2" borderId="0" xfId="0" applyFont="1" applyFill="1" applyBorder="1" applyAlignment="1">
      <alignment horizontal="left" vertical="top"/>
    </xf>
    <xf numFmtId="3" fontId="14" fillId="3" borderId="11" xfId="4" applyNumberFormat="1" applyFont="1" applyFill="1" applyBorder="1" applyAlignment="1" applyProtection="1">
      <alignment horizontal="center" vertical="top"/>
      <protection locked="0"/>
    </xf>
    <xf numFmtId="3" fontId="14" fillId="3" borderId="7" xfId="4" applyNumberFormat="1" applyFont="1" applyFill="1" applyBorder="1" applyAlignment="1" applyProtection="1">
      <alignment horizontal="center" vertical="top"/>
      <protection locked="0"/>
    </xf>
    <xf numFmtId="3" fontId="14" fillId="3" borderId="12" xfId="4" applyNumberFormat="1" applyFont="1" applyFill="1" applyBorder="1" applyAlignment="1" applyProtection="1">
      <alignment horizontal="center" vertical="top"/>
      <protection locked="0"/>
    </xf>
    <xf numFmtId="3" fontId="14" fillId="2" borderId="0" xfId="4" applyNumberFormat="1" applyFont="1" applyFill="1" applyBorder="1" applyAlignment="1" applyProtection="1">
      <alignment horizontal="center" vertical="top"/>
      <protection locked="0"/>
    </xf>
    <xf numFmtId="173" fontId="13" fillId="4" borderId="9" xfId="7" applyNumberFormat="1" applyFont="1" applyFill="1" applyBorder="1" applyAlignment="1" applyProtection="1">
      <alignment horizontal="center" vertical="top"/>
      <protection locked="0"/>
    </xf>
    <xf numFmtId="173" fontId="13" fillId="4" borderId="9" xfId="7" applyNumberFormat="1" applyFont="1" applyFill="1" applyBorder="1" applyAlignment="1" applyProtection="1">
      <alignment horizontal="center" vertical="top"/>
    </xf>
    <xf numFmtId="3" fontId="13" fillId="2" borderId="5" xfId="4" applyNumberFormat="1" applyFont="1" applyFill="1" applyBorder="1" applyAlignment="1" applyProtection="1">
      <alignment horizontal="center" vertical="top"/>
    </xf>
    <xf numFmtId="0" fontId="13" fillId="4" borderId="2" xfId="0" applyFont="1" applyFill="1" applyBorder="1" applyProtection="1"/>
    <xf numFmtId="0" fontId="13" fillId="4" borderId="0" xfId="0" applyFont="1" applyFill="1" applyBorder="1" applyProtection="1"/>
    <xf numFmtId="0" fontId="13" fillId="4" borderId="3" xfId="0" applyFont="1" applyFill="1" applyBorder="1" applyProtection="1"/>
    <xf numFmtId="0" fontId="13" fillId="4" borderId="4" xfId="0" applyFont="1" applyFill="1" applyBorder="1" applyProtection="1"/>
    <xf numFmtId="0" fontId="13" fillId="4" borderId="5" xfId="0" applyFont="1" applyFill="1" applyBorder="1" applyProtection="1"/>
    <xf numFmtId="0" fontId="13" fillId="4" borderId="6" xfId="0" applyFont="1" applyFill="1" applyBorder="1" applyProtection="1"/>
    <xf numFmtId="0" fontId="13" fillId="2" borderId="0" xfId="0" applyFont="1" applyFill="1" applyBorder="1" applyAlignment="1" applyProtection="1"/>
    <xf numFmtId="0" fontId="14" fillId="2" borderId="0" xfId="0" applyFont="1" applyFill="1" applyBorder="1" applyAlignment="1" applyProtection="1">
      <alignment horizontal="center" vertical="center"/>
    </xf>
    <xf numFmtId="0" fontId="13" fillId="0" borderId="2" xfId="0" applyFont="1" applyBorder="1"/>
    <xf numFmtId="0" fontId="13" fillId="0" borderId="0" xfId="0" applyFont="1" applyBorder="1"/>
    <xf numFmtId="0" fontId="13" fillId="0" borderId="3" xfId="0" applyFont="1" applyBorder="1" applyAlignment="1">
      <alignment horizontal="right"/>
    </xf>
    <xf numFmtId="0" fontId="20" fillId="0" borderId="2" xfId="0" applyFont="1" applyBorder="1"/>
    <xf numFmtId="0" fontId="20" fillId="0" borderId="0" xfId="0" applyFont="1" applyBorder="1"/>
    <xf numFmtId="49" fontId="20" fillId="0" borderId="0" xfId="0" applyNumberFormat="1" applyFont="1" applyProtection="1">
      <protection locked="0"/>
    </xf>
    <xf numFmtId="0" fontId="20" fillId="0" borderId="0" xfId="0" applyFont="1"/>
    <xf numFmtId="1" fontId="20" fillId="0" borderId="0" xfId="0" applyNumberFormat="1" applyFont="1"/>
    <xf numFmtId="0" fontId="20" fillId="0" borderId="0" xfId="0" applyFont="1" applyFill="1" applyBorder="1"/>
    <xf numFmtId="0" fontId="20" fillId="6" borderId="0" xfId="0" applyFont="1" applyFill="1" applyBorder="1" applyAlignment="1" applyProtection="1">
      <alignment horizontal="right"/>
      <protection locked="0"/>
    </xf>
    <xf numFmtId="0" fontId="13" fillId="0" borderId="4" xfId="0" applyFont="1" applyBorder="1"/>
    <xf numFmtId="0" fontId="13" fillId="0" borderId="5" xfId="0" applyFont="1" applyBorder="1"/>
    <xf numFmtId="0" fontId="13" fillId="0" borderId="10" xfId="0" applyFont="1" applyBorder="1"/>
    <xf numFmtId="0" fontId="13" fillId="0" borderId="1" xfId="0" applyFont="1" applyBorder="1"/>
    <xf numFmtId="0" fontId="19" fillId="0" borderId="3" xfId="0" applyFont="1" applyBorder="1" applyAlignment="1">
      <alignment horizontal="centerContinuous"/>
    </xf>
    <xf numFmtId="0" fontId="24" fillId="0" borderId="0" xfId="0" applyFont="1"/>
    <xf numFmtId="0" fontId="19" fillId="0" borderId="2" xfId="0" applyFont="1" applyBorder="1" applyAlignment="1">
      <alignment horizontal="center"/>
    </xf>
    <xf numFmtId="0" fontId="19" fillId="0" borderId="0" xfId="0" applyFont="1" applyBorder="1" applyAlignment="1">
      <alignment horizontal="center"/>
    </xf>
    <xf numFmtId="0" fontId="24" fillId="0" borderId="3" xfId="0" applyFont="1" applyBorder="1"/>
    <xf numFmtId="0" fontId="19" fillId="0" borderId="2" xfId="0" applyFont="1" applyBorder="1" applyAlignment="1">
      <alignment horizontal="centerContinuous"/>
    </xf>
    <xf numFmtId="0" fontId="19" fillId="0" borderId="0" xfId="0" applyFont="1" applyBorder="1" applyAlignment="1">
      <alignment horizontal="centerContinuous"/>
    </xf>
    <xf numFmtId="0" fontId="25" fillId="0" borderId="2" xfId="0" applyFont="1" applyBorder="1" applyAlignment="1">
      <alignment horizontal="centerContinuous"/>
    </xf>
    <xf numFmtId="0" fontId="25" fillId="0" borderId="0" xfId="0" applyFont="1" applyBorder="1" applyAlignment="1">
      <alignment horizontal="centerContinuous"/>
    </xf>
    <xf numFmtId="0" fontId="25" fillId="0" borderId="3" xfId="0" applyFont="1" applyBorder="1" applyAlignment="1">
      <alignment horizontal="centerContinuous"/>
    </xf>
    <xf numFmtId="15" fontId="25" fillId="0" borderId="2" xfId="0" applyNumberFormat="1" applyFont="1" applyBorder="1" applyAlignment="1">
      <alignment horizontal="centerContinuous"/>
    </xf>
    <xf numFmtId="15" fontId="25" fillId="0" borderId="0" xfId="0" applyNumberFormat="1" applyFont="1" applyBorder="1" applyAlignment="1">
      <alignment horizontal="centerContinuous"/>
    </xf>
    <xf numFmtId="15" fontId="25" fillId="0" borderId="3" xfId="0" applyNumberFormat="1" applyFont="1" applyBorder="1" applyAlignment="1">
      <alignment horizontal="centerContinuous"/>
    </xf>
    <xf numFmtId="0" fontId="25" fillId="0" borderId="0" xfId="0" applyFont="1" applyBorder="1"/>
    <xf numFmtId="0" fontId="15" fillId="0" borderId="0" xfId="0" applyFont="1" applyBorder="1"/>
    <xf numFmtId="0" fontId="14" fillId="0" borderId="0" xfId="0" applyFont="1" applyBorder="1"/>
    <xf numFmtId="0" fontId="14" fillId="3" borderId="1" xfId="0" applyFont="1" applyFill="1" applyBorder="1"/>
    <xf numFmtId="0" fontId="13" fillId="3" borderId="6" xfId="0" applyFont="1" applyFill="1" applyBorder="1"/>
    <xf numFmtId="0" fontId="13" fillId="3" borderId="0" xfId="0" applyFont="1" applyFill="1"/>
    <xf numFmtId="0" fontId="13" fillId="7" borderId="0" xfId="0" applyFont="1" applyFill="1"/>
    <xf numFmtId="0" fontId="30" fillId="0" borderId="0" xfId="0" applyNumberFormat="1" applyFont="1" applyFill="1" applyBorder="1"/>
    <xf numFmtId="49" fontId="13" fillId="0" borderId="0" xfId="0" applyNumberFormat="1" applyFont="1" applyFill="1" applyBorder="1"/>
    <xf numFmtId="0" fontId="13" fillId="0" borderId="0" xfId="0" applyFont="1" applyFill="1" applyBorder="1"/>
    <xf numFmtId="0" fontId="13" fillId="0" borderId="0" xfId="0" applyFont="1" applyFill="1" applyBorder="1" applyAlignment="1">
      <alignment horizontal="right"/>
    </xf>
    <xf numFmtId="14" fontId="31" fillId="0" borderId="0" xfId="0" applyNumberFormat="1" applyFont="1" applyFill="1" applyBorder="1"/>
    <xf numFmtId="0" fontId="30" fillId="0" borderId="3" xfId="0" applyFont="1" applyFill="1" applyBorder="1"/>
    <xf numFmtId="14" fontId="30" fillId="0" borderId="0" xfId="0" applyNumberFormat="1" applyFont="1" applyFill="1" applyBorder="1"/>
    <xf numFmtId="170" fontId="13" fillId="0" borderId="0" xfId="0" applyNumberFormat="1" applyFont="1" applyFill="1" applyBorder="1" applyAlignment="1">
      <alignment horizontal="right"/>
    </xf>
    <xf numFmtId="0" fontId="13" fillId="0" borderId="3" xfId="0" applyFont="1" applyFill="1" applyBorder="1" applyAlignment="1">
      <alignment horizontal="right"/>
    </xf>
    <xf numFmtId="0" fontId="32" fillId="0" borderId="5" xfId="0" applyFont="1" applyFill="1" applyBorder="1"/>
    <xf numFmtId="14" fontId="32" fillId="0" borderId="5" xfId="0" applyNumberFormat="1" applyFont="1" applyFill="1" applyBorder="1"/>
    <xf numFmtId="0" fontId="32" fillId="0" borderId="6" xfId="0" applyFont="1" applyFill="1" applyBorder="1"/>
    <xf numFmtId="0" fontId="32" fillId="0" borderId="0" xfId="0" applyFont="1" applyFill="1" applyBorder="1"/>
    <xf numFmtId="14" fontId="32" fillId="0" borderId="0" xfId="0" applyNumberFormat="1" applyFont="1" applyFill="1" applyBorder="1"/>
    <xf numFmtId="0" fontId="14" fillId="0" borderId="11" xfId="0" applyFont="1" applyBorder="1"/>
    <xf numFmtId="0" fontId="13" fillId="0" borderId="7" xfId="0" applyFont="1" applyBorder="1"/>
    <xf numFmtId="0" fontId="13" fillId="0" borderId="12" xfId="0" applyFont="1" applyBorder="1"/>
    <xf numFmtId="0" fontId="13" fillId="8" borderId="10" xfId="0" applyFont="1" applyFill="1" applyBorder="1"/>
    <xf numFmtId="0" fontId="13" fillId="8" borderId="1" xfId="0" applyFont="1" applyFill="1" applyBorder="1"/>
    <xf numFmtId="0" fontId="13" fillId="8" borderId="8" xfId="0" applyFont="1" applyFill="1" applyBorder="1"/>
    <xf numFmtId="0" fontId="13" fillId="8" borderId="2" xfId="0" applyFont="1" applyFill="1" applyBorder="1"/>
    <xf numFmtId="0" fontId="13" fillId="8" borderId="0" xfId="0" applyFont="1" applyFill="1" applyBorder="1"/>
    <xf numFmtId="0" fontId="13" fillId="8" borderId="3" xfId="0" applyFont="1" applyFill="1" applyBorder="1"/>
    <xf numFmtId="0" fontId="13" fillId="8" borderId="4" xfId="0" applyFont="1" applyFill="1" applyBorder="1"/>
    <xf numFmtId="0" fontId="13" fillId="8" borderId="5" xfId="0" applyFont="1" applyFill="1" applyBorder="1"/>
    <xf numFmtId="0" fontId="13" fillId="8" borderId="6" xfId="0" applyFont="1" applyFill="1" applyBorder="1"/>
    <xf numFmtId="0" fontId="15" fillId="8" borderId="10" xfId="0" applyFont="1" applyFill="1" applyBorder="1"/>
    <xf numFmtId="0" fontId="15" fillId="8" borderId="2" xfId="0" applyFont="1" applyFill="1" applyBorder="1"/>
    <xf numFmtId="0" fontId="15" fillId="8" borderId="4" xfId="0" applyFont="1" applyFill="1" applyBorder="1"/>
    <xf numFmtId="0" fontId="31" fillId="7" borderId="0" xfId="0" applyFont="1" applyFill="1"/>
    <xf numFmtId="0" fontId="13" fillId="0" borderId="0" xfId="0" applyFont="1" applyFill="1"/>
    <xf numFmtId="0" fontId="17" fillId="9" borderId="10" xfId="0" applyFont="1" applyFill="1" applyBorder="1"/>
    <xf numFmtId="0" fontId="17" fillId="9" borderId="1" xfId="0" applyFont="1" applyFill="1" applyBorder="1"/>
    <xf numFmtId="0" fontId="18" fillId="9" borderId="8" xfId="0" applyFont="1" applyFill="1" applyBorder="1" applyAlignment="1">
      <alignment horizontal="right"/>
    </xf>
    <xf numFmtId="0" fontId="19" fillId="9" borderId="0" xfId="0" applyFont="1" applyFill="1"/>
    <xf numFmtId="0" fontId="13" fillId="9" borderId="0" xfId="0" applyFont="1" applyFill="1"/>
    <xf numFmtId="0" fontId="17" fillId="9" borderId="11" xfId="0" applyFont="1" applyFill="1" applyBorder="1"/>
    <xf numFmtId="0" fontId="17" fillId="9" borderId="7" xfId="0" applyFont="1" applyFill="1" applyBorder="1"/>
    <xf numFmtId="0" fontId="17" fillId="9" borderId="12" xfId="0" applyFont="1" applyFill="1" applyBorder="1" applyAlignment="1">
      <alignment horizontal="right"/>
    </xf>
    <xf numFmtId="0" fontId="29" fillId="7" borderId="0" xfId="0" applyFont="1" applyFill="1"/>
    <xf numFmtId="0" fontId="29" fillId="0" borderId="0" xfId="0" applyFont="1"/>
    <xf numFmtId="0" fontId="13" fillId="7" borderId="0" xfId="0" applyFont="1" applyFill="1" applyBorder="1"/>
    <xf numFmtId="0" fontId="13" fillId="6" borderId="2" xfId="0" applyFont="1" applyFill="1" applyBorder="1" applyProtection="1">
      <protection locked="0"/>
    </xf>
    <xf numFmtId="0" fontId="13" fillId="6" borderId="0" xfId="0" applyFont="1" applyFill="1" applyBorder="1" applyProtection="1">
      <protection locked="0"/>
    </xf>
    <xf numFmtId="0" fontId="13" fillId="6" borderId="3" xfId="0" applyFont="1" applyFill="1" applyBorder="1" applyProtection="1">
      <protection locked="0"/>
    </xf>
    <xf numFmtId="0" fontId="13" fillId="6" borderId="6" xfId="0" applyFont="1" applyFill="1" applyBorder="1" applyProtection="1">
      <protection locked="0"/>
    </xf>
    <xf numFmtId="0" fontId="14" fillId="0" borderId="11" xfId="0" applyFont="1" applyFill="1" applyBorder="1"/>
    <xf numFmtId="0" fontId="14" fillId="0" borderId="7" xfId="0" applyFont="1" applyBorder="1"/>
    <xf numFmtId="0" fontId="13" fillId="0" borderId="7" xfId="0" applyFont="1" applyFill="1" applyBorder="1"/>
    <xf numFmtId="0" fontId="13" fillId="0" borderId="12" xfId="0" applyFont="1" applyFill="1" applyBorder="1"/>
    <xf numFmtId="0" fontId="13" fillId="0" borderId="0" xfId="0" applyFont="1" applyAlignment="1">
      <alignment horizontal="right"/>
    </xf>
    <xf numFmtId="0" fontId="29" fillId="0" borderId="1" xfId="0" applyFont="1" applyBorder="1"/>
    <xf numFmtId="0" fontId="13" fillId="0" borderId="2" xfId="0" applyFont="1" applyFill="1" applyBorder="1"/>
    <xf numFmtId="0" fontId="14" fillId="0" borderId="0" xfId="0" applyFont="1" applyFill="1" applyBorder="1"/>
    <xf numFmtId="0" fontId="13" fillId="0" borderId="4" xfId="0" applyFont="1" applyFill="1" applyBorder="1"/>
    <xf numFmtId="0" fontId="13" fillId="0" borderId="5" xfId="0" applyFont="1" applyFill="1" applyBorder="1"/>
    <xf numFmtId="0" fontId="13" fillId="0" borderId="7" xfId="0" applyFont="1" applyFill="1" applyBorder="1" applyProtection="1">
      <protection locked="0"/>
    </xf>
    <xf numFmtId="0" fontId="13" fillId="0" borderId="10" xfId="0" applyFont="1" applyFill="1" applyBorder="1" applyProtection="1">
      <protection locked="0"/>
    </xf>
    <xf numFmtId="0" fontId="13" fillId="0" borderId="1" xfId="0" applyFont="1" applyFill="1" applyBorder="1" applyProtection="1">
      <protection locked="0"/>
    </xf>
    <xf numFmtId="0" fontId="13" fillId="0" borderId="2" xfId="0" applyFont="1" applyFill="1" applyBorder="1" applyProtection="1">
      <protection locked="0"/>
    </xf>
    <xf numFmtId="0" fontId="13" fillId="0" borderId="0" xfId="0" applyFont="1" applyFill="1" applyBorder="1" applyProtection="1">
      <protection locked="0"/>
    </xf>
    <xf numFmtId="0" fontId="13" fillId="0" borderId="4" xfId="0" applyFont="1" applyFill="1" applyBorder="1" applyProtection="1">
      <protection locked="0"/>
    </xf>
    <xf numFmtId="0" fontId="13" fillId="0" borderId="5" xfId="0" applyFont="1" applyFill="1" applyBorder="1" applyProtection="1">
      <protection locked="0"/>
    </xf>
    <xf numFmtId="0" fontId="13" fillId="0" borderId="1" xfId="0" applyFont="1" applyBorder="1" applyAlignment="1">
      <alignment horizontal="center"/>
    </xf>
    <xf numFmtId="0" fontId="13" fillId="0" borderId="0" xfId="0" applyFont="1" applyBorder="1" applyAlignment="1">
      <alignment horizontal="center"/>
    </xf>
    <xf numFmtId="3" fontId="13" fillId="6" borderId="0" xfId="0" applyNumberFormat="1" applyFont="1" applyFill="1" applyBorder="1" applyProtection="1">
      <protection locked="0"/>
    </xf>
    <xf numFmtId="9" fontId="13" fillId="6" borderId="0" xfId="0" applyNumberFormat="1" applyFont="1" applyFill="1" applyBorder="1" applyProtection="1">
      <protection locked="0"/>
    </xf>
    <xf numFmtId="0" fontId="29" fillId="0" borderId="2" xfId="0" applyFont="1" applyBorder="1"/>
    <xf numFmtId="0" fontId="29" fillId="0" borderId="0" xfId="0" applyFont="1" applyBorder="1"/>
    <xf numFmtId="0" fontId="35" fillId="0" borderId="12" xfId="0" applyFont="1" applyFill="1" applyBorder="1"/>
    <xf numFmtId="0" fontId="34" fillId="0" borderId="0" xfId="0" applyNumberFormat="1" applyFont="1" applyFill="1" applyBorder="1" applyAlignment="1">
      <alignment horizontal="left"/>
    </xf>
    <xf numFmtId="49" fontId="20" fillId="0" borderId="0" xfId="0" applyNumberFormat="1" applyFont="1" applyFill="1" applyBorder="1"/>
    <xf numFmtId="0" fontId="20" fillId="0" borderId="0" xfId="0" applyFont="1" applyFill="1" applyBorder="1" applyAlignment="1">
      <alignment horizontal="right"/>
    </xf>
    <xf numFmtId="14" fontId="34" fillId="0" borderId="0" xfId="0" applyNumberFormat="1" applyFont="1" applyFill="1" applyBorder="1"/>
    <xf numFmtId="14" fontId="20" fillId="0" borderId="0" xfId="0" applyNumberFormat="1" applyFont="1" applyFill="1" applyBorder="1" applyAlignment="1">
      <alignment horizontal="right"/>
    </xf>
    <xf numFmtId="14" fontId="23" fillId="0" borderId="0" xfId="0" applyNumberFormat="1" applyFont="1" applyFill="1" applyBorder="1"/>
    <xf numFmtId="0" fontId="35" fillId="0" borderId="0" xfId="0" applyFont="1" applyFill="1" applyBorder="1"/>
    <xf numFmtId="0" fontId="16" fillId="0" borderId="0" xfId="0" applyFont="1" applyBorder="1"/>
    <xf numFmtId="0" fontId="14" fillId="0" borderId="9" xfId="0" applyFont="1" applyBorder="1"/>
    <xf numFmtId="0" fontId="13" fillId="0" borderId="1" xfId="0" quotePrefix="1" applyFont="1" applyBorder="1"/>
    <xf numFmtId="3" fontId="13" fillId="6" borderId="15" xfId="0" applyNumberFormat="1" applyFont="1" applyFill="1" applyBorder="1" applyProtection="1">
      <protection locked="0"/>
    </xf>
    <xf numFmtId="3" fontId="13" fillId="6" borderId="3" xfId="0" applyNumberFormat="1" applyFont="1" applyFill="1" applyBorder="1" applyProtection="1">
      <protection locked="0"/>
    </xf>
    <xf numFmtId="3" fontId="13" fillId="6" borderId="14" xfId="0" applyNumberFormat="1" applyFont="1" applyFill="1" applyBorder="1" applyProtection="1">
      <protection locked="0"/>
    </xf>
    <xf numFmtId="3" fontId="14" fillId="0" borderId="9" xfId="0" applyNumberFormat="1" applyFont="1" applyBorder="1"/>
    <xf numFmtId="1" fontId="13" fillId="0" borderId="0" xfId="0" applyNumberFormat="1" applyFont="1" applyBorder="1"/>
    <xf numFmtId="9" fontId="13" fillId="0" borderId="0" xfId="0" applyNumberFormat="1" applyFont="1" applyBorder="1"/>
    <xf numFmtId="0" fontId="14" fillId="0" borderId="0" xfId="0" applyFont="1"/>
    <xf numFmtId="10" fontId="13" fillId="0" borderId="0" xfId="0" applyNumberFormat="1" applyFont="1" applyBorder="1"/>
    <xf numFmtId="0" fontId="14" fillId="0" borderId="13" xfId="0" applyFont="1" applyBorder="1"/>
    <xf numFmtId="3" fontId="13" fillId="6" borderId="13" xfId="0" applyNumberFormat="1" applyFont="1" applyFill="1" applyBorder="1" applyProtection="1">
      <protection locked="0"/>
    </xf>
    <xf numFmtId="3" fontId="14" fillId="0" borderId="9" xfId="0" applyNumberFormat="1" applyFont="1" applyFill="1" applyBorder="1"/>
    <xf numFmtId="1" fontId="14" fillId="0" borderId="0" xfId="0" applyNumberFormat="1" applyFont="1" applyFill="1" applyBorder="1"/>
    <xf numFmtId="1" fontId="13" fillId="0" borderId="0" xfId="0" applyNumberFormat="1" applyFont="1" applyFill="1" applyBorder="1"/>
    <xf numFmtId="0" fontId="13" fillId="0" borderId="0" xfId="0" applyFont="1" applyProtection="1">
      <protection locked="0"/>
    </xf>
    <xf numFmtId="0" fontId="14" fillId="0" borderId="2" xfId="0" applyFont="1" applyBorder="1"/>
    <xf numFmtId="0" fontId="14" fillId="0" borderId="4" xfId="0" applyFont="1" applyBorder="1"/>
    <xf numFmtId="0" fontId="16" fillId="0" borderId="0" xfId="0" applyFont="1"/>
    <xf numFmtId="0" fontId="13" fillId="0" borderId="6" xfId="0" applyFont="1" applyFill="1" applyBorder="1"/>
    <xf numFmtId="0" fontId="13" fillId="0" borderId="10" xfId="0" applyFont="1" applyFill="1" applyBorder="1"/>
    <xf numFmtId="0" fontId="13" fillId="0" borderId="1" xfId="0" applyFont="1" applyFill="1" applyBorder="1"/>
    <xf numFmtId="1" fontId="13" fillId="0" borderId="0" xfId="0" applyNumberFormat="1" applyFont="1"/>
    <xf numFmtId="0" fontId="13" fillId="0" borderId="0" xfId="0" applyNumberFormat="1" applyFont="1"/>
    <xf numFmtId="0" fontId="13" fillId="0" borderId="1" xfId="0" applyFont="1" applyBorder="1" applyAlignment="1">
      <alignment horizontal="right"/>
    </xf>
    <xf numFmtId="0" fontId="13" fillId="0" borderId="8" xfId="0" applyFont="1" applyBorder="1" applyAlignment="1">
      <alignment horizontal="right"/>
    </xf>
    <xf numFmtId="9" fontId="13" fillId="0" borderId="3" xfId="0" applyNumberFormat="1" applyFont="1" applyBorder="1" applyAlignment="1">
      <alignment horizontal="center"/>
    </xf>
    <xf numFmtId="9" fontId="13" fillId="0" borderId="12" xfId="0" applyNumberFormat="1" applyFont="1" applyBorder="1" applyAlignment="1">
      <alignment horizontal="center"/>
    </xf>
    <xf numFmtId="0" fontId="13" fillId="0" borderId="0" xfId="0" applyFont="1" applyBorder="1" applyAlignment="1">
      <alignment horizontal="right"/>
    </xf>
    <xf numFmtId="0" fontId="14" fillId="0" borderId="10" xfId="0" applyFont="1" applyBorder="1"/>
    <xf numFmtId="0" fontId="14" fillId="0" borderId="1" xfId="0" applyFont="1" applyBorder="1"/>
    <xf numFmtId="9" fontId="13" fillId="6" borderId="5" xfId="0" applyNumberFormat="1" applyFont="1" applyFill="1" applyBorder="1" applyProtection="1">
      <protection locked="0"/>
    </xf>
    <xf numFmtId="14" fontId="38" fillId="0" borderId="0" xfId="0" applyNumberFormat="1" applyFont="1" applyFill="1" applyBorder="1"/>
    <xf numFmtId="49" fontId="13" fillId="0" borderId="0" xfId="0" applyNumberFormat="1" applyFont="1" applyBorder="1"/>
    <xf numFmtId="0" fontId="35" fillId="0" borderId="0" xfId="0" applyNumberFormat="1" applyFont="1" applyFill="1" applyBorder="1" applyAlignment="1">
      <alignment horizontal="left"/>
    </xf>
    <xf numFmtId="0" fontId="20" fillId="0" borderId="0" xfId="0" applyFont="1" applyFill="1" applyBorder="1" applyAlignment="1">
      <alignment horizontal="left"/>
    </xf>
    <xf numFmtId="14" fontId="34" fillId="0" borderId="0" xfId="0" applyNumberFormat="1" applyFont="1" applyFill="1" applyBorder="1" applyAlignment="1">
      <alignment horizontal="right"/>
    </xf>
    <xf numFmtId="0" fontId="34" fillId="0" borderId="3" xfId="0" applyFont="1" applyFill="1" applyBorder="1"/>
    <xf numFmtId="0" fontId="32" fillId="0" borderId="0" xfId="0" applyNumberFormat="1" applyFont="1" applyFill="1" applyBorder="1"/>
    <xf numFmtId="0" fontId="36" fillId="0" borderId="0" xfId="0" applyFont="1" applyBorder="1" applyAlignment="1">
      <alignment horizontal="center"/>
    </xf>
    <xf numFmtId="0" fontId="30" fillId="0" borderId="0" xfId="0" applyFont="1" applyBorder="1"/>
    <xf numFmtId="0" fontId="36" fillId="0" borderId="9" xfId="0" applyFont="1" applyFill="1" applyBorder="1"/>
    <xf numFmtId="0" fontId="36" fillId="0" borderId="0" xfId="0" applyFont="1" applyBorder="1"/>
    <xf numFmtId="0" fontId="36" fillId="0" borderId="0" xfId="0" applyFont="1" applyFill="1" applyBorder="1"/>
    <xf numFmtId="0" fontId="16" fillId="0" borderId="11" xfId="0" applyFont="1" applyBorder="1"/>
    <xf numFmtId="0" fontId="28" fillId="0" borderId="0" xfId="0" applyFont="1" applyBorder="1"/>
    <xf numFmtId="0" fontId="28" fillId="0" borderId="0" xfId="0" applyFont="1" applyFill="1" applyBorder="1"/>
    <xf numFmtId="0" fontId="28" fillId="0" borderId="3" xfId="0" applyFont="1" applyBorder="1"/>
    <xf numFmtId="0" fontId="13" fillId="0" borderId="2" xfId="0" quotePrefix="1" applyFont="1" applyBorder="1"/>
    <xf numFmtId="1" fontId="13" fillId="0" borderId="3" xfId="0" applyNumberFormat="1" applyFont="1" applyBorder="1"/>
    <xf numFmtId="1" fontId="13" fillId="0" borderId="8" xfId="0" applyNumberFormat="1" applyFont="1" applyBorder="1"/>
    <xf numFmtId="166" fontId="30" fillId="6" borderId="3" xfId="0" applyNumberFormat="1" applyFont="1" applyFill="1" applyBorder="1" applyProtection="1">
      <protection locked="0"/>
    </xf>
    <xf numFmtId="10" fontId="30" fillId="0" borderId="0" xfId="0" applyNumberFormat="1" applyFont="1" applyBorder="1" applyProtection="1">
      <protection locked="0"/>
    </xf>
    <xf numFmtId="166" fontId="30" fillId="6" borderId="0" xfId="0" applyNumberFormat="1" applyFont="1" applyFill="1" applyBorder="1" applyProtection="1">
      <protection locked="0"/>
    </xf>
    <xf numFmtId="166" fontId="13" fillId="0" borderId="8" xfId="0" applyNumberFormat="1" applyFont="1" applyBorder="1"/>
    <xf numFmtId="10" fontId="13" fillId="0" borderId="2" xfId="0" applyNumberFormat="1" applyFont="1" applyBorder="1"/>
    <xf numFmtId="166" fontId="13" fillId="0" borderId="1" xfId="0" applyNumberFormat="1" applyFont="1" applyBorder="1"/>
    <xf numFmtId="4" fontId="13" fillId="0" borderId="6" xfId="0" applyNumberFormat="1" applyFont="1" applyBorder="1"/>
    <xf numFmtId="4" fontId="13" fillId="0" borderId="5" xfId="0" applyNumberFormat="1" applyFont="1" applyBorder="1"/>
    <xf numFmtId="10" fontId="32" fillId="0" borderId="0" xfId="0" applyNumberFormat="1" applyFont="1" applyBorder="1" applyProtection="1">
      <protection locked="0"/>
    </xf>
    <xf numFmtId="166" fontId="30" fillId="6" borderId="6" xfId="0" applyNumberFormat="1" applyFont="1" applyFill="1" applyBorder="1" applyProtection="1">
      <protection locked="0"/>
    </xf>
    <xf numFmtId="166" fontId="30" fillId="6" borderId="5" xfId="0" applyNumberFormat="1" applyFont="1" applyFill="1" applyBorder="1" applyProtection="1">
      <protection locked="0"/>
    </xf>
    <xf numFmtId="166" fontId="13" fillId="0" borderId="3" xfId="0" applyNumberFormat="1" applyFont="1" applyBorder="1"/>
    <xf numFmtId="4" fontId="13" fillId="0" borderId="8" xfId="0" applyNumberFormat="1" applyFont="1" applyBorder="1"/>
    <xf numFmtId="4" fontId="13" fillId="0" borderId="0" xfId="0" applyNumberFormat="1" applyFont="1" applyBorder="1"/>
    <xf numFmtId="4" fontId="13" fillId="0" borderId="3" xfId="0" applyNumberFormat="1" applyFont="1" applyBorder="1"/>
    <xf numFmtId="3" fontId="30" fillId="0" borderId="3" xfId="0" applyNumberFormat="1" applyFont="1" applyBorder="1"/>
    <xf numFmtId="3" fontId="30" fillId="0" borderId="0" xfId="0" applyNumberFormat="1" applyFont="1" applyBorder="1"/>
    <xf numFmtId="10" fontId="13" fillId="0" borderId="0" xfId="0" applyNumberFormat="1" applyFont="1"/>
    <xf numFmtId="3" fontId="30" fillId="0" borderId="6" xfId="0" applyNumberFormat="1" applyFont="1" applyBorder="1"/>
    <xf numFmtId="3" fontId="30" fillId="0" borderId="5" xfId="0" applyNumberFormat="1" applyFont="1" applyBorder="1"/>
    <xf numFmtId="3" fontId="30" fillId="0" borderId="2" xfId="0" applyNumberFormat="1" applyFont="1" applyBorder="1"/>
    <xf numFmtId="1" fontId="13" fillId="0" borderId="0" xfId="0" applyNumberFormat="1" applyFont="1" applyFill="1" applyBorder="1" applyProtection="1"/>
    <xf numFmtId="9" fontId="13" fillId="6" borderId="2" xfId="0" applyNumberFormat="1" applyFont="1" applyFill="1" applyBorder="1" applyProtection="1">
      <protection locked="0"/>
    </xf>
    <xf numFmtId="1" fontId="13" fillId="0" borderId="3" xfId="0" applyNumberFormat="1" applyFont="1" applyFill="1" applyBorder="1" applyProtection="1"/>
    <xf numFmtId="9" fontId="13" fillId="6" borderId="4" xfId="0" applyNumberFormat="1" applyFont="1" applyFill="1" applyBorder="1" applyProtection="1">
      <protection locked="0"/>
    </xf>
    <xf numFmtId="9" fontId="13" fillId="0" borderId="0" xfId="0" applyNumberFormat="1" applyFont="1" applyFill="1" applyBorder="1"/>
    <xf numFmtId="9" fontId="13" fillId="0" borderId="2" xfId="0" applyNumberFormat="1" applyFont="1" applyFill="1" applyBorder="1"/>
    <xf numFmtId="1" fontId="13" fillId="0" borderId="3" xfId="0" applyNumberFormat="1" applyFont="1" applyFill="1" applyBorder="1"/>
    <xf numFmtId="9" fontId="40" fillId="0" borderId="0" xfId="0" applyNumberFormat="1" applyFont="1" applyBorder="1"/>
    <xf numFmtId="0" fontId="41" fillId="0" borderId="2" xfId="0" applyFont="1" applyBorder="1"/>
    <xf numFmtId="1" fontId="42" fillId="0" borderId="6" xfId="0" applyNumberFormat="1" applyFont="1" applyBorder="1"/>
    <xf numFmtId="1" fontId="42" fillId="0" borderId="5" xfId="0" applyNumberFormat="1" applyFont="1" applyBorder="1"/>
    <xf numFmtId="0" fontId="42" fillId="0" borderId="0" xfId="0" applyFont="1"/>
    <xf numFmtId="9" fontId="13" fillId="6" borderId="0" xfId="6" applyFont="1" applyFill="1" applyBorder="1" applyProtection="1">
      <protection locked="0"/>
    </xf>
    <xf numFmtId="3" fontId="13" fillId="0" borderId="3" xfId="0" applyNumberFormat="1" applyFont="1" applyFill="1" applyBorder="1"/>
    <xf numFmtId="3" fontId="13" fillId="0" borderId="6" xfId="0" applyNumberFormat="1" applyFont="1" applyFill="1" applyBorder="1"/>
    <xf numFmtId="10" fontId="13" fillId="0" borderId="5" xfId="0" applyNumberFormat="1" applyFont="1" applyBorder="1"/>
    <xf numFmtId="0" fontId="13" fillId="0" borderId="3" xfId="0" applyFont="1" applyFill="1" applyBorder="1"/>
    <xf numFmtId="0" fontId="13" fillId="0" borderId="2" xfId="0" applyFont="1" applyFill="1" applyBorder="1" applyAlignment="1">
      <alignment horizontal="right"/>
    </xf>
    <xf numFmtId="1" fontId="31" fillId="0" borderId="0" xfId="0" applyNumberFormat="1" applyFont="1" applyBorder="1"/>
    <xf numFmtId="3" fontId="13" fillId="3" borderId="3" xfId="0" applyNumberFormat="1" applyFont="1" applyFill="1" applyBorder="1" applyAlignment="1">
      <alignment horizontal="right"/>
    </xf>
    <xf numFmtId="3" fontId="13" fillId="3" borderId="0" xfId="0" applyNumberFormat="1" applyFont="1" applyFill="1" applyBorder="1" applyAlignment="1">
      <alignment horizontal="right"/>
    </xf>
    <xf numFmtId="0" fontId="32" fillId="0" borderId="3" xfId="0" applyFont="1" applyFill="1" applyBorder="1"/>
    <xf numFmtId="0" fontId="14" fillId="0" borderId="9" xfId="0" applyFont="1" applyBorder="1" applyAlignment="1">
      <alignment horizontal="right"/>
    </xf>
    <xf numFmtId="0" fontId="14" fillId="0" borderId="5" xfId="0" applyFont="1" applyBorder="1"/>
    <xf numFmtId="0" fontId="36" fillId="0" borderId="5" xfId="0" applyFont="1" applyBorder="1"/>
    <xf numFmtId="0" fontId="36" fillId="0" borderId="5" xfId="0" applyFont="1" applyFill="1" applyBorder="1"/>
    <xf numFmtId="0" fontId="16" fillId="0" borderId="4" xfId="0" applyFont="1" applyBorder="1" applyAlignment="1"/>
    <xf numFmtId="0" fontId="13" fillId="0" borderId="5" xfId="0" applyFont="1" applyBorder="1" applyAlignment="1"/>
    <xf numFmtId="0" fontId="13" fillId="0" borderId="6" xfId="0" applyFont="1" applyBorder="1" applyAlignment="1"/>
    <xf numFmtId="0" fontId="13" fillId="0" borderId="0" xfId="0" applyFont="1" applyFill="1" applyBorder="1" applyAlignment="1">
      <alignment horizontal="center"/>
    </xf>
    <xf numFmtId="0" fontId="13" fillId="0" borderId="0" xfId="0" applyFont="1" applyBorder="1" applyAlignment="1">
      <alignment horizontal="left"/>
    </xf>
    <xf numFmtId="166" fontId="13" fillId="0" borderId="0" xfId="0" quotePrefix="1" applyNumberFormat="1" applyFont="1" applyFill="1" applyBorder="1"/>
    <xf numFmtId="166" fontId="13" fillId="6" borderId="0" xfId="0" applyNumberFormat="1" applyFont="1" applyFill="1" applyBorder="1" applyProtection="1">
      <protection locked="0"/>
    </xf>
    <xf numFmtId="3" fontId="13" fillId="0" borderId="0" xfId="0" applyNumberFormat="1" applyFont="1" applyBorder="1"/>
    <xf numFmtId="3" fontId="13" fillId="0" borderId="3" xfId="0" applyNumberFormat="1" applyFont="1" applyBorder="1"/>
    <xf numFmtId="166" fontId="13" fillId="0" borderId="0" xfId="0" applyNumberFormat="1" applyFont="1" applyFill="1" applyBorder="1"/>
    <xf numFmtId="3" fontId="13" fillId="0" borderId="3" xfId="0" applyNumberFormat="1" applyFont="1" applyFill="1" applyBorder="1" applyProtection="1">
      <protection locked="0"/>
    </xf>
    <xf numFmtId="166" fontId="30" fillId="0" borderId="0" xfId="0" applyNumberFormat="1" applyFont="1" applyFill="1" applyBorder="1" applyProtection="1">
      <protection locked="0"/>
    </xf>
    <xf numFmtId="3" fontId="13" fillId="0" borderId="0" xfId="0" applyNumberFormat="1" applyFont="1" applyFill="1" applyBorder="1"/>
    <xf numFmtId="166" fontId="13" fillId="0" borderId="0" xfId="0" applyNumberFormat="1" applyFont="1" applyFill="1" applyBorder="1" applyProtection="1">
      <protection locked="0"/>
    </xf>
    <xf numFmtId="10" fontId="13" fillId="0" borderId="0" xfId="6" applyNumberFormat="1" applyFont="1" applyFill="1" applyBorder="1"/>
    <xf numFmtId="166" fontId="30" fillId="6" borderId="3" xfId="6" applyNumberFormat="1" applyFont="1" applyFill="1" applyBorder="1" applyProtection="1">
      <protection locked="0"/>
    </xf>
    <xf numFmtId="3" fontId="30" fillId="0" borderId="0" xfId="0" applyNumberFormat="1" applyFont="1" applyFill="1" applyBorder="1"/>
    <xf numFmtId="10" fontId="30" fillId="0" borderId="3" xfId="6" applyNumberFormat="1" applyFont="1" applyFill="1" applyBorder="1"/>
    <xf numFmtId="3" fontId="30" fillId="0" borderId="3" xfId="6" applyNumberFormat="1" applyFont="1" applyFill="1" applyBorder="1"/>
    <xf numFmtId="3" fontId="30" fillId="0" borderId="0" xfId="6" applyNumberFormat="1" applyFont="1" applyFill="1" applyBorder="1"/>
    <xf numFmtId="10" fontId="13" fillId="0" borderId="0" xfId="0" applyNumberFormat="1" applyFont="1" applyFill="1" applyBorder="1"/>
    <xf numFmtId="3" fontId="13" fillId="0" borderId="3" xfId="0" applyNumberFormat="1" applyFont="1" applyBorder="1" applyAlignment="1">
      <alignment horizontal="right"/>
    </xf>
    <xf numFmtId="3" fontId="13" fillId="0" borderId="0" xfId="0" applyNumberFormat="1" applyFont="1" applyBorder="1" applyAlignment="1">
      <alignment horizontal="right"/>
    </xf>
    <xf numFmtId="3" fontId="13" fillId="0" borderId="6" xfId="0" applyNumberFormat="1" applyFont="1" applyBorder="1"/>
    <xf numFmtId="3" fontId="13" fillId="0" borderId="5" xfId="0" applyNumberFormat="1" applyFont="1" applyBorder="1"/>
    <xf numFmtId="10" fontId="14" fillId="0" borderId="0" xfId="0" applyNumberFormat="1" applyFont="1" applyFill="1" applyBorder="1"/>
    <xf numFmtId="3" fontId="14" fillId="0" borderId="3" xfId="0" applyNumberFormat="1" applyFont="1" applyBorder="1" applyAlignment="1">
      <alignment horizontal="right"/>
    </xf>
    <xf numFmtId="3" fontId="14" fillId="0" borderId="0" xfId="0" applyNumberFormat="1" applyFont="1" applyBorder="1"/>
    <xf numFmtId="3" fontId="14" fillId="0" borderId="0" xfId="0" applyNumberFormat="1" applyFont="1" applyBorder="1" applyAlignment="1">
      <alignment horizontal="right"/>
    </xf>
    <xf numFmtId="3" fontId="36" fillId="0" borderId="0" xfId="0" applyNumberFormat="1" applyFont="1" applyBorder="1"/>
    <xf numFmtId="3" fontId="36" fillId="0" borderId="0" xfId="0" applyNumberFormat="1" applyFont="1" applyFill="1" applyBorder="1"/>
    <xf numFmtId="10" fontId="14" fillId="0" borderId="5" xfId="0" applyNumberFormat="1" applyFont="1" applyFill="1" applyBorder="1"/>
    <xf numFmtId="3" fontId="14" fillId="0" borderId="6" xfId="0" applyNumberFormat="1" applyFont="1" applyBorder="1" applyAlignment="1">
      <alignment horizontal="right"/>
    </xf>
    <xf numFmtId="3" fontId="14" fillId="0" borderId="5" xfId="0" applyNumberFormat="1" applyFont="1" applyBorder="1"/>
    <xf numFmtId="3" fontId="14" fillId="0" borderId="5" xfId="0" applyNumberFormat="1" applyFont="1" applyBorder="1" applyAlignment="1">
      <alignment horizontal="right"/>
    </xf>
    <xf numFmtId="3" fontId="36" fillId="0" borderId="5" xfId="0" applyNumberFormat="1" applyFont="1" applyBorder="1"/>
    <xf numFmtId="3" fontId="36" fillId="0" borderId="5" xfId="0" applyNumberFormat="1" applyFont="1" applyFill="1" applyBorder="1"/>
    <xf numFmtId="10" fontId="16" fillId="0" borderId="0" xfId="0" applyNumberFormat="1" applyFont="1" applyFill="1" applyBorder="1"/>
    <xf numFmtId="3" fontId="16" fillId="0" borderId="0" xfId="0" applyNumberFormat="1" applyFont="1" applyBorder="1" applyAlignment="1">
      <alignment horizontal="right"/>
    </xf>
    <xf numFmtId="3" fontId="16" fillId="0" borderId="0" xfId="0" applyNumberFormat="1" applyFont="1" applyBorder="1"/>
    <xf numFmtId="3" fontId="44" fillId="0" borderId="0" xfId="0" applyNumberFormat="1" applyFont="1" applyBorder="1"/>
    <xf numFmtId="3" fontId="44" fillId="0" borderId="0" xfId="0" applyNumberFormat="1" applyFont="1" applyFill="1" applyBorder="1"/>
    <xf numFmtId="10" fontId="14" fillId="0" borderId="7" xfId="0" applyNumberFormat="1" applyFont="1" applyFill="1" applyBorder="1"/>
    <xf numFmtId="3" fontId="14" fillId="0" borderId="7" xfId="0" applyNumberFormat="1" applyFont="1" applyBorder="1" applyAlignment="1">
      <alignment horizontal="right"/>
    </xf>
    <xf numFmtId="3" fontId="14" fillId="0" borderId="7" xfId="0" applyNumberFormat="1" applyFont="1" applyBorder="1"/>
    <xf numFmtId="3" fontId="36" fillId="0" borderId="7" xfId="0" applyNumberFormat="1" applyFont="1" applyBorder="1"/>
    <xf numFmtId="3" fontId="36" fillId="0" borderId="7" xfId="0" applyNumberFormat="1" applyFont="1" applyFill="1" applyBorder="1"/>
    <xf numFmtId="3" fontId="14" fillId="0" borderId="12" xfId="0" applyNumberFormat="1" applyFont="1" applyBorder="1" applyAlignment="1">
      <alignment horizontal="right"/>
    </xf>
    <xf numFmtId="0" fontId="13" fillId="0" borderId="0" xfId="0" applyFont="1" applyBorder="1" applyProtection="1">
      <protection locked="0"/>
    </xf>
    <xf numFmtId="3" fontId="13" fillId="6" borderId="6" xfId="0" applyNumberFormat="1" applyFont="1" applyFill="1" applyBorder="1" applyProtection="1">
      <protection locked="0"/>
    </xf>
    <xf numFmtId="3" fontId="13" fillId="0" borderId="0" xfId="0" applyNumberFormat="1" applyFont="1" applyBorder="1" applyProtection="1">
      <protection locked="0"/>
    </xf>
    <xf numFmtId="3" fontId="13" fillId="6" borderId="5" xfId="0" applyNumberFormat="1" applyFont="1" applyFill="1" applyBorder="1" applyProtection="1">
      <protection locked="0"/>
    </xf>
    <xf numFmtId="3" fontId="14" fillId="0" borderId="3" xfId="0" applyNumberFormat="1" applyFont="1" applyBorder="1"/>
    <xf numFmtId="3" fontId="14" fillId="0" borderId="6" xfId="0" applyNumberFormat="1" applyFont="1" applyBorder="1"/>
    <xf numFmtId="3" fontId="13" fillId="0" borderId="0" xfId="0" applyNumberFormat="1" applyFont="1" applyFill="1" applyBorder="1" applyProtection="1">
      <protection locked="0"/>
    </xf>
    <xf numFmtId="0" fontId="16" fillId="0" borderId="10" xfId="0" applyFont="1" applyBorder="1"/>
    <xf numFmtId="10" fontId="14" fillId="0" borderId="1" xfId="0" applyNumberFormat="1" applyFont="1" applyFill="1" applyBorder="1"/>
    <xf numFmtId="3" fontId="14" fillId="0" borderId="8" xfId="0" applyNumberFormat="1" applyFont="1" applyBorder="1" applyAlignment="1">
      <alignment horizontal="right"/>
    </xf>
    <xf numFmtId="3" fontId="14" fillId="0" borderId="1" xfId="0" applyNumberFormat="1" applyFont="1" applyBorder="1"/>
    <xf numFmtId="3" fontId="14" fillId="0" borderId="1" xfId="0" applyNumberFormat="1" applyFont="1" applyBorder="1" applyAlignment="1">
      <alignment horizontal="right"/>
    </xf>
    <xf numFmtId="3" fontId="36" fillId="0" borderId="1" xfId="0" applyNumberFormat="1" applyFont="1" applyBorder="1"/>
    <xf numFmtId="3" fontId="36" fillId="0" borderId="1" xfId="0" applyNumberFormat="1" applyFont="1" applyFill="1" applyBorder="1"/>
    <xf numFmtId="3" fontId="13" fillId="0" borderId="5" xfId="0" applyNumberFormat="1" applyFont="1" applyFill="1" applyBorder="1"/>
    <xf numFmtId="0" fontId="14" fillId="0" borderId="2" xfId="0" quotePrefix="1" applyFont="1" applyBorder="1"/>
    <xf numFmtId="0" fontId="45" fillId="0" borderId="0" xfId="0" applyFont="1" applyBorder="1"/>
    <xf numFmtId="0" fontId="14" fillId="0" borderId="2" xfId="0" applyFont="1" applyFill="1" applyBorder="1"/>
    <xf numFmtId="3" fontId="14" fillId="0" borderId="3" xfId="0" applyNumberFormat="1" applyFont="1" applyFill="1" applyBorder="1"/>
    <xf numFmtId="3" fontId="14" fillId="0" borderId="0" xfId="0" applyNumberFormat="1" applyFont="1" applyFill="1" applyBorder="1"/>
    <xf numFmtId="0" fontId="14" fillId="0" borderId="0" xfId="0" applyFont="1" applyFill="1"/>
    <xf numFmtId="3" fontId="14" fillId="0" borderId="0" xfId="0" applyNumberFormat="1" applyFont="1"/>
    <xf numFmtId="0" fontId="14" fillId="0" borderId="4" xfId="0" applyFont="1" applyFill="1" applyBorder="1"/>
    <xf numFmtId="0" fontId="14" fillId="0" borderId="5" xfId="0" applyFont="1" applyFill="1" applyBorder="1"/>
    <xf numFmtId="3" fontId="14" fillId="0" borderId="6" xfId="0" applyNumberFormat="1" applyFont="1" applyFill="1" applyBorder="1"/>
    <xf numFmtId="3" fontId="14" fillId="0" borderId="5" xfId="0" applyNumberFormat="1" applyFont="1" applyFill="1" applyBorder="1"/>
    <xf numFmtId="0" fontId="13" fillId="0" borderId="16" xfId="0" applyFont="1" applyBorder="1"/>
    <xf numFmtId="0" fontId="13" fillId="0" borderId="17" xfId="0" applyFont="1" applyFill="1" applyBorder="1" applyAlignment="1"/>
    <xf numFmtId="0" fontId="13" fillId="0" borderId="0" xfId="0" applyFont="1" applyFill="1" applyBorder="1" applyAlignment="1"/>
    <xf numFmtId="0" fontId="13" fillId="0" borderId="18" xfId="0" applyFont="1" applyFill="1" applyBorder="1" applyAlignment="1"/>
    <xf numFmtId="0" fontId="13" fillId="0" borderId="19" xfId="0" applyFont="1" applyFill="1" applyBorder="1" applyAlignment="1"/>
    <xf numFmtId="0" fontId="13" fillId="0" borderId="17" xfId="0" applyFont="1" applyBorder="1"/>
    <xf numFmtId="0" fontId="13" fillId="0" borderId="19" xfId="0" applyFont="1" applyBorder="1"/>
    <xf numFmtId="0" fontId="13" fillId="6" borderId="19" xfId="0" applyFont="1" applyFill="1" applyBorder="1" applyProtection="1">
      <protection locked="0"/>
    </xf>
    <xf numFmtId="167" fontId="13" fillId="0" borderId="3" xfId="0" applyNumberFormat="1" applyFont="1" applyBorder="1"/>
    <xf numFmtId="167" fontId="13" fillId="0" borderId="0" xfId="0" applyNumberFormat="1" applyFont="1" applyBorder="1"/>
    <xf numFmtId="167" fontId="13" fillId="0" borderId="19" xfId="0" applyNumberFormat="1" applyFont="1" applyBorder="1"/>
    <xf numFmtId="167" fontId="13" fillId="6" borderId="3" xfId="0" applyNumberFormat="1" applyFont="1" applyFill="1" applyBorder="1" applyProtection="1">
      <protection locked="0"/>
    </xf>
    <xf numFmtId="167" fontId="13" fillId="6" borderId="0" xfId="0" applyNumberFormat="1" applyFont="1" applyFill="1" applyBorder="1" applyProtection="1">
      <protection locked="0"/>
    </xf>
    <xf numFmtId="167" fontId="13" fillId="6" borderId="19" xfId="0" applyNumberFormat="1" applyFont="1" applyFill="1" applyBorder="1" applyProtection="1">
      <protection locked="0"/>
    </xf>
    <xf numFmtId="167" fontId="13" fillId="6" borderId="6" xfId="0" applyNumberFormat="1" applyFont="1" applyFill="1" applyBorder="1" applyProtection="1">
      <protection locked="0"/>
    </xf>
    <xf numFmtId="167" fontId="13" fillId="6" borderId="20" xfId="0" applyNumberFormat="1" applyFont="1" applyFill="1" applyBorder="1" applyProtection="1">
      <protection locked="0"/>
    </xf>
    <xf numFmtId="0" fontId="14" fillId="0" borderId="17" xfId="0" applyFont="1" applyBorder="1"/>
    <xf numFmtId="167" fontId="14" fillId="0" borderId="9" xfId="0" applyNumberFormat="1" applyFont="1" applyFill="1" applyBorder="1"/>
    <xf numFmtId="167" fontId="14" fillId="0" borderId="21" xfId="0" applyNumberFormat="1" applyFont="1" applyFill="1" applyBorder="1"/>
    <xf numFmtId="0" fontId="13" fillId="0" borderId="22" xfId="0" applyFont="1" applyBorder="1"/>
    <xf numFmtId="0" fontId="13" fillId="0" borderId="23" xfId="0" applyFont="1" applyBorder="1"/>
    <xf numFmtId="0" fontId="13" fillId="0" borderId="24" xfId="0" applyFont="1" applyBorder="1"/>
    <xf numFmtId="0" fontId="13" fillId="0" borderId="0" xfId="0" applyFont="1" applyProtection="1"/>
    <xf numFmtId="0" fontId="13" fillId="0" borderId="2" xfId="0" applyFont="1" applyBorder="1" applyProtection="1"/>
    <xf numFmtId="0" fontId="13" fillId="0" borderId="0" xfId="0" applyFont="1" applyBorder="1" applyProtection="1"/>
    <xf numFmtId="49" fontId="13" fillId="0" borderId="0" xfId="0" applyNumberFormat="1" applyFont="1" applyBorder="1" applyProtection="1"/>
    <xf numFmtId="0" fontId="13" fillId="0" borderId="3" xfId="0" applyFont="1" applyBorder="1" applyAlignment="1" applyProtection="1">
      <alignment horizontal="right"/>
    </xf>
    <xf numFmtId="0" fontId="13" fillId="0" borderId="0" xfId="0" applyFont="1" applyFill="1" applyProtection="1"/>
    <xf numFmtId="0" fontId="20" fillId="0" borderId="2" xfId="0" applyFont="1" applyBorder="1" applyProtection="1"/>
    <xf numFmtId="0" fontId="35" fillId="0" borderId="0" xfId="0" applyNumberFormat="1" applyFont="1" applyFill="1" applyBorder="1" applyAlignment="1" applyProtection="1">
      <alignment horizontal="left"/>
    </xf>
    <xf numFmtId="49" fontId="20" fillId="0" borderId="0" xfId="0" applyNumberFormat="1" applyFont="1" applyFill="1" applyBorder="1" applyProtection="1"/>
    <xf numFmtId="14" fontId="34" fillId="0" borderId="0" xfId="0" applyNumberFormat="1" applyFont="1" applyFill="1" applyBorder="1" applyProtection="1"/>
    <xf numFmtId="0" fontId="20" fillId="0" borderId="0" xfId="0" applyFont="1" applyFill="1" applyBorder="1" applyAlignment="1" applyProtection="1">
      <alignment horizontal="left"/>
    </xf>
    <xf numFmtId="14" fontId="34" fillId="0" borderId="0" xfId="0" applyNumberFormat="1" applyFont="1" applyFill="1" applyBorder="1" applyAlignment="1" applyProtection="1">
      <alignment horizontal="right"/>
    </xf>
    <xf numFmtId="14" fontId="20" fillId="0" borderId="0" xfId="0" applyNumberFormat="1" applyFont="1" applyFill="1" applyBorder="1" applyAlignment="1" applyProtection="1">
      <alignment horizontal="right"/>
    </xf>
    <xf numFmtId="0" fontId="20" fillId="0" borderId="0" xfId="0" applyFont="1" applyFill="1" applyBorder="1" applyProtection="1"/>
    <xf numFmtId="0" fontId="34" fillId="0" borderId="3" xfId="0" applyFont="1" applyFill="1" applyBorder="1" applyProtection="1"/>
    <xf numFmtId="0" fontId="32" fillId="0" borderId="0" xfId="0" applyFont="1" applyFill="1" applyBorder="1" applyProtection="1"/>
    <xf numFmtId="14" fontId="32" fillId="0" borderId="0" xfId="0" applyNumberFormat="1" applyFont="1" applyFill="1" applyBorder="1" applyProtection="1"/>
    <xf numFmtId="0" fontId="32" fillId="0" borderId="3" xfId="0" applyFont="1" applyFill="1" applyBorder="1" applyProtection="1"/>
    <xf numFmtId="0" fontId="14" fillId="0" borderId="13" xfId="0" applyFont="1" applyBorder="1" applyAlignment="1" applyProtection="1">
      <alignment horizontal="right"/>
    </xf>
    <xf numFmtId="0" fontId="14" fillId="0" borderId="0" xfId="0" applyFont="1" applyBorder="1" applyProtection="1"/>
    <xf numFmtId="0" fontId="36" fillId="0" borderId="13" xfId="0" applyFont="1" applyFill="1" applyBorder="1" applyProtection="1"/>
    <xf numFmtId="0" fontId="36" fillId="0" borderId="0" xfId="0" applyFont="1" applyBorder="1" applyProtection="1"/>
    <xf numFmtId="0" fontId="36" fillId="0" borderId="0" xfId="0" applyFont="1" applyFill="1" applyBorder="1" applyProtection="1"/>
    <xf numFmtId="0" fontId="13" fillId="0" borderId="7" xfId="0" applyFont="1" applyFill="1" applyBorder="1" applyProtection="1"/>
    <xf numFmtId="0" fontId="13" fillId="0" borderId="12" xfId="0" applyFont="1" applyFill="1" applyBorder="1" applyProtection="1"/>
    <xf numFmtId="166" fontId="13" fillId="6" borderId="8" xfId="0" applyNumberFormat="1" applyFont="1" applyFill="1" applyBorder="1" applyProtection="1">
      <protection locked="0"/>
    </xf>
    <xf numFmtId="0" fontId="13" fillId="0" borderId="3" xfId="0" applyFont="1" applyBorder="1" applyProtection="1"/>
    <xf numFmtId="166" fontId="13" fillId="0" borderId="3" xfId="0" applyNumberFormat="1" applyFont="1" applyFill="1" applyBorder="1" applyProtection="1"/>
    <xf numFmtId="3" fontId="13" fillId="0" borderId="0" xfId="0" applyNumberFormat="1" applyFont="1" applyBorder="1" applyProtection="1"/>
    <xf numFmtId="3" fontId="13" fillId="3" borderId="3" xfId="0" applyNumberFormat="1" applyFont="1" applyFill="1" applyBorder="1" applyProtection="1"/>
    <xf numFmtId="3" fontId="13" fillId="3" borderId="0" xfId="0" applyNumberFormat="1" applyFont="1" applyFill="1" applyBorder="1" applyProtection="1"/>
    <xf numFmtId="0" fontId="13" fillId="0" borderId="0" xfId="0" applyFont="1" applyFill="1" applyBorder="1" applyProtection="1"/>
    <xf numFmtId="0" fontId="13" fillId="0" borderId="4" xfId="0" applyFont="1" applyBorder="1" applyProtection="1"/>
    <xf numFmtId="3" fontId="13" fillId="0" borderId="5" xfId="0" applyNumberFormat="1" applyFont="1" applyBorder="1" applyProtection="1"/>
    <xf numFmtId="3" fontId="28" fillId="0" borderId="6" xfId="0" applyNumberFormat="1" applyFont="1" applyFill="1" applyBorder="1" applyProtection="1"/>
    <xf numFmtId="0" fontId="13" fillId="0" borderId="5" xfId="0" applyFont="1" applyFill="1" applyBorder="1" applyProtection="1"/>
    <xf numFmtId="3" fontId="28" fillId="0" borderId="5" xfId="0" applyNumberFormat="1" applyFont="1" applyFill="1" applyBorder="1" applyProtection="1"/>
    <xf numFmtId="0" fontId="13" fillId="0" borderId="5" xfId="0" applyFont="1" applyBorder="1" applyProtection="1"/>
    <xf numFmtId="0" fontId="14" fillId="0" borderId="5" xfId="0" applyFont="1" applyBorder="1" applyProtection="1"/>
    <xf numFmtId="1" fontId="13" fillId="0" borderId="5" xfId="0" applyNumberFormat="1" applyFont="1" applyBorder="1" applyProtection="1"/>
    <xf numFmtId="1" fontId="13" fillId="0" borderId="6" xfId="0" applyNumberFormat="1" applyFont="1" applyBorder="1" applyProtection="1"/>
    <xf numFmtId="9" fontId="13" fillId="0" borderId="0" xfId="0" applyNumberFormat="1" applyFont="1" applyBorder="1" applyProtection="1"/>
    <xf numFmtId="3" fontId="13" fillId="0" borderId="3" xfId="0" applyNumberFormat="1" applyFont="1" applyBorder="1" applyProtection="1"/>
    <xf numFmtId="0" fontId="14" fillId="0" borderId="0" xfId="0" applyFont="1" applyFill="1" applyBorder="1" applyProtection="1"/>
    <xf numFmtId="166" fontId="13" fillId="0" borderId="0" xfId="0" applyNumberFormat="1" applyFont="1" applyFill="1" applyBorder="1" applyProtection="1"/>
    <xf numFmtId="166" fontId="13" fillId="0" borderId="3" xfId="0" applyNumberFormat="1" applyFont="1" applyBorder="1" applyProtection="1"/>
    <xf numFmtId="166" fontId="13" fillId="6" borderId="3" xfId="0" applyNumberFormat="1" applyFont="1" applyFill="1" applyBorder="1" applyProtection="1">
      <protection locked="0"/>
    </xf>
    <xf numFmtId="3" fontId="13" fillId="0" borderId="0" xfId="0" applyNumberFormat="1" applyFont="1" applyFill="1" applyBorder="1" applyProtection="1"/>
    <xf numFmtId="3" fontId="13" fillId="0" borderId="3" xfId="0" applyNumberFormat="1" applyFont="1" applyFill="1" applyBorder="1" applyProtection="1"/>
    <xf numFmtId="0" fontId="14" fillId="0" borderId="2" xfId="0" applyFont="1" applyBorder="1" applyProtection="1"/>
    <xf numFmtId="3" fontId="14" fillId="0" borderId="3" xfId="0" applyNumberFormat="1" applyFont="1" applyFill="1" applyBorder="1" applyProtection="1"/>
    <xf numFmtId="0" fontId="14" fillId="0" borderId="2" xfId="0" applyFont="1" applyFill="1" applyBorder="1" applyProtection="1"/>
    <xf numFmtId="3" fontId="14" fillId="0" borderId="0" xfId="0" applyNumberFormat="1" applyFont="1" applyFill="1" applyBorder="1" applyProtection="1"/>
    <xf numFmtId="3" fontId="31" fillId="0" borderId="0" xfId="0" applyNumberFormat="1" applyFont="1" applyBorder="1" applyProtection="1"/>
    <xf numFmtId="3" fontId="13" fillId="0" borderId="6" xfId="0" applyNumberFormat="1" applyFont="1" applyBorder="1" applyProtection="1"/>
    <xf numFmtId="3" fontId="14" fillId="0" borderId="3" xfId="0" applyNumberFormat="1" applyFont="1" applyBorder="1" applyProtection="1"/>
    <xf numFmtId="3" fontId="14" fillId="0" borderId="0" xfId="0" applyNumberFormat="1" applyFont="1" applyBorder="1" applyProtection="1"/>
    <xf numFmtId="1" fontId="13" fillId="0" borderId="0" xfId="0" applyNumberFormat="1" applyFont="1" applyBorder="1" applyProtection="1"/>
    <xf numFmtId="1" fontId="13" fillId="0" borderId="3" xfId="0" applyNumberFormat="1" applyFont="1" applyBorder="1" applyProtection="1"/>
    <xf numFmtId="0" fontId="33" fillId="0" borderId="2" xfId="0" applyFont="1" applyFill="1" applyBorder="1" applyProtection="1"/>
    <xf numFmtId="0" fontId="13" fillId="0" borderId="2" xfId="0" applyFont="1" applyFill="1" applyBorder="1" applyProtection="1"/>
    <xf numFmtId="9" fontId="13" fillId="6" borderId="3" xfId="0" applyNumberFormat="1" applyFont="1" applyFill="1" applyBorder="1" applyAlignment="1" applyProtection="1">
      <alignment horizontal="right"/>
      <protection locked="0"/>
    </xf>
    <xf numFmtId="9" fontId="30" fillId="6" borderId="0" xfId="0" applyNumberFormat="1" applyFont="1" applyFill="1" applyBorder="1" applyProtection="1">
      <protection locked="0"/>
    </xf>
    <xf numFmtId="9" fontId="30" fillId="0" borderId="0" xfId="0" applyNumberFormat="1" applyFont="1" applyBorder="1" applyProtection="1"/>
    <xf numFmtId="9" fontId="30" fillId="0" borderId="0" xfId="0" applyNumberFormat="1" applyFont="1" applyFill="1" applyBorder="1" applyProtection="1"/>
    <xf numFmtId="9" fontId="30" fillId="6" borderId="3" xfId="0" applyNumberFormat="1" applyFont="1" applyFill="1" applyBorder="1" applyProtection="1">
      <protection locked="0"/>
    </xf>
    <xf numFmtId="9" fontId="14" fillId="0" borderId="0" xfId="0" applyNumberFormat="1" applyFont="1" applyBorder="1" applyProtection="1"/>
    <xf numFmtId="3" fontId="13" fillId="0" borderId="6" xfId="0" applyNumberFormat="1" applyFont="1" applyFill="1" applyBorder="1" applyProtection="1"/>
    <xf numFmtId="3" fontId="13" fillId="0" borderId="5" xfId="0" applyNumberFormat="1" applyFont="1" applyFill="1" applyBorder="1" applyProtection="1"/>
    <xf numFmtId="3" fontId="13" fillId="0" borderId="8" xfId="0" applyNumberFormat="1" applyFont="1" applyFill="1" applyBorder="1" applyProtection="1"/>
    <xf numFmtId="9" fontId="13" fillId="6" borderId="3" xfId="0" applyNumberFormat="1" applyFont="1" applyFill="1" applyBorder="1" applyProtection="1">
      <protection locked="0"/>
    </xf>
    <xf numFmtId="2" fontId="13" fillId="0" borderId="3" xfId="0" applyNumberFormat="1" applyFont="1" applyBorder="1" applyProtection="1"/>
    <xf numFmtId="2" fontId="13" fillId="0" borderId="0" xfId="0" applyNumberFormat="1" applyFont="1" applyBorder="1" applyProtection="1"/>
    <xf numFmtId="167" fontId="13" fillId="0" borderId="0" xfId="0" applyNumberFormat="1" applyFont="1" applyBorder="1" applyProtection="1"/>
    <xf numFmtId="167" fontId="13" fillId="0" borderId="9" xfId="0" applyNumberFormat="1" applyFont="1" applyFill="1" applyBorder="1" applyProtection="1"/>
    <xf numFmtId="0" fontId="13" fillId="0" borderId="6" xfId="0" applyFont="1" applyBorder="1" applyProtection="1"/>
    <xf numFmtId="0" fontId="13" fillId="0" borderId="1" xfId="0" applyFont="1" applyBorder="1" applyProtection="1"/>
    <xf numFmtId="0" fontId="13" fillId="0" borderId="8" xfId="0" applyFont="1" applyBorder="1" applyProtection="1"/>
    <xf numFmtId="0" fontId="13" fillId="0" borderId="10" xfId="0" applyFont="1" applyBorder="1" applyProtection="1"/>
    <xf numFmtId="167" fontId="13" fillId="0" borderId="3" xfId="0" applyNumberFormat="1" applyFont="1" applyBorder="1" applyProtection="1"/>
    <xf numFmtId="0" fontId="13" fillId="0" borderId="0" xfId="0" applyFont="1" applyBorder="1" applyAlignment="1" applyProtection="1">
      <alignment horizontal="center"/>
    </xf>
    <xf numFmtId="0" fontId="30" fillId="0" borderId="0" xfId="0" applyFont="1" applyFill="1" applyBorder="1" applyProtection="1"/>
    <xf numFmtId="0" fontId="30" fillId="0" borderId="0" xfId="0" applyFont="1" applyBorder="1" applyProtection="1"/>
    <xf numFmtId="0" fontId="30" fillId="0" borderId="3" xfId="0" applyFont="1" applyFill="1" applyBorder="1" applyProtection="1"/>
    <xf numFmtId="0" fontId="13" fillId="0" borderId="2" xfId="0" quotePrefix="1" applyFont="1" applyBorder="1" applyProtection="1"/>
    <xf numFmtId="166" fontId="13" fillId="0" borderId="0" xfId="0" applyNumberFormat="1" applyFont="1" applyBorder="1" applyProtection="1"/>
    <xf numFmtId="0" fontId="14" fillId="0" borderId="2" xfId="0" quotePrefix="1" applyFont="1" applyBorder="1" applyProtection="1"/>
    <xf numFmtId="9" fontId="13" fillId="0" borderId="0" xfId="6" applyFont="1" applyBorder="1"/>
    <xf numFmtId="14" fontId="30" fillId="0" borderId="1" xfId="0" applyNumberFormat="1" applyFont="1" applyBorder="1"/>
    <xf numFmtId="0" fontId="30" fillId="0" borderId="8" xfId="0" quotePrefix="1" applyFont="1" applyBorder="1"/>
    <xf numFmtId="0" fontId="30" fillId="0" borderId="1" xfId="0" applyFont="1" applyBorder="1"/>
    <xf numFmtId="3" fontId="13" fillId="3" borderId="3" xfId="0" applyNumberFormat="1" applyFont="1" applyFill="1" applyBorder="1"/>
    <xf numFmtId="3" fontId="13" fillId="3" borderId="0" xfId="0" applyNumberFormat="1" applyFont="1" applyFill="1" applyBorder="1"/>
    <xf numFmtId="3" fontId="13" fillId="0" borderId="1" xfId="0" applyNumberFormat="1" applyFont="1" applyBorder="1"/>
    <xf numFmtId="1" fontId="13" fillId="0" borderId="1" xfId="0" applyNumberFormat="1" applyFont="1" applyBorder="1"/>
    <xf numFmtId="3" fontId="13" fillId="0" borderId="7" xfId="0" applyNumberFormat="1" applyFont="1" applyBorder="1"/>
    <xf numFmtId="3" fontId="13" fillId="0" borderId="8" xfId="0" applyNumberFormat="1" applyFont="1" applyBorder="1"/>
    <xf numFmtId="166" fontId="14" fillId="0" borderId="0" xfId="0" applyNumberFormat="1" applyFont="1" applyBorder="1"/>
    <xf numFmtId="3" fontId="14" fillId="0" borderId="8" xfId="0" applyNumberFormat="1" applyFont="1" applyBorder="1"/>
    <xf numFmtId="14" fontId="30" fillId="0" borderId="0" xfId="0" applyNumberFormat="1" applyFont="1" applyBorder="1"/>
    <xf numFmtId="166" fontId="30" fillId="0" borderId="8" xfId="0" quotePrefix="1" applyNumberFormat="1" applyFont="1" applyFill="1" applyBorder="1"/>
    <xf numFmtId="10" fontId="30" fillId="0" borderId="3" xfId="0" quotePrefix="1" applyNumberFormat="1" applyFont="1" applyFill="1" applyBorder="1"/>
    <xf numFmtId="2" fontId="13" fillId="6" borderId="3" xfId="0" applyNumberFormat="1" applyFont="1" applyFill="1" applyBorder="1" applyProtection="1">
      <protection locked="0"/>
    </xf>
    <xf numFmtId="2" fontId="13" fillId="6" borderId="0" xfId="0" applyNumberFormat="1" applyFont="1" applyFill="1" applyBorder="1" applyProtection="1">
      <protection locked="0"/>
    </xf>
    <xf numFmtId="9" fontId="13" fillId="6" borderId="3" xfId="6" applyNumberFormat="1" applyFont="1" applyFill="1" applyBorder="1" applyProtection="1">
      <protection locked="0"/>
    </xf>
    <xf numFmtId="9" fontId="13" fillId="6" borderId="0" xfId="6" applyNumberFormat="1" applyFont="1" applyFill="1" applyBorder="1" applyProtection="1">
      <protection locked="0"/>
    </xf>
    <xf numFmtId="9" fontId="13" fillId="0" borderId="0" xfId="6" applyNumberFormat="1" applyFont="1" applyBorder="1" applyProtection="1">
      <protection locked="0"/>
    </xf>
    <xf numFmtId="9" fontId="13" fillId="0" borderId="3" xfId="0" applyNumberFormat="1" applyFont="1" applyFill="1" applyBorder="1"/>
    <xf numFmtId="2" fontId="13" fillId="0" borderId="9" xfId="0" applyNumberFormat="1" applyFont="1" applyBorder="1"/>
    <xf numFmtId="2" fontId="13" fillId="0" borderId="0" xfId="0" applyNumberFormat="1" applyFont="1" applyBorder="1"/>
    <xf numFmtId="0" fontId="13" fillId="0" borderId="4" xfId="0" quotePrefix="1" applyFont="1" applyBorder="1"/>
    <xf numFmtId="167" fontId="14" fillId="0" borderId="0" xfId="0" applyNumberFormat="1" applyFont="1" applyBorder="1"/>
    <xf numFmtId="0" fontId="14" fillId="0" borderId="13" xfId="0" applyFont="1" applyBorder="1" applyAlignment="1">
      <alignment horizontal="right"/>
    </xf>
    <xf numFmtId="0" fontId="36" fillId="0" borderId="13" xfId="0" applyFont="1" applyFill="1" applyBorder="1"/>
    <xf numFmtId="0" fontId="14" fillId="0" borderId="8" xfId="0" applyFont="1" applyBorder="1" applyAlignment="1">
      <alignment horizontal="right"/>
    </xf>
    <xf numFmtId="0" fontId="36" fillId="0" borderId="3" xfId="0" applyFont="1" applyFill="1" applyBorder="1"/>
    <xf numFmtId="0" fontId="14" fillId="0" borderId="3" xfId="0" applyFont="1" applyBorder="1" applyAlignment="1">
      <alignment horizontal="right"/>
    </xf>
    <xf numFmtId="10" fontId="13" fillId="0" borderId="0" xfId="0" applyNumberFormat="1" applyFont="1" applyFill="1" applyBorder="1" applyProtection="1">
      <protection locked="0"/>
    </xf>
    <xf numFmtId="10" fontId="13" fillId="0" borderId="0" xfId="6" applyNumberFormat="1" applyFont="1" applyFill="1" applyBorder="1" applyProtection="1">
      <protection locked="0"/>
    </xf>
    <xf numFmtId="166" fontId="13" fillId="6" borderId="0" xfId="6" applyNumberFormat="1" applyFont="1" applyFill="1" applyBorder="1" applyProtection="1">
      <protection locked="0"/>
    </xf>
    <xf numFmtId="166" fontId="13" fillId="0" borderId="0" xfId="6" applyNumberFormat="1" applyFont="1" applyFill="1" applyBorder="1" applyProtection="1">
      <protection locked="0"/>
    </xf>
    <xf numFmtId="9" fontId="13" fillId="0" borderId="0" xfId="0" applyNumberFormat="1" applyFont="1" applyBorder="1" applyAlignment="1">
      <alignment horizontal="right"/>
    </xf>
    <xf numFmtId="0" fontId="13" fillId="0" borderId="2" xfId="0" applyFont="1" applyBorder="1" applyAlignment="1"/>
    <xf numFmtId="0" fontId="30" fillId="0" borderId="0" xfId="0" applyFont="1" applyFill="1" applyBorder="1"/>
    <xf numFmtId="166" fontId="13" fillId="6" borderId="0" xfId="0" applyNumberFormat="1" applyFont="1" applyFill="1" applyBorder="1" applyAlignment="1" applyProtection="1">
      <protection locked="0"/>
    </xf>
    <xf numFmtId="3" fontId="13" fillId="0" borderId="3" xfId="0" applyNumberFormat="1" applyFont="1" applyFill="1" applyBorder="1" applyAlignment="1">
      <alignment horizontal="right"/>
    </xf>
    <xf numFmtId="3" fontId="13" fillId="0" borderId="0" xfId="0" applyNumberFormat="1" applyFont="1" applyFill="1" applyBorder="1" applyAlignment="1">
      <alignment horizontal="right"/>
    </xf>
    <xf numFmtId="0" fontId="13" fillId="0" borderId="4" xfId="0" applyFont="1" applyBorder="1" applyAlignment="1"/>
    <xf numFmtId="10" fontId="13" fillId="0" borderId="5" xfId="0" applyNumberFormat="1" applyFont="1" applyFill="1" applyBorder="1" applyAlignment="1"/>
    <xf numFmtId="3" fontId="13" fillId="0" borderId="6" xfId="0" applyNumberFormat="1" applyFont="1" applyFill="1" applyBorder="1" applyAlignment="1">
      <alignment horizontal="right"/>
    </xf>
    <xf numFmtId="3" fontId="13" fillId="0" borderId="5" xfId="0" applyNumberFormat="1" applyFont="1" applyFill="1" applyBorder="1" applyAlignment="1">
      <alignment horizontal="right"/>
    </xf>
    <xf numFmtId="3" fontId="30" fillId="0" borderId="5" xfId="0" applyNumberFormat="1" applyFont="1" applyFill="1" applyBorder="1"/>
    <xf numFmtId="0" fontId="13" fillId="0" borderId="2" xfId="0" applyNumberFormat="1" applyFont="1" applyBorder="1" applyAlignment="1"/>
    <xf numFmtId="166" fontId="13" fillId="6" borderId="0" xfId="6" applyNumberFormat="1" applyFont="1" applyFill="1" applyBorder="1" applyAlignment="1" applyProtection="1">
      <protection locked="0"/>
    </xf>
    <xf numFmtId="166" fontId="14" fillId="0" borderId="2" xfId="0" applyNumberFormat="1" applyFont="1" applyBorder="1" applyAlignment="1"/>
    <xf numFmtId="10" fontId="14" fillId="0" borderId="0" xfId="0" applyNumberFormat="1" applyFont="1" applyFill="1" applyBorder="1" applyAlignment="1"/>
    <xf numFmtId="3" fontId="14" fillId="0" borderId="3" xfId="0" applyNumberFormat="1" applyFont="1" applyFill="1" applyBorder="1" applyAlignment="1">
      <alignment horizontal="right"/>
    </xf>
    <xf numFmtId="3" fontId="14" fillId="0" borderId="0" xfId="0" applyNumberFormat="1" applyFont="1" applyFill="1" applyBorder="1" applyAlignment="1">
      <alignment horizontal="right"/>
    </xf>
    <xf numFmtId="0" fontId="16" fillId="0" borderId="2" xfId="0" applyFont="1" applyBorder="1"/>
    <xf numFmtId="0" fontId="31" fillId="0" borderId="0" xfId="0" applyFont="1" applyBorder="1"/>
    <xf numFmtId="10" fontId="13" fillId="0" borderId="5" xfId="0" applyNumberFormat="1" applyFont="1" applyFill="1" applyBorder="1"/>
    <xf numFmtId="3" fontId="13" fillId="0" borderId="0" xfId="0" quotePrefix="1" applyNumberFormat="1" applyFont="1" applyBorder="1"/>
    <xf numFmtId="166" fontId="13" fillId="0" borderId="6" xfId="0" applyNumberFormat="1" applyFont="1" applyBorder="1"/>
    <xf numFmtId="166" fontId="13" fillId="0" borderId="5" xfId="0" applyNumberFormat="1" applyFont="1" applyBorder="1"/>
    <xf numFmtId="0" fontId="13" fillId="0" borderId="1" xfId="0" applyFont="1" applyBorder="1" applyAlignment="1"/>
    <xf numFmtId="0" fontId="13" fillId="0" borderId="10" xfId="0" applyFont="1" applyBorder="1" applyAlignment="1"/>
    <xf numFmtId="166" fontId="13" fillId="6" borderId="8" xfId="0" applyNumberFormat="1" applyFont="1" applyFill="1" applyBorder="1" applyAlignment="1" applyProtection="1">
      <protection locked="0"/>
    </xf>
    <xf numFmtId="0" fontId="13" fillId="0" borderId="1" xfId="0" applyFont="1" applyBorder="1" applyAlignment="1" applyProtection="1">
      <protection locked="0"/>
    </xf>
    <xf numFmtId="0" fontId="13" fillId="0" borderId="0" xfId="0" applyFont="1" applyBorder="1" applyAlignment="1" applyProtection="1">
      <protection locked="0"/>
    </xf>
    <xf numFmtId="0" fontId="14" fillId="0" borderId="2" xfId="0" applyFont="1" applyBorder="1" applyAlignment="1"/>
    <xf numFmtId="0" fontId="13" fillId="0" borderId="3" xfId="0" applyFont="1" applyBorder="1" applyAlignment="1"/>
    <xf numFmtId="0" fontId="13" fillId="0" borderId="0" xfId="0" applyFont="1" applyBorder="1" applyAlignment="1"/>
    <xf numFmtId="3" fontId="13" fillId="0" borderId="3" xfId="0" applyNumberFormat="1" applyFont="1" applyBorder="1" applyAlignment="1"/>
    <xf numFmtId="3" fontId="13" fillId="0" borderId="0" xfId="0" applyNumberFormat="1" applyFont="1" applyBorder="1" applyAlignment="1"/>
    <xf numFmtId="3" fontId="13" fillId="0" borderId="6" xfId="0" applyNumberFormat="1" applyFont="1" applyBorder="1" applyAlignment="1"/>
    <xf numFmtId="3" fontId="13" fillId="0" borderId="5" xfId="0" applyNumberFormat="1" applyFont="1" applyFill="1" applyBorder="1" applyAlignment="1"/>
    <xf numFmtId="3" fontId="13" fillId="0" borderId="6" xfId="0" applyNumberFormat="1" applyFont="1" applyFill="1" applyBorder="1" applyAlignment="1"/>
    <xf numFmtId="10" fontId="13" fillId="0" borderId="0" xfId="0" applyNumberFormat="1" applyFont="1" applyFill="1" applyBorder="1" applyAlignment="1"/>
    <xf numFmtId="3" fontId="13" fillId="0" borderId="0" xfId="0" applyNumberFormat="1" applyFont="1" applyFill="1" applyBorder="1" applyAlignment="1"/>
    <xf numFmtId="3" fontId="13" fillId="0" borderId="3" xfId="0" applyNumberFormat="1" applyFont="1" applyFill="1" applyBorder="1" applyAlignment="1"/>
    <xf numFmtId="3" fontId="13" fillId="0" borderId="5" xfId="0" applyNumberFormat="1" applyFont="1" applyBorder="1" applyAlignment="1"/>
    <xf numFmtId="3" fontId="13" fillId="0" borderId="8" xfId="0" applyNumberFormat="1" applyFont="1" applyBorder="1" applyAlignment="1"/>
    <xf numFmtId="3" fontId="14" fillId="0" borderId="3" xfId="0" applyNumberFormat="1" applyFont="1" applyBorder="1" applyAlignment="1"/>
    <xf numFmtId="3" fontId="14" fillId="0" borderId="0" xfId="0" applyNumberFormat="1" applyFont="1" applyBorder="1" applyAlignment="1"/>
    <xf numFmtId="3" fontId="13" fillId="0" borderId="19" xfId="0" applyNumberFormat="1" applyFont="1" applyFill="1" applyBorder="1"/>
    <xf numFmtId="3" fontId="13" fillId="0" borderId="20" xfId="0" applyNumberFormat="1" applyFont="1" applyFill="1" applyBorder="1"/>
    <xf numFmtId="3" fontId="14" fillId="0" borderId="19" xfId="0" applyNumberFormat="1" applyFont="1" applyFill="1" applyBorder="1"/>
    <xf numFmtId="167" fontId="13" fillId="6" borderId="3" xfId="0" applyNumberFormat="1" applyFont="1" applyFill="1" applyBorder="1" applyAlignment="1" applyProtection="1">
      <alignment horizontal="right"/>
      <protection locked="0"/>
    </xf>
    <xf numFmtId="167" fontId="30" fillId="6" borderId="0" xfId="0" applyNumberFormat="1" applyFont="1" applyFill="1" applyBorder="1" applyProtection="1">
      <protection locked="0"/>
    </xf>
    <xf numFmtId="167" fontId="30" fillId="6" borderId="3" xfId="0" applyNumberFormat="1" applyFont="1" applyFill="1" applyBorder="1" applyProtection="1">
      <protection locked="0"/>
    </xf>
    <xf numFmtId="167" fontId="13" fillId="0" borderId="3" xfId="0" applyNumberFormat="1" applyFont="1" applyFill="1" applyBorder="1" applyAlignment="1">
      <alignment horizontal="right"/>
    </xf>
    <xf numFmtId="167" fontId="13" fillId="0" borderId="0" xfId="0" applyNumberFormat="1" applyFont="1" applyFill="1" applyBorder="1"/>
    <xf numFmtId="167" fontId="13" fillId="0" borderId="0" xfId="0" applyNumberFormat="1" applyFont="1" applyFill="1" applyBorder="1" applyAlignment="1">
      <alignment horizontal="right"/>
    </xf>
    <xf numFmtId="167" fontId="30" fillId="0" borderId="0" xfId="0" applyNumberFormat="1" applyFont="1" applyFill="1" applyBorder="1"/>
    <xf numFmtId="167" fontId="13" fillId="0" borderId="3" xfId="0" applyNumberFormat="1" applyFont="1" applyFill="1" applyBorder="1"/>
    <xf numFmtId="167" fontId="13" fillId="0" borderId="6" xfId="0" applyNumberFormat="1" applyFont="1" applyFill="1" applyBorder="1"/>
    <xf numFmtId="167" fontId="13" fillId="0" borderId="5" xfId="0" applyNumberFormat="1" applyFont="1" applyFill="1" applyBorder="1"/>
    <xf numFmtId="167" fontId="14" fillId="0" borderId="3" xfId="0" applyNumberFormat="1" applyFont="1" applyBorder="1"/>
    <xf numFmtId="2" fontId="14" fillId="0" borderId="6" xfId="0" applyNumberFormat="1" applyFont="1" applyBorder="1"/>
    <xf numFmtId="2" fontId="14" fillId="0" borderId="5" xfId="0" applyNumberFormat="1" applyFont="1" applyBorder="1"/>
    <xf numFmtId="1" fontId="14" fillId="0" borderId="0" xfId="0" applyNumberFormat="1" applyFont="1" applyBorder="1"/>
    <xf numFmtId="0" fontId="16" fillId="0" borderId="4" xfId="0" applyFont="1" applyBorder="1"/>
    <xf numFmtId="0" fontId="13" fillId="0" borderId="9" xfId="0" applyFont="1" applyBorder="1" applyAlignment="1">
      <alignment horizontal="right"/>
    </xf>
    <xf numFmtId="166" fontId="13" fillId="6" borderId="5" xfId="6" applyNumberFormat="1" applyFont="1" applyFill="1" applyBorder="1" applyProtection="1">
      <protection locked="0"/>
    </xf>
    <xf numFmtId="0" fontId="13" fillId="0" borderId="5" xfId="0" applyFont="1" applyBorder="1" applyProtection="1">
      <protection locked="0"/>
    </xf>
    <xf numFmtId="166" fontId="13" fillId="6" borderId="5" xfId="0" applyNumberFormat="1" applyFont="1" applyFill="1" applyBorder="1" applyProtection="1">
      <protection locked="0"/>
    </xf>
    <xf numFmtId="166" fontId="13" fillId="6" borderId="6" xfId="0" applyNumberFormat="1" applyFont="1" applyFill="1" applyBorder="1" applyProtection="1">
      <protection locked="0"/>
    </xf>
    <xf numFmtId="10" fontId="13" fillId="6" borderId="0" xfId="6" applyNumberFormat="1" applyFont="1" applyFill="1" applyBorder="1" applyProtection="1">
      <protection locked="0"/>
    </xf>
    <xf numFmtId="3" fontId="13" fillId="0" borderId="9" xfId="0" applyNumberFormat="1" applyFont="1" applyBorder="1"/>
    <xf numFmtId="167" fontId="13" fillId="0" borderId="6" xfId="0" applyNumberFormat="1" applyFont="1" applyBorder="1"/>
    <xf numFmtId="10" fontId="13" fillId="6" borderId="0" xfId="0" applyNumberFormat="1" applyFont="1" applyFill="1" applyBorder="1" applyProtection="1">
      <protection locked="0"/>
    </xf>
    <xf numFmtId="0" fontId="13" fillId="6" borderId="0" xfId="0" applyFont="1" applyFill="1" applyProtection="1">
      <protection locked="0"/>
    </xf>
    <xf numFmtId="167" fontId="13" fillId="0" borderId="5" xfId="0" applyNumberFormat="1" applyFont="1" applyBorder="1"/>
    <xf numFmtId="3" fontId="13" fillId="0" borderId="12" xfId="0" applyNumberFormat="1" applyFont="1" applyBorder="1"/>
    <xf numFmtId="3" fontId="13" fillId="0" borderId="15" xfId="0" applyNumberFormat="1" applyFont="1" applyBorder="1"/>
    <xf numFmtId="3" fontId="13" fillId="0" borderId="2" xfId="0" applyNumberFormat="1" applyFont="1" applyBorder="1"/>
    <xf numFmtId="166" fontId="13" fillId="6" borderId="1" xfId="0" applyNumberFormat="1" applyFont="1" applyFill="1" applyBorder="1" applyProtection="1">
      <protection locked="0"/>
    </xf>
    <xf numFmtId="0" fontId="14" fillId="0" borderId="6" xfId="0" applyFont="1" applyBorder="1" applyAlignment="1">
      <alignment horizontal="right"/>
    </xf>
    <xf numFmtId="0" fontId="36" fillId="0" borderId="6" xfId="0" applyFont="1" applyFill="1" applyBorder="1"/>
    <xf numFmtId="9" fontId="13" fillId="0" borderId="0" xfId="6" applyNumberFormat="1" applyFont="1" applyFill="1" applyBorder="1" applyProtection="1">
      <protection locked="0"/>
    </xf>
    <xf numFmtId="0" fontId="32" fillId="0" borderId="0" xfId="0" applyFont="1" applyFill="1" applyBorder="1" applyAlignment="1">
      <alignment horizontal="center"/>
    </xf>
    <xf numFmtId="0" fontId="14" fillId="0" borderId="0" xfId="0" applyFont="1" applyBorder="1" applyAlignment="1">
      <alignment horizontal="right"/>
    </xf>
    <xf numFmtId="0" fontId="47" fillId="0" borderId="7" xfId="0" applyFont="1" applyFill="1" applyBorder="1" applyAlignment="1">
      <alignment horizontal="center"/>
    </xf>
    <xf numFmtId="0" fontId="35" fillId="0" borderId="7" xfId="0" applyFont="1" applyFill="1" applyBorder="1"/>
    <xf numFmtId="0" fontId="34" fillId="0" borderId="0" xfId="0" applyFont="1" applyFill="1" applyBorder="1"/>
    <xf numFmtId="0" fontId="32" fillId="0" borderId="10" xfId="0" applyFont="1" applyFill="1" applyBorder="1" applyAlignment="1">
      <alignment horizontal="right"/>
    </xf>
    <xf numFmtId="0" fontId="32" fillId="0" borderId="1" xfId="0" applyFont="1" applyFill="1" applyBorder="1" applyAlignment="1">
      <alignment horizontal="center"/>
    </xf>
    <xf numFmtId="0" fontId="36" fillId="0" borderId="8" xfId="0" applyFont="1" applyFill="1" applyBorder="1"/>
    <xf numFmtId="0" fontId="36" fillId="0" borderId="1" xfId="0" applyFont="1" applyFill="1" applyBorder="1"/>
    <xf numFmtId="3" fontId="48" fillId="6" borderId="0" xfId="0" applyNumberFormat="1" applyFont="1" applyFill="1" applyBorder="1" applyAlignment="1" applyProtection="1">
      <alignment horizontal="right"/>
      <protection locked="0"/>
    </xf>
    <xf numFmtId="3" fontId="30" fillId="6" borderId="9" xfId="0" applyNumberFormat="1" applyFont="1" applyFill="1" applyBorder="1" applyAlignment="1" applyProtection="1">
      <alignment horizontal="right"/>
      <protection locked="0"/>
    </xf>
    <xf numFmtId="3" fontId="30" fillId="6" borderId="0" xfId="0" applyNumberFormat="1" applyFont="1" applyFill="1" applyBorder="1" applyProtection="1">
      <protection locked="0"/>
    </xf>
    <xf numFmtId="3" fontId="30" fillId="6" borderId="3" xfId="0" applyNumberFormat="1" applyFont="1" applyFill="1" applyBorder="1" applyProtection="1">
      <protection locked="0"/>
    </xf>
    <xf numFmtId="0" fontId="48" fillId="0" borderId="0" xfId="0" applyFont="1" applyFill="1" applyBorder="1" applyAlignment="1">
      <alignment horizontal="right"/>
    </xf>
    <xf numFmtId="0" fontId="36" fillId="0" borderId="3" xfId="0" applyFont="1" applyFill="1" applyBorder="1" applyAlignment="1">
      <alignment horizontal="right"/>
    </xf>
    <xf numFmtId="0" fontId="13" fillId="0" borderId="2" xfId="0" applyFont="1" applyBorder="1" applyAlignment="1">
      <alignment horizontal="left"/>
    </xf>
    <xf numFmtId="3" fontId="30" fillId="6" borderId="13" xfId="0" applyNumberFormat="1" applyFont="1" applyFill="1" applyBorder="1" applyAlignment="1" applyProtection="1">
      <alignment horizontal="right"/>
      <protection locked="0"/>
    </xf>
    <xf numFmtId="3" fontId="30" fillId="6" borderId="15" xfId="0" applyNumberFormat="1" applyFont="1" applyFill="1" applyBorder="1" applyAlignment="1" applyProtection="1">
      <alignment horizontal="right"/>
      <protection locked="0"/>
    </xf>
    <xf numFmtId="0" fontId="13" fillId="0" borderId="11" xfId="0" applyFont="1" applyBorder="1"/>
    <xf numFmtId="0" fontId="13" fillId="7" borderId="9" xfId="0" applyFont="1" applyFill="1" applyBorder="1" applyAlignment="1">
      <alignment horizontal="right"/>
    </xf>
    <xf numFmtId="4" fontId="30" fillId="0" borderId="9" xfId="0" applyNumberFormat="1" applyFont="1" applyFill="1" applyBorder="1"/>
    <xf numFmtId="4" fontId="30" fillId="0" borderId="9" xfId="0" applyNumberFormat="1" applyFont="1" applyBorder="1"/>
    <xf numFmtId="0" fontId="13" fillId="0" borderId="9" xfId="0" applyFont="1" applyBorder="1"/>
    <xf numFmtId="3" fontId="48" fillId="6" borderId="5" xfId="0" applyNumberFormat="1" applyFont="1" applyFill="1" applyBorder="1" applyAlignment="1" applyProtection="1">
      <alignment horizontal="right"/>
      <protection locked="0"/>
    </xf>
    <xf numFmtId="3" fontId="30" fillId="6" borderId="14" xfId="0" applyNumberFormat="1" applyFont="1" applyFill="1" applyBorder="1" applyAlignment="1" applyProtection="1">
      <alignment horizontal="right"/>
      <protection locked="0"/>
    </xf>
    <xf numFmtId="3" fontId="30" fillId="6" borderId="5" xfId="0" applyNumberFormat="1" applyFont="1" applyFill="1" applyBorder="1" applyProtection="1">
      <protection locked="0"/>
    </xf>
    <xf numFmtId="3" fontId="30" fillId="6" borderId="6" xfId="0" applyNumberFormat="1" applyFont="1" applyFill="1" applyBorder="1" applyProtection="1">
      <protection locked="0"/>
    </xf>
    <xf numFmtId="1" fontId="13" fillId="7" borderId="9" xfId="0" applyNumberFormat="1" applyFont="1" applyFill="1" applyBorder="1"/>
    <xf numFmtId="3" fontId="13" fillId="0" borderId="9" xfId="0" applyNumberFormat="1" applyFont="1" applyFill="1" applyBorder="1"/>
    <xf numFmtId="4" fontId="13" fillId="0" borderId="9" xfId="0" applyNumberFormat="1" applyFont="1" applyFill="1" applyBorder="1"/>
    <xf numFmtId="3" fontId="48" fillId="0" borderId="0" xfId="0" applyNumberFormat="1" applyFont="1" applyFill="1" applyBorder="1" applyAlignment="1">
      <alignment horizontal="right"/>
    </xf>
    <xf numFmtId="3" fontId="30" fillId="0" borderId="14" xfId="0" applyNumberFormat="1" applyFont="1" applyFill="1" applyBorder="1" applyAlignment="1">
      <alignment horizontal="right"/>
    </xf>
    <xf numFmtId="3" fontId="30" fillId="0" borderId="8" xfId="0" applyNumberFormat="1" applyFont="1" applyFill="1" applyBorder="1"/>
    <xf numFmtId="1" fontId="13" fillId="7" borderId="9" xfId="0" applyNumberFormat="1" applyFont="1" applyFill="1" applyBorder="1" applyAlignment="1">
      <alignment horizontal="right"/>
    </xf>
    <xf numFmtId="4" fontId="13" fillId="0" borderId="9" xfId="0" applyNumberFormat="1" applyFont="1" applyBorder="1"/>
    <xf numFmtId="1" fontId="13" fillId="0" borderId="9" xfId="0" applyNumberFormat="1" applyFont="1" applyFill="1" applyBorder="1" applyAlignment="1">
      <alignment horizontal="right"/>
    </xf>
    <xf numFmtId="3" fontId="30" fillId="0" borderId="9" xfId="0" applyNumberFormat="1" applyFont="1" applyFill="1" applyBorder="1" applyAlignment="1">
      <alignment horizontal="right"/>
    </xf>
    <xf numFmtId="3" fontId="30" fillId="0" borderId="3" xfId="0" applyNumberFormat="1" applyFont="1" applyFill="1" applyBorder="1"/>
    <xf numFmtId="1" fontId="13" fillId="0" borderId="9" xfId="0" applyNumberFormat="1" applyFont="1" applyBorder="1" applyAlignment="1">
      <alignment horizontal="right"/>
    </xf>
    <xf numFmtId="4" fontId="14" fillId="0" borderId="9" xfId="0" applyNumberFormat="1" applyFont="1" applyBorder="1"/>
    <xf numFmtId="0" fontId="48" fillId="0" borderId="5" xfId="0" applyFont="1" applyFill="1" applyBorder="1" applyAlignment="1">
      <alignment horizontal="center"/>
    </xf>
    <xf numFmtId="1" fontId="13" fillId="0" borderId="0" xfId="0" applyNumberFormat="1" applyFont="1" applyBorder="1" applyAlignment="1">
      <alignment horizontal="right"/>
    </xf>
    <xf numFmtId="4" fontId="13" fillId="0" borderId="0" xfId="0" applyNumberFormat="1" applyFont="1"/>
    <xf numFmtId="3" fontId="13" fillId="0" borderId="0" xfId="0" applyNumberFormat="1" applyFont="1"/>
    <xf numFmtId="0" fontId="48" fillId="0" borderId="0" xfId="0" applyFont="1" applyFill="1" applyBorder="1" applyAlignment="1">
      <alignment horizontal="center"/>
    </xf>
    <xf numFmtId="3" fontId="30" fillId="6" borderId="9" xfId="0" applyNumberFormat="1" applyFont="1" applyFill="1" applyBorder="1" applyProtection="1">
      <protection locked="0"/>
    </xf>
    <xf numFmtId="0" fontId="13" fillId="0" borderId="9" xfId="0" applyFont="1" applyBorder="1" applyAlignment="1">
      <alignment horizontal="left"/>
    </xf>
    <xf numFmtId="0" fontId="13" fillId="7" borderId="9" xfId="0" applyFont="1" applyFill="1" applyBorder="1"/>
    <xf numFmtId="1" fontId="13" fillId="0" borderId="9" xfId="0" applyNumberFormat="1" applyFont="1" applyFill="1" applyBorder="1"/>
    <xf numFmtId="3" fontId="30" fillId="6" borderId="13" xfId="0" applyNumberFormat="1" applyFont="1" applyFill="1" applyBorder="1" applyProtection="1">
      <protection locked="0"/>
    </xf>
    <xf numFmtId="3" fontId="30" fillId="6" borderId="15" xfId="0" applyNumberFormat="1" applyFont="1" applyFill="1" applyBorder="1" applyProtection="1">
      <protection locked="0"/>
    </xf>
    <xf numFmtId="0" fontId="30" fillId="0" borderId="9" xfId="0" applyFont="1" applyFill="1" applyBorder="1"/>
    <xf numFmtId="3" fontId="30" fillId="6" borderId="14" xfId="0" applyNumberFormat="1" applyFont="1" applyFill="1" applyBorder="1" applyProtection="1">
      <protection locked="0"/>
    </xf>
    <xf numFmtId="3" fontId="30" fillId="0" borderId="14" xfId="0" applyNumberFormat="1" applyFont="1" applyFill="1" applyBorder="1"/>
    <xf numFmtId="3" fontId="30" fillId="0" borderId="9" xfId="0" applyNumberFormat="1" applyFont="1" applyFill="1" applyBorder="1"/>
    <xf numFmtId="0" fontId="48" fillId="0" borderId="7" xfId="0" applyFont="1" applyFill="1" applyBorder="1" applyAlignment="1">
      <alignment horizontal="center"/>
    </xf>
    <xf numFmtId="0" fontId="36" fillId="0" borderId="7" xfId="0" applyFont="1" applyFill="1" applyBorder="1"/>
    <xf numFmtId="0" fontId="36" fillId="0" borderId="7" xfId="0" applyFont="1" applyBorder="1"/>
    <xf numFmtId="0" fontId="13" fillId="0" borderId="9" xfId="0" applyFont="1" applyFill="1" applyBorder="1"/>
    <xf numFmtId="1" fontId="20" fillId="0" borderId="0" xfId="0" applyNumberFormat="1" applyFont="1" applyFill="1" applyBorder="1"/>
    <xf numFmtId="3" fontId="20" fillId="0" borderId="0" xfId="0" applyNumberFormat="1" applyFont="1" applyFill="1" applyBorder="1"/>
    <xf numFmtId="3" fontId="13" fillId="10" borderId="0" xfId="0" applyNumberFormat="1" applyFont="1" applyFill="1" applyBorder="1" applyProtection="1">
      <protection locked="0"/>
    </xf>
    <xf numFmtId="3" fontId="13" fillId="10" borderId="6" xfId="0" applyNumberFormat="1" applyFont="1" applyFill="1" applyBorder="1" applyProtection="1">
      <protection locked="0"/>
    </xf>
    <xf numFmtId="3" fontId="13" fillId="0" borderId="14" xfId="0" applyNumberFormat="1" applyFont="1" applyFill="1" applyBorder="1"/>
    <xf numFmtId="1" fontId="13" fillId="0" borderId="9" xfId="0" applyNumberFormat="1" applyFont="1" applyBorder="1"/>
    <xf numFmtId="3" fontId="13" fillId="0" borderId="14" xfId="0" applyNumberFormat="1" applyFont="1" applyBorder="1"/>
    <xf numFmtId="3" fontId="13" fillId="6" borderId="9" xfId="0" applyNumberFormat="1" applyFont="1" applyFill="1" applyBorder="1" applyProtection="1">
      <protection locked="0"/>
    </xf>
    <xf numFmtId="3" fontId="14" fillId="0" borderId="9" xfId="0" applyNumberFormat="1" applyFont="1" applyBorder="1" applyAlignment="1"/>
    <xf numFmtId="3" fontId="13" fillId="0" borderId="3" xfId="0" applyNumberFormat="1" applyFont="1" applyBorder="1" applyAlignment="1">
      <alignment horizontal="center"/>
    </xf>
    <xf numFmtId="9" fontId="13" fillId="6" borderId="0" xfId="0" applyNumberFormat="1" applyFont="1" applyFill="1" applyBorder="1" applyAlignment="1" applyProtection="1">
      <alignment horizontal="right"/>
      <protection locked="0"/>
    </xf>
    <xf numFmtId="10" fontId="13" fillId="0" borderId="0" xfId="0" applyNumberFormat="1" applyFont="1" applyFill="1" applyBorder="1" applyAlignment="1">
      <alignment horizontal="right"/>
    </xf>
    <xf numFmtId="9" fontId="13" fillId="0" borderId="0" xfId="0" applyNumberFormat="1" applyFont="1" applyFill="1" applyBorder="1" applyAlignment="1">
      <alignment horizontal="right"/>
    </xf>
    <xf numFmtId="9" fontId="13" fillId="0" borderId="0" xfId="0" applyNumberFormat="1" applyFont="1" applyBorder="1" applyAlignment="1">
      <alignment horizontal="center"/>
    </xf>
    <xf numFmtId="10" fontId="13" fillId="0" borderId="5" xfId="6" applyNumberFormat="1" applyFont="1" applyFill="1" applyBorder="1"/>
    <xf numFmtId="3" fontId="34" fillId="0" borderId="0" xfId="0" applyNumberFormat="1" applyFont="1" applyFill="1" applyBorder="1"/>
    <xf numFmtId="3" fontId="20" fillId="0" borderId="0" xfId="0" applyNumberFormat="1" applyFont="1" applyFill="1" applyBorder="1" applyAlignment="1">
      <alignment horizontal="left"/>
    </xf>
    <xf numFmtId="3" fontId="34" fillId="0" borderId="0" xfId="0" applyNumberFormat="1" applyFont="1" applyFill="1" applyBorder="1" applyAlignment="1">
      <alignment horizontal="right"/>
    </xf>
    <xf numFmtId="3" fontId="34" fillId="0" borderId="3" xfId="0" applyNumberFormat="1" applyFont="1" applyFill="1" applyBorder="1"/>
    <xf numFmtId="3" fontId="32" fillId="0" borderId="0" xfId="0" applyNumberFormat="1" applyFont="1" applyFill="1" applyBorder="1"/>
    <xf numFmtId="3" fontId="32" fillId="0" borderId="3" xfId="0" applyNumberFormat="1" applyFont="1" applyFill="1" applyBorder="1"/>
    <xf numFmtId="0" fontId="13" fillId="0" borderId="1" xfId="0" applyFont="1" applyFill="1" applyBorder="1" applyAlignment="1">
      <alignment horizontal="center"/>
    </xf>
    <xf numFmtId="3" fontId="13" fillId="0" borderId="8" xfId="0" applyNumberFormat="1" applyFont="1" applyFill="1" applyBorder="1"/>
    <xf numFmtId="3" fontId="13" fillId="0" borderId="1" xfId="0" applyNumberFormat="1" applyFont="1" applyFill="1" applyBorder="1" applyProtection="1">
      <protection locked="0"/>
    </xf>
    <xf numFmtId="3" fontId="14" fillId="0" borderId="10" xfId="0" applyNumberFormat="1" applyFont="1" applyBorder="1"/>
    <xf numFmtId="0" fontId="32" fillId="0" borderId="5" xfId="0" applyFont="1" applyFill="1" applyBorder="1" applyAlignment="1">
      <alignment horizontal="center"/>
    </xf>
    <xf numFmtId="0" fontId="48" fillId="0" borderId="0" xfId="0" applyFont="1" applyFill="1" applyBorder="1"/>
    <xf numFmtId="14" fontId="48" fillId="0" borderId="0" xfId="0" applyNumberFormat="1" applyFont="1" applyFill="1" applyBorder="1"/>
    <xf numFmtId="0" fontId="48" fillId="0" borderId="3" xfId="0" applyFont="1" applyFill="1" applyBorder="1"/>
    <xf numFmtId="3" fontId="14" fillId="0" borderId="0" xfId="0" applyNumberFormat="1" applyFont="1" applyBorder="1" applyAlignment="1">
      <alignment horizontal="center"/>
    </xf>
    <xf numFmtId="3" fontId="13" fillId="0" borderId="13" xfId="0" applyNumberFormat="1" applyFont="1" applyBorder="1"/>
    <xf numFmtId="0" fontId="14" fillId="0" borderId="0" xfId="0" applyFont="1" applyBorder="1" applyAlignment="1">
      <alignment horizontal="center"/>
    </xf>
    <xf numFmtId="3" fontId="14" fillId="0" borderId="14" xfId="0" applyNumberFormat="1" applyFont="1" applyBorder="1"/>
    <xf numFmtId="0" fontId="13" fillId="0" borderId="5" xfId="0" applyFont="1" applyBorder="1" applyAlignment="1">
      <alignment horizontal="right"/>
    </xf>
    <xf numFmtId="0" fontId="13" fillId="0" borderId="7" xfId="0" applyFont="1" applyBorder="1" applyAlignment="1">
      <alignment horizontal="right"/>
    </xf>
    <xf numFmtId="3" fontId="13" fillId="0" borderId="0" xfId="0" applyNumberFormat="1" applyFont="1" applyFill="1" applyBorder="1" applyAlignment="1" applyProtection="1">
      <alignment horizontal="center"/>
      <protection locked="0"/>
    </xf>
    <xf numFmtId="3" fontId="13" fillId="10" borderId="0" xfId="0" applyNumberFormat="1" applyFont="1" applyFill="1" applyBorder="1" applyAlignment="1" applyProtection="1">
      <alignment horizontal="right"/>
      <protection locked="0"/>
    </xf>
    <xf numFmtId="3" fontId="13" fillId="0" borderId="15" xfId="0" applyNumberFormat="1" applyFont="1" applyFill="1" applyBorder="1"/>
    <xf numFmtId="3" fontId="13" fillId="0" borderId="0" xfId="0" applyNumberFormat="1" applyFont="1" applyFill="1" applyBorder="1" applyAlignment="1">
      <alignment horizontal="center"/>
    </xf>
    <xf numFmtId="3" fontId="13" fillId="10" borderId="6" xfId="0" applyNumberFormat="1" applyFont="1" applyFill="1" applyBorder="1" applyAlignment="1" applyProtection="1">
      <alignment horizontal="right"/>
      <protection locked="0"/>
    </xf>
    <xf numFmtId="3" fontId="13" fillId="0" borderId="0" xfId="0" applyNumberFormat="1" applyFont="1" applyBorder="1" applyAlignment="1">
      <alignment horizontal="center"/>
    </xf>
    <xf numFmtId="0" fontId="31" fillId="0" borderId="5" xfId="0" applyFont="1" applyBorder="1" applyAlignment="1">
      <alignment horizontal="right"/>
    </xf>
    <xf numFmtId="0" fontId="13" fillId="6" borderId="9" xfId="0" applyFont="1" applyFill="1" applyBorder="1" applyAlignment="1" applyProtection="1">
      <alignment horizontal="center"/>
      <protection locked="0"/>
    </xf>
    <xf numFmtId="3" fontId="13" fillId="6" borderId="9" xfId="0" applyNumberFormat="1" applyFont="1" applyFill="1" applyBorder="1" applyAlignment="1" applyProtection="1">
      <alignment horizontal="center"/>
      <protection locked="0"/>
    </xf>
    <xf numFmtId="3" fontId="13" fillId="6" borderId="0" xfId="0" applyNumberFormat="1" applyFont="1" applyFill="1" applyBorder="1" applyAlignment="1" applyProtection="1">
      <alignment horizontal="right"/>
      <protection locked="0"/>
    </xf>
    <xf numFmtId="0" fontId="13" fillId="0" borderId="2" xfId="0" applyFont="1" applyFill="1" applyBorder="1" applyAlignment="1">
      <alignment horizontal="left"/>
    </xf>
    <xf numFmtId="1" fontId="13" fillId="0" borderId="2" xfId="0" applyNumberFormat="1" applyFont="1" applyFill="1" applyBorder="1" applyAlignment="1">
      <alignment horizontal="left"/>
    </xf>
    <xf numFmtId="1" fontId="13" fillId="6" borderId="9" xfId="0" applyNumberFormat="1" applyFont="1" applyFill="1" applyBorder="1" applyAlignment="1" applyProtection="1">
      <alignment horizontal="center"/>
      <protection locked="0"/>
    </xf>
    <xf numFmtId="1" fontId="13" fillId="0" borderId="0" xfId="0" applyNumberFormat="1" applyFont="1" applyFill="1" applyBorder="1" applyAlignment="1">
      <alignment horizontal="center"/>
    </xf>
    <xf numFmtId="1" fontId="13" fillId="0" borderId="0" xfId="0" applyNumberFormat="1" applyFont="1" applyFill="1" applyBorder="1" applyAlignment="1">
      <alignment horizontal="right"/>
    </xf>
    <xf numFmtId="0" fontId="13" fillId="0" borderId="5" xfId="0" applyFont="1" applyFill="1" applyBorder="1" applyAlignment="1">
      <alignment horizontal="right"/>
    </xf>
    <xf numFmtId="0" fontId="31" fillId="0" borderId="3" xfId="0" applyFont="1" applyBorder="1" applyAlignment="1">
      <alignment horizontal="right"/>
    </xf>
    <xf numFmtId="0" fontId="31" fillId="0" borderId="0" xfId="0" applyFont="1" applyBorder="1" applyAlignment="1">
      <alignment horizontal="right"/>
    </xf>
    <xf numFmtId="10" fontId="13" fillId="6" borderId="0" xfId="0" applyNumberFormat="1" applyFont="1" applyFill="1" applyBorder="1" applyAlignment="1" applyProtection="1">
      <alignment horizontal="center"/>
      <protection locked="0"/>
    </xf>
    <xf numFmtId="10" fontId="13" fillId="0" borderId="0" xfId="0" applyNumberFormat="1" applyFont="1" applyFill="1" applyBorder="1" applyAlignment="1" applyProtection="1">
      <alignment horizontal="center"/>
      <protection locked="0"/>
    </xf>
    <xf numFmtId="10" fontId="13" fillId="0" borderId="2" xfId="0" applyNumberFormat="1" applyFont="1" applyFill="1" applyBorder="1" applyAlignment="1" applyProtection="1">
      <alignment horizontal="center"/>
      <protection locked="0"/>
    </xf>
    <xf numFmtId="0" fontId="29" fillId="0" borderId="1" xfId="0" applyFont="1" applyBorder="1" applyAlignment="1">
      <alignment horizontal="right"/>
    </xf>
    <xf numFmtId="0" fontId="25" fillId="0" borderId="1" xfId="0" applyFont="1" applyBorder="1" applyAlignment="1">
      <alignment horizontal="right"/>
    </xf>
    <xf numFmtId="49" fontId="13" fillId="0" borderId="0" xfId="0" applyNumberFormat="1" applyFont="1" applyBorder="1" applyAlignment="1">
      <alignment horizontal="right"/>
    </xf>
    <xf numFmtId="14" fontId="20" fillId="0" borderId="0" xfId="0" applyNumberFormat="1" applyFont="1" applyFill="1" applyBorder="1" applyAlignment="1">
      <alignment horizontal="left"/>
    </xf>
    <xf numFmtId="0" fontId="34" fillId="0" borderId="3" xfId="0" applyFont="1" applyFill="1" applyBorder="1" applyAlignment="1">
      <alignment horizontal="left"/>
    </xf>
    <xf numFmtId="0" fontId="32" fillId="0" borderId="5" xfId="0" applyFont="1" applyFill="1" applyBorder="1" applyAlignment="1">
      <alignment horizontal="right"/>
    </xf>
    <xf numFmtId="0" fontId="32" fillId="0" borderId="6" xfId="0" applyFont="1" applyFill="1" applyBorder="1" applyAlignment="1">
      <alignment horizontal="right"/>
    </xf>
    <xf numFmtId="0" fontId="25" fillId="0" borderId="11" xfId="0" applyFont="1" applyBorder="1" applyAlignment="1">
      <alignment horizontal="right"/>
    </xf>
    <xf numFmtId="0" fontId="29" fillId="0" borderId="0" xfId="0" applyFont="1" applyAlignment="1">
      <alignment horizontal="right"/>
    </xf>
    <xf numFmtId="0" fontId="29" fillId="0" borderId="8" xfId="0" applyFont="1" applyBorder="1" applyAlignment="1">
      <alignment horizontal="right"/>
    </xf>
    <xf numFmtId="0" fontId="13" fillId="0" borderId="25" xfId="0" applyFont="1" applyBorder="1" applyAlignment="1">
      <alignment horizontal="right"/>
    </xf>
    <xf numFmtId="0" fontId="13" fillId="0" borderId="19" xfId="0" applyFont="1" applyBorder="1" applyAlignment="1">
      <alignment horizontal="right"/>
    </xf>
    <xf numFmtId="0" fontId="14" fillId="0" borderId="26" xfId="0" applyFont="1" applyBorder="1"/>
    <xf numFmtId="0" fontId="13" fillId="0" borderId="27" xfId="0" applyFont="1" applyBorder="1"/>
    <xf numFmtId="0" fontId="13" fillId="0" borderId="26" xfId="0" applyFont="1" applyBorder="1"/>
    <xf numFmtId="0" fontId="14" fillId="0" borderId="27" xfId="0" applyFont="1" applyBorder="1"/>
    <xf numFmtId="0" fontId="16" fillId="0" borderId="1" xfId="0" applyFont="1" applyBorder="1"/>
    <xf numFmtId="0" fontId="20" fillId="0" borderId="17" xfId="0" applyFont="1" applyBorder="1"/>
    <xf numFmtId="0" fontId="35" fillId="0" borderId="0" xfId="0" applyNumberFormat="1" applyFont="1" applyFill="1" applyBorder="1" applyAlignment="1">
      <alignment horizontal="right"/>
    </xf>
    <xf numFmtId="0" fontId="34" fillId="0" borderId="19" xfId="0" applyFont="1" applyFill="1" applyBorder="1" applyAlignment="1">
      <alignment horizontal="left"/>
    </xf>
    <xf numFmtId="0" fontId="32" fillId="0" borderId="20" xfId="0" applyFont="1" applyFill="1" applyBorder="1" applyAlignment="1">
      <alignment horizontal="right"/>
    </xf>
    <xf numFmtId="0" fontId="25" fillId="0" borderId="28" xfId="0" applyFont="1" applyBorder="1" applyAlignment="1">
      <alignment horizontal="right"/>
    </xf>
    <xf numFmtId="0" fontId="29" fillId="0" borderId="25" xfId="0" applyFont="1" applyBorder="1" applyAlignment="1">
      <alignment horizontal="right"/>
    </xf>
    <xf numFmtId="0" fontId="16" fillId="0" borderId="17" xfId="0" applyFont="1" applyBorder="1"/>
    <xf numFmtId="0" fontId="14" fillId="0" borderId="29" xfId="0" applyFont="1" applyBorder="1"/>
    <xf numFmtId="0" fontId="45" fillId="0" borderId="0" xfId="0" applyFont="1"/>
    <xf numFmtId="3" fontId="20" fillId="6" borderId="3" xfId="0" applyNumberFormat="1" applyFont="1" applyFill="1" applyBorder="1" applyAlignment="1" applyProtection="1">
      <alignment horizontal="right"/>
      <protection locked="0"/>
    </xf>
    <xf numFmtId="3" fontId="20" fillId="6" borderId="0" xfId="0" applyNumberFormat="1" applyFont="1" applyFill="1" applyBorder="1" applyAlignment="1" applyProtection="1">
      <alignment horizontal="right"/>
      <protection locked="0"/>
    </xf>
    <xf numFmtId="0" fontId="20" fillId="6" borderId="3" xfId="0" applyFont="1" applyFill="1" applyBorder="1" applyAlignment="1" applyProtection="1">
      <alignment horizontal="right"/>
      <protection locked="0"/>
    </xf>
    <xf numFmtId="166" fontId="20" fillId="6" borderId="0" xfId="0" applyNumberFormat="1" applyFont="1" applyFill="1" applyBorder="1" applyAlignment="1" applyProtection="1">
      <alignment horizontal="center"/>
      <protection locked="0"/>
    </xf>
    <xf numFmtId="3" fontId="20" fillId="6" borderId="6" xfId="0" applyNumberFormat="1" applyFont="1" applyFill="1" applyBorder="1" applyAlignment="1" applyProtection="1">
      <alignment horizontal="right"/>
      <protection locked="0"/>
    </xf>
    <xf numFmtId="3" fontId="20" fillId="6" borderId="5" xfId="0" applyNumberFormat="1" applyFont="1" applyFill="1" applyBorder="1" applyAlignment="1" applyProtection="1">
      <alignment horizontal="right"/>
      <protection locked="0"/>
    </xf>
    <xf numFmtId="0" fontId="33" fillId="0" borderId="0" xfId="0" applyFont="1" applyBorder="1"/>
    <xf numFmtId="0" fontId="33" fillId="0" borderId="1" xfId="0" applyFont="1" applyBorder="1"/>
    <xf numFmtId="0" fontId="33" fillId="0" borderId="0" xfId="0" applyFont="1"/>
    <xf numFmtId="14" fontId="13" fillId="0" borderId="0" xfId="0" applyNumberFormat="1" applyFont="1" applyFill="1" applyBorder="1" applyAlignment="1">
      <alignment horizontal="right"/>
    </xf>
    <xf numFmtId="0" fontId="33" fillId="0" borderId="5" xfId="0" applyFont="1" applyBorder="1"/>
    <xf numFmtId="3" fontId="13" fillId="0" borderId="7" xfId="0" applyNumberFormat="1" applyFont="1" applyBorder="1" applyAlignment="1">
      <alignment horizontal="right"/>
    </xf>
    <xf numFmtId="3" fontId="13" fillId="0" borderId="12" xfId="0" applyNumberFormat="1" applyFont="1" applyBorder="1" applyAlignment="1">
      <alignment horizontal="right"/>
    </xf>
    <xf numFmtId="0" fontId="13" fillId="0" borderId="0" xfId="0" applyFont="1" applyFill="1" applyBorder="1" applyAlignment="1">
      <alignment horizontal="left" wrapText="1"/>
    </xf>
    <xf numFmtId="0" fontId="39" fillId="0" borderId="0" xfId="0" applyFont="1"/>
    <xf numFmtId="0" fontId="36" fillId="0" borderId="13" xfId="0" applyNumberFormat="1" applyFont="1" applyFill="1" applyBorder="1"/>
    <xf numFmtId="0" fontId="36" fillId="0" borderId="0" xfId="0" applyNumberFormat="1" applyFont="1" applyFill="1" applyBorder="1"/>
    <xf numFmtId="0" fontId="36" fillId="0" borderId="0" xfId="0" applyNumberFormat="1" applyFont="1" applyBorder="1"/>
    <xf numFmtId="0" fontId="36" fillId="0" borderId="9" xfId="0" applyNumberFormat="1" applyFont="1" applyFill="1" applyBorder="1"/>
    <xf numFmtId="0" fontId="33" fillId="0" borderId="2" xfId="0" applyFont="1" applyFill="1" applyBorder="1"/>
    <xf numFmtId="0" fontId="30" fillId="0" borderId="19" xfId="0" applyFont="1" applyFill="1" applyBorder="1"/>
    <xf numFmtId="0" fontId="13" fillId="0" borderId="19" xfId="0" applyFont="1" applyFill="1" applyBorder="1" applyAlignment="1">
      <alignment horizontal="right"/>
    </xf>
    <xf numFmtId="0" fontId="32" fillId="0" borderId="20" xfId="0" applyFont="1" applyFill="1" applyBorder="1"/>
    <xf numFmtId="0" fontId="13" fillId="0" borderId="20" xfId="0" applyFont="1" applyBorder="1"/>
    <xf numFmtId="0" fontId="29" fillId="7" borderId="1" xfId="0" applyFont="1" applyFill="1" applyBorder="1"/>
    <xf numFmtId="0" fontId="29" fillId="7" borderId="0" xfId="0" applyFont="1" applyFill="1" applyBorder="1"/>
    <xf numFmtId="49" fontId="13" fillId="8" borderId="10" xfId="0" applyNumberFormat="1" applyFont="1" applyFill="1" applyBorder="1"/>
    <xf numFmtId="0" fontId="42" fillId="0" borderId="0" xfId="0" applyFont="1" applyFill="1" applyBorder="1" applyProtection="1"/>
    <xf numFmtId="166" fontId="42" fillId="0" borderId="0" xfId="6" applyNumberFormat="1" applyFont="1" applyFill="1" applyBorder="1" applyProtection="1"/>
    <xf numFmtId="0" fontId="42" fillId="0" borderId="0" xfId="0" applyFont="1" applyFill="1" applyBorder="1" applyAlignment="1" applyProtection="1"/>
    <xf numFmtId="0" fontId="41" fillId="0" borderId="0" xfId="0" applyFont="1" applyFill="1" applyBorder="1" applyAlignment="1" applyProtection="1">
      <alignment horizontal="center" vertical="top"/>
    </xf>
    <xf numFmtId="0" fontId="42" fillId="0" borderId="0" xfId="0" applyFont="1" applyFill="1" applyBorder="1" applyAlignment="1" applyProtection="1">
      <alignment horizontal="center" vertical="top"/>
    </xf>
    <xf numFmtId="173" fontId="42" fillId="0" borderId="0" xfId="7" applyNumberFormat="1" applyFont="1" applyFill="1" applyBorder="1" applyAlignment="1" applyProtection="1">
      <alignment horizontal="center" vertical="top"/>
    </xf>
    <xf numFmtId="3" fontId="41" fillId="0" borderId="0" xfId="4" applyNumberFormat="1" applyFont="1" applyFill="1" applyBorder="1" applyAlignment="1" applyProtection="1">
      <alignment horizontal="center" vertical="top"/>
    </xf>
    <xf numFmtId="172" fontId="42" fillId="0" borderId="0" xfId="3" applyFont="1" applyFill="1" applyBorder="1" applyAlignment="1" applyProtection="1">
      <alignment horizontal="center" vertical="top"/>
    </xf>
    <xf numFmtId="172" fontId="41" fillId="0" borderId="0" xfId="3" applyFont="1" applyFill="1" applyBorder="1" applyAlignment="1" applyProtection="1">
      <alignment horizontal="center" vertical="top"/>
    </xf>
    <xf numFmtId="3" fontId="42" fillId="0" borderId="0" xfId="4" applyNumberFormat="1" applyFont="1" applyFill="1" applyBorder="1" applyAlignment="1" applyProtection="1">
      <alignment horizontal="center" vertical="top"/>
    </xf>
    <xf numFmtId="0" fontId="17" fillId="9" borderId="1" xfId="0" applyFont="1" applyFill="1" applyBorder="1" applyAlignment="1">
      <alignment horizontal="right"/>
    </xf>
    <xf numFmtId="0" fontId="17" fillId="9" borderId="1" xfId="0" applyFont="1" applyFill="1" applyBorder="1" applyAlignment="1">
      <alignment horizontal="left"/>
    </xf>
    <xf numFmtId="10" fontId="13" fillId="2" borderId="0" xfId="6" applyNumberFormat="1" applyFont="1" applyFill="1"/>
    <xf numFmtId="10" fontId="13" fillId="2" borderId="0" xfId="0" applyNumberFormat="1" applyFont="1" applyFill="1"/>
    <xf numFmtId="10" fontId="13" fillId="0" borderId="0" xfId="6" applyNumberFormat="1" applyFont="1"/>
    <xf numFmtId="0" fontId="17" fillId="9" borderId="10" xfId="0" applyFont="1" applyFill="1" applyBorder="1" applyAlignment="1">
      <alignment horizontal="right"/>
    </xf>
    <xf numFmtId="0" fontId="14" fillId="2" borderId="2" xfId="0" applyFont="1" applyFill="1" applyBorder="1" applyProtection="1"/>
    <xf numFmtId="0" fontId="14" fillId="2" borderId="0" xfId="0" applyFont="1" applyFill="1" applyBorder="1" applyProtection="1"/>
    <xf numFmtId="0" fontId="13" fillId="2" borderId="0" xfId="0" applyFont="1" applyFill="1" applyProtection="1"/>
    <xf numFmtId="0" fontId="42" fillId="2" borderId="0" xfId="0" applyFont="1" applyFill="1" applyBorder="1" applyProtection="1"/>
    <xf numFmtId="0" fontId="20" fillId="2" borderId="0" xfId="0" applyFont="1" applyFill="1" applyBorder="1" applyAlignment="1" applyProtection="1">
      <alignment horizontal="center" vertical="center"/>
    </xf>
    <xf numFmtId="0" fontId="13" fillId="4" borderId="0" xfId="0" applyFont="1" applyFill="1"/>
    <xf numFmtId="0" fontId="12" fillId="2" borderId="2" xfId="0" applyFont="1" applyFill="1" applyBorder="1" applyProtection="1">
      <protection locked="0"/>
    </xf>
    <xf numFmtId="0" fontId="14" fillId="3" borderId="11" xfId="0" applyFont="1" applyFill="1" applyBorder="1"/>
    <xf numFmtId="0" fontId="13" fillId="3" borderId="7" xfId="0" applyFont="1" applyFill="1" applyBorder="1"/>
    <xf numFmtId="0" fontId="13" fillId="3" borderId="12" xfId="0" applyFont="1" applyFill="1" applyBorder="1"/>
    <xf numFmtId="0" fontId="14" fillId="3" borderId="7" xfId="0" applyFont="1" applyFill="1" applyBorder="1"/>
    <xf numFmtId="0" fontId="14" fillId="3" borderId="12" xfId="0" applyFont="1" applyFill="1" applyBorder="1"/>
    <xf numFmtId="0" fontId="13" fillId="6" borderId="0" xfId="0" applyFont="1" applyFill="1"/>
    <xf numFmtId="0" fontId="12" fillId="11" borderId="0" xfId="0" applyFont="1" applyFill="1"/>
    <xf numFmtId="0" fontId="13" fillId="4" borderId="0" xfId="0" applyFont="1" applyFill="1" applyBorder="1"/>
    <xf numFmtId="0" fontId="13" fillId="4" borderId="1" xfId="0" applyFont="1" applyFill="1" applyBorder="1"/>
    <xf numFmtId="0" fontId="13" fillId="4" borderId="8" xfId="0" applyFont="1" applyFill="1" applyBorder="1"/>
    <xf numFmtId="0" fontId="20" fillId="4" borderId="0" xfId="0" applyFont="1" applyFill="1" applyBorder="1"/>
    <xf numFmtId="0" fontId="13" fillId="4" borderId="3" xfId="0" applyFont="1" applyFill="1" applyBorder="1"/>
    <xf numFmtId="0" fontId="14" fillId="4" borderId="2" xfId="0" applyFont="1" applyFill="1" applyBorder="1"/>
    <xf numFmtId="0" fontId="14" fillId="4" borderId="0" xfId="0" applyFont="1" applyFill="1" applyBorder="1"/>
    <xf numFmtId="0" fontId="27" fillId="4" borderId="0" xfId="1" applyFont="1" applyFill="1" applyBorder="1" applyAlignment="1" applyProtection="1"/>
    <xf numFmtId="0" fontId="23" fillId="4" borderId="0" xfId="0" applyFont="1" applyFill="1" applyBorder="1"/>
    <xf numFmtId="0" fontId="13" fillId="4" borderId="2" xfId="0" applyFont="1" applyFill="1" applyBorder="1"/>
    <xf numFmtId="0" fontId="13" fillId="4" borderId="4" xfId="0" applyFont="1" applyFill="1" applyBorder="1"/>
    <xf numFmtId="0" fontId="13" fillId="4" borderId="5" xfId="0" applyFont="1" applyFill="1" applyBorder="1"/>
    <xf numFmtId="0" fontId="13" fillId="4" borderId="6" xfId="0" applyFont="1" applyFill="1" applyBorder="1"/>
    <xf numFmtId="0" fontId="13" fillId="4" borderId="0" xfId="0" applyFont="1" applyFill="1" applyBorder="1" applyProtection="1">
      <protection locked="0"/>
    </xf>
    <xf numFmtId="0" fontId="13" fillId="4" borderId="10" xfId="0" applyFont="1" applyFill="1" applyBorder="1" applyProtection="1">
      <protection locked="0"/>
    </xf>
    <xf numFmtId="0" fontId="13" fillId="4" borderId="1" xfId="0" applyFont="1" applyFill="1" applyBorder="1" applyProtection="1">
      <protection locked="0"/>
    </xf>
    <xf numFmtId="0" fontId="13" fillId="4" borderId="8" xfId="0" applyFont="1" applyFill="1" applyBorder="1" applyProtection="1">
      <protection locked="0"/>
    </xf>
    <xf numFmtId="0" fontId="13" fillId="4" borderId="2" xfId="0" applyFont="1" applyFill="1" applyBorder="1" applyProtection="1">
      <protection locked="0"/>
    </xf>
    <xf numFmtId="0" fontId="13" fillId="4" borderId="3" xfId="0" applyFont="1" applyFill="1" applyBorder="1" applyProtection="1">
      <protection locked="0"/>
    </xf>
    <xf numFmtId="0" fontId="13" fillId="4" borderId="4" xfId="0" applyFont="1" applyFill="1" applyBorder="1" applyProtection="1">
      <protection locked="0"/>
    </xf>
    <xf numFmtId="0" fontId="13" fillId="4" borderId="5" xfId="0" applyFont="1" applyFill="1" applyBorder="1" applyProtection="1">
      <protection locked="0"/>
    </xf>
    <xf numFmtId="0" fontId="13" fillId="4" borderId="6" xfId="0" applyFont="1" applyFill="1" applyBorder="1" applyProtection="1">
      <protection locked="0"/>
    </xf>
    <xf numFmtId="0" fontId="13" fillId="4" borderId="9" xfId="0" applyFont="1" applyFill="1" applyBorder="1" applyProtection="1">
      <protection locked="0"/>
    </xf>
    <xf numFmtId="0" fontId="13" fillId="0" borderId="0" xfId="0" applyNumberFormat="1" applyFont="1" applyFill="1" applyBorder="1" applyAlignment="1">
      <alignment horizontal="right"/>
    </xf>
    <xf numFmtId="0" fontId="13" fillId="0" borderId="0" xfId="0" applyNumberFormat="1" applyFont="1" applyFill="1" applyBorder="1" applyAlignment="1">
      <alignment horizontal="left"/>
    </xf>
    <xf numFmtId="0" fontId="13" fillId="4" borderId="10" xfId="0" applyNumberFormat="1" applyFont="1" applyFill="1" applyBorder="1" applyProtection="1">
      <protection locked="0"/>
    </xf>
    <xf numFmtId="0" fontId="13" fillId="4" borderId="1" xfId="0" applyNumberFormat="1" applyFont="1" applyFill="1" applyBorder="1" applyProtection="1">
      <protection locked="0"/>
    </xf>
    <xf numFmtId="0" fontId="13" fillId="4" borderId="8" xfId="0" applyNumberFormat="1" applyFont="1" applyFill="1" applyBorder="1" applyProtection="1">
      <protection locked="0"/>
    </xf>
    <xf numFmtId="0" fontId="13" fillId="4" borderId="2" xfId="0" applyNumberFormat="1" applyFont="1" applyFill="1" applyBorder="1" applyProtection="1">
      <protection locked="0"/>
    </xf>
    <xf numFmtId="0" fontId="13" fillId="4" borderId="0" xfId="0" applyNumberFormat="1" applyFont="1" applyFill="1" applyBorder="1" applyProtection="1">
      <protection locked="0"/>
    </xf>
    <xf numFmtId="0" fontId="13" fillId="4" borderId="3" xfId="0" applyNumberFormat="1" applyFont="1" applyFill="1" applyBorder="1" applyProtection="1">
      <protection locked="0"/>
    </xf>
    <xf numFmtId="0" fontId="13" fillId="4" borderId="4" xfId="0" applyNumberFormat="1" applyFont="1" applyFill="1" applyBorder="1" applyProtection="1">
      <protection locked="0"/>
    </xf>
    <xf numFmtId="0" fontId="13" fillId="4" borderId="5" xfId="0" applyNumberFormat="1" applyFont="1" applyFill="1" applyBorder="1" applyProtection="1">
      <protection locked="0"/>
    </xf>
    <xf numFmtId="0" fontId="13" fillId="4" borderId="6" xfId="0" applyNumberFormat="1" applyFont="1" applyFill="1" applyBorder="1" applyProtection="1">
      <protection locked="0"/>
    </xf>
    <xf numFmtId="0" fontId="14" fillId="4" borderId="10" xfId="0" applyFont="1" applyFill="1" applyBorder="1"/>
    <xf numFmtId="0" fontId="13" fillId="4" borderId="7" xfId="0" applyFont="1" applyFill="1" applyBorder="1" applyProtection="1">
      <protection locked="0"/>
    </xf>
    <xf numFmtId="0" fontId="13" fillId="4" borderId="12" xfId="0" applyFont="1" applyFill="1" applyBorder="1" applyProtection="1">
      <protection locked="0"/>
    </xf>
    <xf numFmtId="3" fontId="13" fillId="4" borderId="9" xfId="0" applyNumberFormat="1" applyFont="1" applyFill="1" applyBorder="1" applyProtection="1">
      <protection locked="0"/>
    </xf>
    <xf numFmtId="9" fontId="13" fillId="4" borderId="9" xfId="0" applyNumberFormat="1" applyFont="1" applyFill="1" applyBorder="1" applyProtection="1">
      <protection locked="0"/>
    </xf>
    <xf numFmtId="0" fontId="15" fillId="3" borderId="11" xfId="0" applyFont="1" applyFill="1" applyBorder="1"/>
    <xf numFmtId="0" fontId="15" fillId="0" borderId="11" xfId="0" applyFont="1" applyFill="1" applyBorder="1"/>
    <xf numFmtId="0" fontId="13" fillId="0" borderId="8" xfId="0" applyFont="1" applyFill="1" applyBorder="1"/>
    <xf numFmtId="0" fontId="13" fillId="4" borderId="11" xfId="0" applyFont="1" applyFill="1" applyBorder="1"/>
    <xf numFmtId="0" fontId="13" fillId="4" borderId="7" xfId="0" applyFont="1" applyFill="1" applyBorder="1"/>
    <xf numFmtId="0" fontId="15" fillId="4" borderId="10" xfId="0" applyFont="1" applyFill="1" applyBorder="1"/>
    <xf numFmtId="0" fontId="15" fillId="4" borderId="2" xfId="0" applyFont="1" applyFill="1" applyBorder="1"/>
    <xf numFmtId="0" fontId="15" fillId="4" borderId="4" xfId="0" applyFont="1" applyFill="1" applyBorder="1"/>
    <xf numFmtId="0" fontId="13" fillId="4" borderId="10" xfId="0" applyFont="1" applyFill="1" applyBorder="1"/>
    <xf numFmtId="0" fontId="13" fillId="7" borderId="5" xfId="0" applyFont="1" applyFill="1" applyBorder="1"/>
    <xf numFmtId="0" fontId="13" fillId="0" borderId="12" xfId="0" applyNumberFormat="1" applyFont="1" applyFill="1" applyBorder="1" applyAlignment="1">
      <alignment horizontal="center"/>
    </xf>
    <xf numFmtId="0" fontId="14" fillId="4" borderId="30" xfId="0" applyFont="1" applyFill="1" applyBorder="1" applyAlignment="1">
      <alignment horizontal="center"/>
    </xf>
    <xf numFmtId="0" fontId="16" fillId="4" borderId="0" xfId="0" applyFont="1" applyFill="1"/>
    <xf numFmtId="0" fontId="13" fillId="0" borderId="0" xfId="0" quotePrefix="1" applyFont="1" applyFill="1"/>
    <xf numFmtId="0" fontId="14" fillId="0" borderId="7" xfId="0" applyFont="1" applyFill="1" applyBorder="1"/>
    <xf numFmtId="0" fontId="14" fillId="0" borderId="7" xfId="0" applyNumberFormat="1" applyFont="1" applyFill="1" applyBorder="1" applyAlignment="1">
      <alignment horizontal="center"/>
    </xf>
    <xf numFmtId="0" fontId="14" fillId="0" borderId="7" xfId="0" applyFont="1" applyFill="1" applyBorder="1" applyAlignment="1">
      <alignment horizontal="center"/>
    </xf>
    <xf numFmtId="0" fontId="13" fillId="0" borderId="0" xfId="0" applyNumberFormat="1" applyFont="1" applyFill="1" applyBorder="1"/>
    <xf numFmtId="0" fontId="13" fillId="3" borderId="1" xfId="0" applyNumberFormat="1" applyFont="1" applyFill="1" applyBorder="1"/>
    <xf numFmtId="0" fontId="13" fillId="0" borderId="2" xfId="0" applyNumberFormat="1" applyFont="1" applyFill="1" applyBorder="1"/>
    <xf numFmtId="0" fontId="31" fillId="0" borderId="0" xfId="0" applyNumberFormat="1" applyFont="1" applyFill="1" applyBorder="1"/>
    <xf numFmtId="0" fontId="30" fillId="0" borderId="3" xfId="0" applyNumberFormat="1" applyFont="1" applyFill="1" applyBorder="1"/>
    <xf numFmtId="0" fontId="14" fillId="0" borderId="0" xfId="0" applyNumberFormat="1" applyFont="1" applyFill="1" applyBorder="1"/>
    <xf numFmtId="0" fontId="13" fillId="0" borderId="0" xfId="0" applyNumberFormat="1" applyFont="1" applyFill="1" applyBorder="1" applyAlignment="1">
      <alignment horizontal="right" wrapText="1"/>
    </xf>
    <xf numFmtId="0" fontId="13" fillId="0" borderId="0" xfId="0" applyNumberFormat="1" applyFont="1" applyFill="1"/>
    <xf numFmtId="0" fontId="30" fillId="0" borderId="0" xfId="0" applyNumberFormat="1" applyFont="1" applyFill="1" applyBorder="1" applyAlignment="1">
      <alignment horizontal="left"/>
    </xf>
    <xf numFmtId="0" fontId="13" fillId="0" borderId="3" xfId="0" applyNumberFormat="1" applyFont="1" applyFill="1" applyBorder="1" applyAlignment="1">
      <alignment horizontal="right"/>
    </xf>
    <xf numFmtId="0" fontId="13" fillId="0" borderId="4" xfId="0" applyNumberFormat="1" applyFont="1" applyFill="1" applyBorder="1"/>
    <xf numFmtId="0" fontId="32" fillId="0" borderId="5" xfId="0" applyNumberFormat="1" applyFont="1" applyFill="1" applyBorder="1"/>
    <xf numFmtId="0" fontId="13" fillId="0" borderId="5" xfId="0" applyNumberFormat="1" applyFont="1" applyFill="1" applyBorder="1"/>
    <xf numFmtId="0" fontId="32" fillId="0" borderId="6" xfId="0" applyNumberFormat="1" applyFont="1" applyFill="1" applyBorder="1"/>
    <xf numFmtId="0" fontId="13" fillId="0" borderId="7" xfId="0" applyNumberFormat="1" applyFont="1" applyFill="1" applyBorder="1"/>
    <xf numFmtId="0" fontId="13" fillId="0" borderId="11" xfId="0" applyNumberFormat="1" applyFont="1" applyFill="1" applyBorder="1"/>
    <xf numFmtId="0" fontId="14" fillId="3" borderId="11" xfId="0" applyNumberFormat="1" applyFont="1" applyFill="1" applyBorder="1"/>
    <xf numFmtId="0" fontId="13" fillId="3" borderId="7" xfId="0" applyNumberFormat="1" applyFont="1" applyFill="1" applyBorder="1"/>
    <xf numFmtId="0" fontId="13" fillId="3" borderId="12" xfId="0" applyNumberFormat="1" applyFont="1" applyFill="1" applyBorder="1"/>
    <xf numFmtId="0" fontId="14" fillId="3" borderId="7" xfId="0" applyNumberFormat="1" applyFont="1" applyFill="1" applyBorder="1"/>
    <xf numFmtId="0" fontId="14" fillId="3" borderId="12" xfId="0" applyNumberFormat="1" applyFont="1" applyFill="1" applyBorder="1"/>
    <xf numFmtId="0" fontId="13" fillId="0" borderId="0" xfId="0" applyNumberFormat="1" applyFont="1" applyFill="1" applyBorder="1" applyAlignment="1">
      <alignment horizontal="left" wrapText="1"/>
    </xf>
    <xf numFmtId="0" fontId="30" fillId="0" borderId="0" xfId="0" applyNumberFormat="1" applyFont="1" applyFill="1" applyBorder="1" applyAlignment="1">
      <alignment horizontal="right"/>
    </xf>
    <xf numFmtId="0" fontId="14" fillId="4" borderId="10" xfId="0" applyNumberFormat="1" applyFont="1" applyFill="1" applyBorder="1"/>
    <xf numFmtId="0" fontId="14" fillId="4" borderId="1" xfId="0" applyNumberFormat="1" applyFont="1" applyFill="1" applyBorder="1"/>
    <xf numFmtId="0" fontId="14" fillId="4" borderId="8" xfId="0" applyNumberFormat="1" applyFont="1" applyFill="1" applyBorder="1"/>
    <xf numFmtId="0" fontId="14" fillId="4" borderId="2" xfId="0" applyNumberFormat="1" applyFont="1" applyFill="1" applyBorder="1"/>
    <xf numFmtId="0" fontId="14" fillId="4" borderId="0" xfId="0" applyNumberFormat="1" applyFont="1" applyFill="1" applyBorder="1"/>
    <xf numFmtId="0" fontId="14" fillId="4" borderId="3" xfId="0" applyNumberFormat="1" applyFont="1" applyFill="1" applyBorder="1"/>
    <xf numFmtId="0" fontId="7" fillId="0" borderId="0" xfId="0" applyNumberFormat="1" applyFont="1" applyFill="1" applyBorder="1" applyAlignment="1">
      <alignment horizontal="left"/>
    </xf>
    <xf numFmtId="0" fontId="13" fillId="4" borderId="25" xfId="0" applyFont="1" applyFill="1" applyBorder="1" applyProtection="1">
      <protection locked="0"/>
    </xf>
    <xf numFmtId="0" fontId="13" fillId="4" borderId="19" xfId="0" applyFont="1" applyFill="1" applyBorder="1" applyProtection="1">
      <protection locked="0"/>
    </xf>
    <xf numFmtId="0" fontId="13" fillId="4" borderId="20" xfId="0" applyFont="1" applyFill="1" applyBorder="1" applyProtection="1">
      <protection locked="0"/>
    </xf>
    <xf numFmtId="0" fontId="14" fillId="3" borderId="31" xfId="0" applyFont="1" applyFill="1" applyBorder="1"/>
    <xf numFmtId="0" fontId="13" fillId="3" borderId="31" xfId="0" applyFont="1" applyFill="1" applyBorder="1"/>
    <xf numFmtId="0" fontId="14" fillId="3" borderId="25" xfId="0" applyFont="1" applyFill="1" applyBorder="1"/>
    <xf numFmtId="0" fontId="13" fillId="4" borderId="0" xfId="0" applyFont="1" applyFill="1" applyBorder="1" applyAlignment="1" applyProtection="1">
      <alignment vertical="top"/>
      <protection locked="0"/>
    </xf>
    <xf numFmtId="0" fontId="16" fillId="3" borderId="32" xfId="0" applyFont="1" applyFill="1" applyBorder="1" applyAlignment="1">
      <alignment horizontal="right"/>
    </xf>
    <xf numFmtId="0" fontId="16" fillId="3" borderId="33" xfId="0" applyFont="1" applyFill="1" applyBorder="1" applyAlignment="1">
      <alignment horizontal="right"/>
    </xf>
    <xf numFmtId="0" fontId="16" fillId="3" borderId="34" xfId="0" applyFont="1" applyFill="1" applyBorder="1" applyAlignment="1">
      <alignment horizontal="right"/>
    </xf>
    <xf numFmtId="0" fontId="16" fillId="3" borderId="35" xfId="0" applyFont="1" applyFill="1" applyBorder="1" applyAlignment="1">
      <alignment horizontal="right"/>
    </xf>
    <xf numFmtId="0" fontId="13" fillId="4" borderId="36" xfId="0" applyFont="1" applyFill="1" applyBorder="1" applyAlignment="1">
      <alignment horizontal="right"/>
    </xf>
    <xf numFmtId="0" fontId="13" fillId="4" borderId="13" xfId="0" applyFont="1" applyFill="1" applyBorder="1" applyAlignment="1">
      <alignment horizontal="right"/>
    </xf>
    <xf numFmtId="0" fontId="13" fillId="4" borderId="37" xfId="0" applyFont="1" applyFill="1" applyBorder="1" applyAlignment="1">
      <alignment horizontal="right"/>
    </xf>
    <xf numFmtId="0" fontId="13" fillId="4" borderId="25" xfId="0" applyFont="1" applyFill="1" applyBorder="1" applyAlignment="1">
      <alignment horizontal="right"/>
    </xf>
    <xf numFmtId="0" fontId="13" fillId="4" borderId="38" xfId="0" applyFont="1" applyFill="1" applyBorder="1" applyAlignment="1">
      <alignment horizontal="right"/>
    </xf>
    <xf numFmtId="0" fontId="13" fillId="4" borderId="15" xfId="0" applyFont="1" applyFill="1" applyBorder="1" applyAlignment="1">
      <alignment horizontal="right"/>
    </xf>
    <xf numFmtId="0" fontId="13" fillId="4" borderId="39" xfId="0" applyFont="1" applyFill="1" applyBorder="1" applyAlignment="1">
      <alignment horizontal="right"/>
    </xf>
    <xf numFmtId="0" fontId="13" fillId="4" borderId="19" xfId="0" applyFont="1" applyFill="1" applyBorder="1" applyAlignment="1">
      <alignment horizontal="right"/>
    </xf>
    <xf numFmtId="3" fontId="13" fillId="4" borderId="38" xfId="0" applyNumberFormat="1" applyFont="1" applyFill="1" applyBorder="1" applyAlignment="1">
      <alignment horizontal="right"/>
    </xf>
    <xf numFmtId="3" fontId="13" fillId="4" borderId="15" xfId="0" applyNumberFormat="1" applyFont="1" applyFill="1" applyBorder="1" applyAlignment="1">
      <alignment horizontal="right"/>
    </xf>
    <xf numFmtId="3" fontId="13" fillId="4" borderId="19" xfId="0" applyNumberFormat="1" applyFont="1" applyFill="1" applyBorder="1" applyAlignment="1">
      <alignment horizontal="right"/>
    </xf>
    <xf numFmtId="3" fontId="13" fillId="4" borderId="40" xfId="0" applyNumberFormat="1" applyFont="1" applyFill="1" applyBorder="1" applyAlignment="1">
      <alignment horizontal="right"/>
    </xf>
    <xf numFmtId="0" fontId="13" fillId="4" borderId="14" xfId="0" applyFont="1" applyFill="1" applyBorder="1" applyAlignment="1">
      <alignment horizontal="right"/>
    </xf>
    <xf numFmtId="3" fontId="13" fillId="4" borderId="14" xfId="0" applyNumberFormat="1" applyFont="1" applyFill="1" applyBorder="1" applyAlignment="1">
      <alignment horizontal="right"/>
    </xf>
    <xf numFmtId="0" fontId="13" fillId="4" borderId="41" xfId="0" applyFont="1" applyFill="1" applyBorder="1" applyAlignment="1">
      <alignment horizontal="right"/>
    </xf>
    <xf numFmtId="3" fontId="14" fillId="4" borderId="38" xfId="0" applyNumberFormat="1" applyFont="1" applyFill="1" applyBorder="1" applyAlignment="1">
      <alignment horizontal="right"/>
    </xf>
    <xf numFmtId="3" fontId="14" fillId="4" borderId="15" xfId="0" applyNumberFormat="1" applyFont="1" applyFill="1" applyBorder="1" applyAlignment="1">
      <alignment horizontal="right"/>
    </xf>
    <xf numFmtId="3" fontId="14" fillId="4" borderId="39" xfId="0" applyNumberFormat="1" applyFont="1" applyFill="1" applyBorder="1" applyAlignment="1">
      <alignment horizontal="right"/>
    </xf>
    <xf numFmtId="3" fontId="14" fillId="4" borderId="19" xfId="0" applyNumberFormat="1" applyFont="1" applyFill="1" applyBorder="1" applyAlignment="1">
      <alignment horizontal="right"/>
    </xf>
    <xf numFmtId="3" fontId="14" fillId="4" borderId="40" xfId="0" applyNumberFormat="1" applyFont="1" applyFill="1" applyBorder="1" applyAlignment="1">
      <alignment horizontal="right"/>
    </xf>
    <xf numFmtId="3" fontId="14" fillId="4" borderId="14" xfId="0" applyNumberFormat="1" applyFont="1" applyFill="1" applyBorder="1" applyAlignment="1">
      <alignment horizontal="right"/>
    </xf>
    <xf numFmtId="3" fontId="14" fillId="4" borderId="41" xfId="0" applyNumberFormat="1" applyFont="1" applyFill="1" applyBorder="1" applyAlignment="1">
      <alignment horizontal="right"/>
    </xf>
    <xf numFmtId="3" fontId="14" fillId="4" borderId="20" xfId="0" applyNumberFormat="1" applyFont="1" applyFill="1" applyBorder="1" applyAlignment="1">
      <alignment horizontal="right"/>
    </xf>
    <xf numFmtId="3" fontId="13" fillId="4" borderId="20" xfId="0" applyNumberFormat="1" applyFont="1" applyFill="1" applyBorder="1" applyAlignment="1">
      <alignment horizontal="right"/>
    </xf>
    <xf numFmtId="0" fontId="14" fillId="4" borderId="39" xfId="0" applyFont="1" applyFill="1" applyBorder="1" applyAlignment="1">
      <alignment horizontal="right"/>
    </xf>
    <xf numFmtId="0" fontId="14" fillId="4" borderId="41" xfId="0" applyFont="1" applyFill="1" applyBorder="1" applyAlignment="1">
      <alignment horizontal="right"/>
    </xf>
    <xf numFmtId="0" fontId="14" fillId="4" borderId="40" xfId="0" applyFont="1" applyFill="1" applyBorder="1" applyAlignment="1">
      <alignment horizontal="right"/>
    </xf>
    <xf numFmtId="3" fontId="13" fillId="4" borderId="39" xfId="0" applyNumberFormat="1" applyFont="1" applyFill="1" applyBorder="1" applyAlignment="1">
      <alignment horizontal="right"/>
    </xf>
    <xf numFmtId="3" fontId="13" fillId="4" borderId="41" xfId="0" applyNumberFormat="1" applyFont="1" applyFill="1" applyBorder="1" applyAlignment="1">
      <alignment horizontal="right"/>
    </xf>
    <xf numFmtId="3" fontId="14" fillId="4" borderId="36" xfId="0" applyNumberFormat="1" applyFont="1" applyFill="1" applyBorder="1" applyAlignment="1">
      <alignment horizontal="right"/>
    </xf>
    <xf numFmtId="3" fontId="14" fillId="4" borderId="13" xfId="0" applyNumberFormat="1" applyFont="1" applyFill="1" applyBorder="1" applyAlignment="1">
      <alignment horizontal="right"/>
    </xf>
    <xf numFmtId="3" fontId="14" fillId="4" borderId="37" xfId="0" applyNumberFormat="1" applyFont="1" applyFill="1" applyBorder="1" applyAlignment="1">
      <alignment horizontal="right"/>
    </xf>
    <xf numFmtId="3" fontId="14" fillId="4" borderId="29" xfId="0" applyNumberFormat="1" applyFont="1" applyFill="1" applyBorder="1" applyAlignment="1">
      <alignment horizontal="right"/>
    </xf>
    <xf numFmtId="3" fontId="14" fillId="4" borderId="3" xfId="0" applyNumberFormat="1" applyFont="1" applyFill="1" applyBorder="1" applyAlignment="1">
      <alignment horizontal="right"/>
    </xf>
    <xf numFmtId="3" fontId="14" fillId="4" borderId="0" xfId="0" applyNumberFormat="1" applyFont="1" applyFill="1" applyBorder="1" applyAlignment="1">
      <alignment horizontal="right"/>
    </xf>
    <xf numFmtId="3" fontId="13" fillId="4" borderId="37" xfId="0" applyNumberFormat="1" applyFont="1" applyFill="1" applyBorder="1" applyAlignment="1">
      <alignment horizontal="right"/>
    </xf>
    <xf numFmtId="3" fontId="13" fillId="4" borderId="36" xfId="0" applyNumberFormat="1" applyFont="1" applyFill="1" applyBorder="1" applyAlignment="1">
      <alignment horizontal="right"/>
    </xf>
    <xf numFmtId="0" fontId="13" fillId="4" borderId="42" xfId="0" applyFont="1" applyFill="1" applyBorder="1" applyAlignment="1">
      <alignment horizontal="right"/>
    </xf>
    <xf numFmtId="0" fontId="13" fillId="4" borderId="43" xfId="0" applyFont="1" applyFill="1" applyBorder="1" applyAlignment="1">
      <alignment horizontal="right"/>
    </xf>
    <xf numFmtId="0" fontId="13" fillId="4" borderId="44" xfId="0" applyFont="1" applyFill="1" applyBorder="1" applyAlignment="1">
      <alignment horizontal="right"/>
    </xf>
    <xf numFmtId="3" fontId="13" fillId="4" borderId="13" xfId="0" applyNumberFormat="1" applyFont="1" applyFill="1" applyBorder="1" applyAlignment="1">
      <alignment horizontal="right"/>
    </xf>
    <xf numFmtId="3" fontId="13" fillId="4" borderId="25" xfId="0" applyNumberFormat="1" applyFont="1" applyFill="1" applyBorder="1" applyAlignment="1">
      <alignment horizontal="right"/>
    </xf>
    <xf numFmtId="0" fontId="14" fillId="4" borderId="14" xfId="0" applyFont="1" applyFill="1" applyBorder="1" applyAlignment="1">
      <alignment horizontal="right"/>
    </xf>
    <xf numFmtId="0" fontId="14" fillId="4" borderId="38" xfId="0" applyFont="1" applyFill="1" applyBorder="1" applyAlignment="1">
      <alignment horizontal="right"/>
    </xf>
    <xf numFmtId="3" fontId="14" fillId="4" borderId="32" xfId="0" applyNumberFormat="1" applyFont="1" applyFill="1" applyBorder="1" applyAlignment="1">
      <alignment horizontal="right"/>
    </xf>
    <xf numFmtId="3" fontId="13" fillId="4" borderId="3" xfId="0" applyNumberFormat="1" applyFont="1" applyFill="1" applyBorder="1" applyAlignment="1">
      <alignment horizontal="right"/>
    </xf>
    <xf numFmtId="0" fontId="20" fillId="0" borderId="0" xfId="0" applyNumberFormat="1" applyFont="1" applyFill="1" applyBorder="1" applyAlignment="1">
      <alignment horizontal="left"/>
    </xf>
    <xf numFmtId="0" fontId="13" fillId="4" borderId="10" xfId="0" applyFont="1" applyFill="1" applyBorder="1" applyAlignment="1" applyProtection="1">
      <alignment horizontal="left" vertical="top"/>
      <protection locked="0"/>
    </xf>
    <xf numFmtId="0" fontId="13" fillId="4" borderId="1" xfId="0" applyFont="1" applyFill="1" applyBorder="1" applyAlignment="1" applyProtection="1">
      <alignment horizontal="left" vertical="top" wrapText="1"/>
      <protection locked="0"/>
    </xf>
    <xf numFmtId="0" fontId="13" fillId="4" borderId="8" xfId="0" applyFont="1" applyFill="1" applyBorder="1" applyAlignment="1" applyProtection="1">
      <alignment horizontal="left" vertical="top" wrapText="1"/>
      <protection locked="0"/>
    </xf>
    <xf numFmtId="0" fontId="13" fillId="4" borderId="2" xfId="0" applyFont="1" applyFill="1" applyBorder="1" applyAlignment="1" applyProtection="1">
      <alignment horizontal="left" vertical="top"/>
      <protection locked="0"/>
    </xf>
    <xf numFmtId="0" fontId="13" fillId="4" borderId="0" xfId="0" applyFont="1" applyFill="1" applyBorder="1" applyAlignment="1" applyProtection="1">
      <alignment horizontal="left" vertical="top" wrapText="1"/>
      <protection locked="0"/>
    </xf>
    <xf numFmtId="0" fontId="13" fillId="4" borderId="3" xfId="0" applyFont="1" applyFill="1" applyBorder="1" applyAlignment="1" applyProtection="1">
      <alignment horizontal="left" vertical="top" wrapText="1"/>
      <protection locked="0"/>
    </xf>
    <xf numFmtId="0" fontId="13" fillId="4" borderId="4" xfId="0" applyFont="1" applyFill="1" applyBorder="1" applyAlignment="1" applyProtection="1">
      <alignment horizontal="left" vertical="top"/>
      <protection locked="0"/>
    </xf>
    <xf numFmtId="0" fontId="13" fillId="4" borderId="5" xfId="0" applyFont="1" applyFill="1" applyBorder="1" applyAlignment="1" applyProtection="1">
      <alignment horizontal="left" vertical="top" wrapText="1"/>
      <protection locked="0"/>
    </xf>
    <xf numFmtId="0" fontId="13" fillId="4" borderId="6" xfId="0" applyFont="1" applyFill="1" applyBorder="1" applyAlignment="1" applyProtection="1">
      <alignment horizontal="left" vertical="top" wrapText="1"/>
      <protection locked="0"/>
    </xf>
    <xf numFmtId="0" fontId="20" fillId="0" borderId="0" xfId="0" applyNumberFormat="1" applyFont="1" applyFill="1" applyBorder="1" applyAlignment="1">
      <alignment horizontal="right"/>
    </xf>
    <xf numFmtId="0" fontId="14" fillId="0" borderId="10" xfId="0" applyFont="1" applyFill="1" applyBorder="1"/>
    <xf numFmtId="0" fontId="15" fillId="4" borderId="11" xfId="0" applyFont="1" applyFill="1" applyBorder="1"/>
    <xf numFmtId="0" fontId="20" fillId="3" borderId="7" xfId="0" applyFont="1" applyFill="1" applyBorder="1"/>
    <xf numFmtId="0" fontId="16" fillId="4" borderId="10" xfId="0" applyFont="1" applyFill="1" applyBorder="1"/>
    <xf numFmtId="1" fontId="13" fillId="4" borderId="1" xfId="0" applyNumberFormat="1" applyFont="1" applyFill="1" applyBorder="1"/>
    <xf numFmtId="1" fontId="13" fillId="4" borderId="8" xfId="0" applyNumberFormat="1" applyFont="1" applyFill="1" applyBorder="1"/>
    <xf numFmtId="1" fontId="13" fillId="4" borderId="0" xfId="0" applyNumberFormat="1" applyFont="1" applyFill="1" applyBorder="1"/>
    <xf numFmtId="1" fontId="13" fillId="4" borderId="3" xfId="0" applyNumberFormat="1" applyFont="1" applyFill="1" applyBorder="1"/>
    <xf numFmtId="9" fontId="13" fillId="4" borderId="0" xfId="0" applyNumberFormat="1" applyFont="1" applyFill="1" applyBorder="1"/>
    <xf numFmtId="0" fontId="13" fillId="7" borderId="7" xfId="0" applyFont="1" applyFill="1" applyBorder="1"/>
    <xf numFmtId="1" fontId="13" fillId="3" borderId="12" xfId="0" applyNumberFormat="1" applyFont="1" applyFill="1" applyBorder="1"/>
    <xf numFmtId="1" fontId="13" fillId="3" borderId="7" xfId="0" applyNumberFormat="1" applyFont="1" applyFill="1" applyBorder="1"/>
    <xf numFmtId="0" fontId="34" fillId="3" borderId="7" xfId="0" applyNumberFormat="1" applyFont="1" applyFill="1" applyBorder="1" applyAlignment="1">
      <alignment horizontal="left"/>
    </xf>
    <xf numFmtId="49" fontId="20" fillId="3" borderId="7" xfId="0" applyNumberFormat="1" applyFont="1" applyFill="1" applyBorder="1"/>
    <xf numFmtId="0" fontId="20" fillId="3" borderId="7" xfId="0" applyFont="1" applyFill="1" applyBorder="1" applyAlignment="1">
      <alignment horizontal="right"/>
    </xf>
    <xf numFmtId="14" fontId="34" fillId="3" borderId="7" xfId="0" applyNumberFormat="1" applyFont="1" applyFill="1" applyBorder="1"/>
    <xf numFmtId="14" fontId="20" fillId="3" borderId="7" xfId="0" applyNumberFormat="1" applyFont="1" applyFill="1" applyBorder="1" applyAlignment="1">
      <alignment horizontal="right"/>
    </xf>
    <xf numFmtId="14" fontId="23" fillId="3" borderId="7" xfId="0" applyNumberFormat="1" applyFont="1" applyFill="1" applyBorder="1"/>
    <xf numFmtId="0" fontId="35" fillId="3" borderId="12" xfId="0" applyFont="1" applyFill="1" applyBorder="1"/>
    <xf numFmtId="0" fontId="30" fillId="4" borderId="1" xfId="0" applyNumberFormat="1" applyFont="1" applyFill="1" applyBorder="1" applyAlignment="1">
      <alignment horizontal="left"/>
    </xf>
    <xf numFmtId="0" fontId="13" fillId="4" borderId="1" xfId="0" applyFont="1" applyFill="1" applyBorder="1" applyAlignment="1">
      <alignment horizontal="right"/>
    </xf>
    <xf numFmtId="0" fontId="30" fillId="4" borderId="0" xfId="0" applyNumberFormat="1" applyFont="1" applyFill="1" applyBorder="1" applyAlignment="1">
      <alignment horizontal="left"/>
    </xf>
    <xf numFmtId="0" fontId="13" fillId="4" borderId="0" xfId="0" applyFont="1" applyFill="1" applyBorder="1" applyAlignment="1">
      <alignment horizontal="right"/>
    </xf>
    <xf numFmtId="0" fontId="0" fillId="4" borderId="10" xfId="0" applyFill="1" applyBorder="1" applyProtection="1">
      <protection locked="0"/>
    </xf>
    <xf numFmtId="0" fontId="0" fillId="4" borderId="1" xfId="0" applyFill="1" applyBorder="1" applyProtection="1">
      <protection locked="0"/>
    </xf>
    <xf numFmtId="0" fontId="0" fillId="4" borderId="8" xfId="0" applyFill="1" applyBorder="1" applyProtection="1">
      <protection locked="0"/>
    </xf>
    <xf numFmtId="0" fontId="0" fillId="4" borderId="2" xfId="0" applyFill="1" applyBorder="1" applyProtection="1">
      <protection locked="0"/>
    </xf>
    <xf numFmtId="0" fontId="0" fillId="4" borderId="0" xfId="0" applyFill="1" applyBorder="1" applyProtection="1">
      <protection locked="0"/>
    </xf>
    <xf numFmtId="0" fontId="0" fillId="4" borderId="3" xfId="0" applyFill="1" applyBorder="1" applyProtection="1">
      <protection locked="0"/>
    </xf>
    <xf numFmtId="0" fontId="0" fillId="4" borderId="4" xfId="0" applyFill="1" applyBorder="1" applyProtection="1">
      <protection locked="0"/>
    </xf>
    <xf numFmtId="0" fontId="0" fillId="4" borderId="5" xfId="0" applyFill="1" applyBorder="1" applyProtection="1">
      <protection locked="0"/>
    </xf>
    <xf numFmtId="0" fontId="0" fillId="4" borderId="6" xfId="0" applyFill="1" applyBorder="1" applyProtection="1">
      <protection locked="0"/>
    </xf>
    <xf numFmtId="0" fontId="6" fillId="3" borderId="11" xfId="0" applyFont="1" applyFill="1" applyBorder="1"/>
    <xf numFmtId="0" fontId="9" fillId="3" borderId="7" xfId="0" applyFont="1" applyFill="1" applyBorder="1"/>
    <xf numFmtId="0" fontId="0" fillId="3" borderId="0" xfId="0" applyFill="1"/>
    <xf numFmtId="0" fontId="0" fillId="3" borderId="7" xfId="0" applyFill="1" applyBorder="1"/>
    <xf numFmtId="0" fontId="0" fillId="3" borderId="12" xfId="0" applyFill="1" applyBorder="1"/>
    <xf numFmtId="0" fontId="15" fillId="3" borderId="7" xfId="0" applyFont="1" applyFill="1" applyBorder="1"/>
    <xf numFmtId="0" fontId="20" fillId="3" borderId="0" xfId="0" applyFont="1" applyFill="1" applyBorder="1"/>
    <xf numFmtId="0" fontId="20" fillId="3" borderId="0" xfId="0" applyFont="1" applyFill="1"/>
    <xf numFmtId="0" fontId="20" fillId="0" borderId="0" xfId="0" applyNumberFormat="1" applyFont="1" applyFill="1" applyBorder="1" applyAlignment="1" applyProtection="1">
      <alignment horizontal="left"/>
    </xf>
    <xf numFmtId="0" fontId="14" fillId="4" borderId="15" xfId="0" applyFont="1" applyFill="1" applyBorder="1"/>
    <xf numFmtId="0" fontId="13" fillId="3" borderId="7" xfId="0" applyFont="1" applyFill="1" applyBorder="1" applyAlignment="1" applyProtection="1"/>
    <xf numFmtId="0" fontId="13" fillId="3" borderId="12" xfId="0" applyFont="1" applyFill="1" applyBorder="1" applyAlignment="1" applyProtection="1"/>
    <xf numFmtId="0" fontId="13" fillId="4" borderId="11" xfId="0" applyFont="1" applyFill="1" applyBorder="1" applyAlignment="1" applyProtection="1">
      <alignment horizontal="left" vertical="top"/>
      <protection locked="0"/>
    </xf>
    <xf numFmtId="0" fontId="13" fillId="4" borderId="7" xfId="0" applyFont="1" applyFill="1" applyBorder="1" applyAlignment="1" applyProtection="1">
      <alignment horizontal="left" vertical="top" wrapText="1"/>
      <protection locked="0"/>
    </xf>
    <xf numFmtId="0" fontId="13" fillId="4" borderId="12" xfId="0" applyFont="1" applyFill="1" applyBorder="1" applyAlignment="1" applyProtection="1">
      <alignment horizontal="left" vertical="top" wrapText="1"/>
      <protection locked="0"/>
    </xf>
    <xf numFmtId="0" fontId="13" fillId="2" borderId="13" xfId="0" applyFont="1" applyFill="1" applyBorder="1" applyAlignment="1" applyProtection="1">
      <alignment horizontal="center" vertical="center"/>
    </xf>
    <xf numFmtId="0" fontId="13" fillId="2" borderId="13" xfId="0" applyFont="1" applyFill="1" applyBorder="1" applyAlignment="1">
      <alignment horizontal="center" vertical="center"/>
    </xf>
    <xf numFmtId="0" fontId="16" fillId="3" borderId="11" xfId="0" applyFont="1" applyFill="1" applyBorder="1"/>
    <xf numFmtId="14" fontId="13" fillId="3" borderId="7" xfId="0" applyNumberFormat="1" applyFont="1" applyFill="1" applyBorder="1"/>
    <xf numFmtId="166" fontId="13" fillId="3" borderId="7" xfId="6" applyNumberFormat="1" applyFont="1" applyFill="1" applyBorder="1"/>
    <xf numFmtId="4" fontId="13" fillId="3" borderId="7" xfId="0" applyNumberFormat="1" applyFont="1" applyFill="1" applyBorder="1"/>
    <xf numFmtId="4" fontId="13" fillId="3" borderId="12" xfId="0" applyNumberFormat="1" applyFont="1" applyFill="1" applyBorder="1"/>
    <xf numFmtId="0" fontId="43" fillId="3" borderId="11" xfId="0" applyFont="1" applyFill="1" applyBorder="1"/>
    <xf numFmtId="0" fontId="13" fillId="3" borderId="7" xfId="0" applyFont="1" applyFill="1" applyBorder="1" applyAlignment="1"/>
    <xf numFmtId="0" fontId="13" fillId="3" borderId="12" xfId="0" applyFont="1" applyFill="1" applyBorder="1" applyAlignment="1"/>
    <xf numFmtId="10" fontId="14" fillId="3" borderId="7" xfId="0" applyNumberFormat="1" applyFont="1" applyFill="1" applyBorder="1"/>
    <xf numFmtId="3" fontId="14" fillId="3" borderId="7" xfId="0" applyNumberFormat="1" applyFont="1" applyFill="1" applyBorder="1" applyAlignment="1">
      <alignment horizontal="right"/>
    </xf>
    <xf numFmtId="3" fontId="14" fillId="3" borderId="7" xfId="0" applyNumberFormat="1" applyFont="1" applyFill="1" applyBorder="1"/>
    <xf numFmtId="3" fontId="36" fillId="3" borderId="7" xfId="0" applyNumberFormat="1" applyFont="1" applyFill="1" applyBorder="1"/>
    <xf numFmtId="3" fontId="14" fillId="3" borderId="12" xfId="0" applyNumberFormat="1" applyFont="1" applyFill="1" applyBorder="1" applyAlignment="1">
      <alignment horizontal="right"/>
    </xf>
    <xf numFmtId="0" fontId="16" fillId="3" borderId="45" xfId="0" applyFont="1" applyFill="1" applyBorder="1" applyAlignment="1"/>
    <xf numFmtId="0" fontId="13" fillId="3" borderId="46" xfId="0" applyFont="1" applyFill="1" applyBorder="1" applyAlignment="1"/>
    <xf numFmtId="0" fontId="13" fillId="3" borderId="47" xfId="0" applyFont="1" applyFill="1" applyBorder="1" applyAlignment="1"/>
    <xf numFmtId="0" fontId="16" fillId="3" borderId="11" xfId="0" applyFont="1" applyFill="1" applyBorder="1" applyProtection="1"/>
    <xf numFmtId="14" fontId="13" fillId="3" borderId="7" xfId="0" applyNumberFormat="1" applyFont="1" applyFill="1" applyBorder="1" applyProtection="1"/>
    <xf numFmtId="0" fontId="13" fillId="3" borderId="7" xfId="0" applyFont="1" applyFill="1" applyBorder="1" applyProtection="1"/>
    <xf numFmtId="0" fontId="13" fillId="3" borderId="12" xfId="0" applyFont="1" applyFill="1" applyBorder="1" applyProtection="1"/>
    <xf numFmtId="0" fontId="16" fillId="3" borderId="4" xfId="0" applyFont="1" applyFill="1" applyBorder="1" applyProtection="1"/>
    <xf numFmtId="0" fontId="13" fillId="3" borderId="5" xfId="0" applyFont="1" applyFill="1" applyBorder="1" applyProtection="1"/>
    <xf numFmtId="3" fontId="13" fillId="3" borderId="5" xfId="0" applyNumberFormat="1" applyFont="1" applyFill="1" applyBorder="1" applyProtection="1"/>
    <xf numFmtId="0" fontId="14" fillId="3" borderId="5" xfId="0" applyFont="1" applyFill="1" applyBorder="1" applyProtection="1"/>
    <xf numFmtId="1" fontId="13" fillId="3" borderId="5" xfId="0" applyNumberFormat="1" applyFont="1" applyFill="1" applyBorder="1" applyProtection="1"/>
    <xf numFmtId="1" fontId="13" fillId="3" borderId="6" xfId="0" applyNumberFormat="1" applyFont="1" applyFill="1" applyBorder="1" applyProtection="1"/>
    <xf numFmtId="0" fontId="13" fillId="3" borderId="0" xfId="0" applyFont="1" applyFill="1" applyProtection="1"/>
    <xf numFmtId="3" fontId="13" fillId="3" borderId="7" xfId="0" applyNumberFormat="1" applyFont="1" applyFill="1" applyBorder="1" applyProtection="1"/>
    <xf numFmtId="0" fontId="14" fillId="3" borderId="7" xfId="0" applyFont="1" applyFill="1" applyBorder="1" applyProtection="1"/>
    <xf numFmtId="1" fontId="13" fillId="3" borderId="7" xfId="0" applyNumberFormat="1" applyFont="1" applyFill="1" applyBorder="1" applyProtection="1"/>
    <xf numFmtId="1" fontId="13" fillId="3" borderId="12" xfId="0" applyNumberFormat="1" applyFont="1" applyFill="1" applyBorder="1" applyProtection="1"/>
    <xf numFmtId="0" fontId="16" fillId="3" borderId="10" xfId="0" applyFont="1" applyFill="1" applyBorder="1" applyProtection="1"/>
    <xf numFmtId="0" fontId="13" fillId="3" borderId="1" xfId="0" applyFont="1" applyFill="1" applyBorder="1" applyProtection="1"/>
    <xf numFmtId="0" fontId="13" fillId="3" borderId="8" xfId="0" applyFont="1" applyFill="1" applyBorder="1" applyProtection="1"/>
    <xf numFmtId="0" fontId="16" fillId="3" borderId="11" xfId="0" applyFont="1" applyFill="1" applyBorder="1" applyAlignment="1" applyProtection="1"/>
    <xf numFmtId="3" fontId="13" fillId="3" borderId="7" xfId="0" applyNumberFormat="1" applyFont="1" applyFill="1" applyBorder="1"/>
    <xf numFmtId="0" fontId="13" fillId="3" borderId="5" xfId="0" applyFont="1" applyFill="1" applyBorder="1"/>
    <xf numFmtId="0" fontId="16" fillId="3" borderId="4" xfId="0" applyFont="1" applyFill="1" applyBorder="1"/>
    <xf numFmtId="0" fontId="43" fillId="3" borderId="11" xfId="0" applyFont="1" applyFill="1" applyBorder="1" applyAlignment="1"/>
    <xf numFmtId="0" fontId="16" fillId="3" borderId="2" xfId="0" applyFont="1" applyFill="1" applyBorder="1"/>
    <xf numFmtId="0" fontId="16" fillId="3" borderId="11" xfId="0" applyFont="1" applyFill="1" applyBorder="1" applyAlignment="1"/>
    <xf numFmtId="0" fontId="16" fillId="3" borderId="10" xfId="0" applyFont="1" applyFill="1" applyBorder="1" applyAlignment="1"/>
    <xf numFmtId="0" fontId="13" fillId="3" borderId="1" xfId="0" applyFont="1" applyFill="1" applyBorder="1" applyAlignment="1"/>
    <xf numFmtId="0" fontId="13" fillId="3" borderId="8" xfId="0" applyFont="1" applyFill="1" applyBorder="1" applyAlignment="1"/>
    <xf numFmtId="0" fontId="16" fillId="3" borderId="45" xfId="0" applyFont="1" applyFill="1" applyBorder="1"/>
    <xf numFmtId="0" fontId="13" fillId="3" borderId="46" xfId="0" applyFont="1" applyFill="1" applyBorder="1"/>
    <xf numFmtId="0" fontId="13" fillId="3" borderId="47" xfId="0" applyFont="1" applyFill="1" applyBorder="1"/>
    <xf numFmtId="3" fontId="13" fillId="3" borderId="6" xfId="0" applyNumberFormat="1" applyFont="1" applyFill="1" applyBorder="1"/>
    <xf numFmtId="3" fontId="13" fillId="3" borderId="5" xfId="0" applyNumberFormat="1" applyFont="1" applyFill="1" applyBorder="1"/>
    <xf numFmtId="0" fontId="47" fillId="3" borderId="7" xfId="0" applyFont="1" applyFill="1" applyBorder="1" applyAlignment="1">
      <alignment horizontal="center"/>
    </xf>
    <xf numFmtId="0" fontId="35" fillId="3" borderId="7" xfId="0" applyFont="1" applyFill="1" applyBorder="1"/>
    <xf numFmtId="0" fontId="15" fillId="3" borderId="4" xfId="0" applyFont="1" applyFill="1" applyBorder="1"/>
    <xf numFmtId="0" fontId="47" fillId="3" borderId="5" xfId="0" applyFont="1" applyFill="1" applyBorder="1"/>
    <xf numFmtId="0" fontId="20" fillId="3" borderId="5" xfId="0" applyFont="1" applyFill="1" applyBorder="1"/>
    <xf numFmtId="14" fontId="47" fillId="3" borderId="5" xfId="0" applyNumberFormat="1" applyFont="1" applyFill="1" applyBorder="1"/>
    <xf numFmtId="0" fontId="47" fillId="3" borderId="6" xfId="0" applyFont="1" applyFill="1" applyBorder="1"/>
    <xf numFmtId="3" fontId="20" fillId="3" borderId="7" xfId="0" applyNumberFormat="1" applyFont="1" applyFill="1" applyBorder="1"/>
    <xf numFmtId="3" fontId="20" fillId="3" borderId="12" xfId="0" applyNumberFormat="1" applyFont="1" applyFill="1" applyBorder="1"/>
    <xf numFmtId="0" fontId="16" fillId="3" borderId="7" xfId="0" applyFont="1" applyFill="1" applyBorder="1"/>
    <xf numFmtId="0" fontId="32" fillId="3" borderId="7" xfId="0" applyFont="1" applyFill="1" applyBorder="1"/>
    <xf numFmtId="14" fontId="32" fillId="3" borderId="7" xfId="0" applyNumberFormat="1" applyFont="1" applyFill="1" applyBorder="1"/>
    <xf numFmtId="0" fontId="32" fillId="3" borderId="12" xfId="0" applyFont="1" applyFill="1" applyBorder="1"/>
    <xf numFmtId="0" fontId="13" fillId="3" borderId="7" xfId="0" applyFont="1" applyFill="1" applyBorder="1" applyAlignment="1">
      <alignment horizontal="right"/>
    </xf>
    <xf numFmtId="0" fontId="16" fillId="3" borderId="5" xfId="0" applyFont="1" applyFill="1" applyBorder="1"/>
    <xf numFmtId="0" fontId="13" fillId="3" borderId="5" xfId="0" applyFont="1" applyFill="1" applyBorder="1" applyAlignment="1">
      <alignment horizontal="right"/>
    </xf>
    <xf numFmtId="3" fontId="13" fillId="3" borderId="12" xfId="0" applyNumberFormat="1" applyFont="1" applyFill="1" applyBorder="1"/>
    <xf numFmtId="0" fontId="17" fillId="9" borderId="10" xfId="0" applyFont="1" applyFill="1" applyBorder="1" applyProtection="1"/>
    <xf numFmtId="0" fontId="17" fillId="9" borderId="1" xfId="0" applyFont="1" applyFill="1" applyBorder="1" applyProtection="1"/>
    <xf numFmtId="0" fontId="18" fillId="9" borderId="8" xfId="0" applyFont="1" applyFill="1" applyBorder="1" applyAlignment="1" applyProtection="1">
      <alignment horizontal="right"/>
    </xf>
    <xf numFmtId="0" fontId="14" fillId="0" borderId="9" xfId="0" applyFont="1" applyBorder="1" applyAlignment="1" applyProtection="1">
      <alignment horizontal="right"/>
    </xf>
    <xf numFmtId="0" fontId="36" fillId="0" borderId="9" xfId="0" applyFont="1" applyFill="1" applyBorder="1" applyProtection="1"/>
    <xf numFmtId="0" fontId="36" fillId="0" borderId="5" xfId="0" applyFont="1" applyBorder="1" applyProtection="1"/>
    <xf numFmtId="0" fontId="36" fillId="0" borderId="5" xfId="0" applyFont="1" applyFill="1" applyBorder="1" applyProtection="1"/>
    <xf numFmtId="0" fontId="16" fillId="0" borderId="10" xfId="0" applyFont="1" applyBorder="1" applyProtection="1"/>
    <xf numFmtId="0" fontId="20" fillId="0" borderId="13" xfId="0" applyFont="1" applyBorder="1" applyAlignment="1" applyProtection="1">
      <alignment horizontal="right"/>
    </xf>
    <xf numFmtId="3" fontId="13" fillId="6" borderId="3" xfId="0" applyNumberFormat="1" applyFont="1" applyFill="1" applyBorder="1" applyProtection="1"/>
    <xf numFmtId="3" fontId="13" fillId="6" borderId="0" xfId="0" applyNumberFormat="1" applyFont="1" applyFill="1" applyBorder="1" applyProtection="1"/>
    <xf numFmtId="0" fontId="14" fillId="0" borderId="6" xfId="0" applyFont="1" applyBorder="1" applyAlignment="1" applyProtection="1">
      <alignment horizontal="right"/>
    </xf>
    <xf numFmtId="0" fontId="36" fillId="0" borderId="6" xfId="0" applyFont="1" applyFill="1" applyBorder="1" applyProtection="1"/>
    <xf numFmtId="3" fontId="13" fillId="0" borderId="8" xfId="0" applyNumberFormat="1" applyFont="1" applyBorder="1" applyProtection="1"/>
    <xf numFmtId="9" fontId="13" fillId="0" borderId="1" xfId="0" applyNumberFormat="1" applyFont="1" applyBorder="1" applyProtection="1"/>
    <xf numFmtId="3" fontId="13" fillId="0" borderId="1" xfId="0" applyNumberFormat="1" applyFont="1" applyBorder="1" applyProtection="1"/>
    <xf numFmtId="3" fontId="14" fillId="0" borderId="2" xfId="0" applyNumberFormat="1" applyFont="1" applyBorder="1" applyProtection="1"/>
    <xf numFmtId="0" fontId="16" fillId="0" borderId="11" xfId="0" applyFont="1" applyBorder="1" applyProtection="1"/>
    <xf numFmtId="0" fontId="13" fillId="0" borderId="7" xfId="0" applyFont="1" applyBorder="1" applyProtection="1"/>
    <xf numFmtId="0" fontId="13" fillId="0" borderId="12" xfId="0" applyFont="1" applyBorder="1" applyProtection="1"/>
    <xf numFmtId="0" fontId="13" fillId="0" borderId="13" xfId="0" applyFont="1" applyBorder="1" applyAlignment="1" applyProtection="1">
      <alignment horizontal="center"/>
    </xf>
    <xf numFmtId="10" fontId="31" fillId="0" borderId="15" xfId="0" applyNumberFormat="1" applyFont="1" applyBorder="1" applyAlignment="1" applyProtection="1">
      <alignment horizontal="right"/>
    </xf>
    <xf numFmtId="0" fontId="13" fillId="0" borderId="14" xfId="0" applyFont="1" applyBorder="1" applyProtection="1"/>
    <xf numFmtId="0" fontId="14" fillId="0" borderId="10" xfId="0" applyFont="1" applyBorder="1" applyProtection="1"/>
    <xf numFmtId="0" fontId="13" fillId="0" borderId="1" xfId="0" applyFont="1" applyBorder="1" applyAlignment="1" applyProtection="1">
      <alignment horizontal="center"/>
    </xf>
    <xf numFmtId="0" fontId="13" fillId="0" borderId="3" xfId="0" applyFont="1" applyBorder="1" applyAlignment="1" applyProtection="1">
      <alignment horizontal="center"/>
    </xf>
    <xf numFmtId="0" fontId="13" fillId="0" borderId="15" xfId="0" applyFont="1" applyBorder="1" applyAlignment="1" applyProtection="1">
      <alignment horizontal="center"/>
    </xf>
    <xf numFmtId="9" fontId="13" fillId="0" borderId="0" xfId="0" applyNumberFormat="1" applyFont="1" applyFill="1" applyBorder="1" applyProtection="1"/>
    <xf numFmtId="9" fontId="13" fillId="0" borderId="0" xfId="6" applyNumberFormat="1" applyFont="1" applyFill="1" applyBorder="1" applyProtection="1"/>
    <xf numFmtId="10" fontId="13" fillId="0" borderId="15" xfId="0" applyNumberFormat="1" applyFont="1" applyBorder="1" applyAlignment="1" applyProtection="1">
      <alignment horizontal="right"/>
    </xf>
    <xf numFmtId="10" fontId="13" fillId="0" borderId="5" xfId="0" applyNumberFormat="1" applyFont="1" applyBorder="1" applyProtection="1"/>
    <xf numFmtId="10" fontId="13" fillId="0" borderId="6" xfId="0" applyNumberFormat="1" applyFont="1" applyBorder="1" applyProtection="1"/>
    <xf numFmtId="0" fontId="33" fillId="4" borderId="48" xfId="0" applyFont="1" applyFill="1" applyBorder="1"/>
    <xf numFmtId="0" fontId="13" fillId="4" borderId="18" xfId="0" applyFont="1" applyFill="1" applyBorder="1"/>
    <xf numFmtId="0" fontId="13" fillId="4" borderId="48" xfId="0" applyFont="1" applyFill="1" applyBorder="1"/>
    <xf numFmtId="0" fontId="13" fillId="4" borderId="35" xfId="0" applyFont="1" applyFill="1" applyBorder="1"/>
    <xf numFmtId="3" fontId="39" fillId="4" borderId="0" xfId="0" applyNumberFormat="1" applyFont="1" applyFill="1" applyBorder="1"/>
    <xf numFmtId="3" fontId="14" fillId="4" borderId="3" xfId="0" applyNumberFormat="1" applyFont="1" applyFill="1" applyBorder="1"/>
    <xf numFmtId="3" fontId="14" fillId="4" borderId="0" xfId="0" applyNumberFormat="1" applyFont="1" applyFill="1" applyBorder="1"/>
    <xf numFmtId="3" fontId="14" fillId="4" borderId="19" xfId="0" applyNumberFormat="1" applyFont="1" applyFill="1" applyBorder="1"/>
    <xf numFmtId="0" fontId="33" fillId="4" borderId="16" xfId="0" applyFont="1" applyFill="1" applyBorder="1"/>
    <xf numFmtId="0" fontId="13" fillId="4" borderId="23" xfId="0" applyFont="1" applyFill="1" applyBorder="1"/>
    <xf numFmtId="0" fontId="13" fillId="4" borderId="16" xfId="0" applyFont="1" applyFill="1" applyBorder="1"/>
    <xf numFmtId="0" fontId="13" fillId="4" borderId="24" xfId="0" applyFont="1" applyFill="1" applyBorder="1"/>
    <xf numFmtId="0" fontId="13" fillId="4" borderId="18" xfId="0" applyFont="1" applyFill="1" applyBorder="1" applyAlignment="1">
      <alignment horizontal="right"/>
    </xf>
    <xf numFmtId="0" fontId="13" fillId="4" borderId="48" xfId="0" applyFont="1" applyFill="1" applyBorder="1" applyAlignment="1">
      <alignment horizontal="right"/>
    </xf>
    <xf numFmtId="0" fontId="13" fillId="4" borderId="35" xfId="0" applyFont="1" applyFill="1" applyBorder="1" applyAlignment="1">
      <alignment horizontal="right"/>
    </xf>
    <xf numFmtId="0" fontId="14" fillId="4" borderId="0" xfId="0" applyFont="1" applyFill="1" applyBorder="1" applyAlignment="1">
      <alignment horizontal="right"/>
    </xf>
    <xf numFmtId="0" fontId="13" fillId="4" borderId="23" xfId="0" applyFont="1" applyFill="1" applyBorder="1" applyAlignment="1">
      <alignment horizontal="right"/>
    </xf>
    <xf numFmtId="0" fontId="13" fillId="4" borderId="16" xfId="0" applyFont="1" applyFill="1" applyBorder="1" applyAlignment="1">
      <alignment horizontal="right"/>
    </xf>
    <xf numFmtId="0" fontId="13" fillId="4" borderId="24" xfId="0" applyFont="1" applyFill="1" applyBorder="1" applyAlignment="1">
      <alignment horizontal="right"/>
    </xf>
    <xf numFmtId="3" fontId="50" fillId="4" borderId="0" xfId="0" applyNumberFormat="1" applyFont="1" applyFill="1" applyBorder="1"/>
    <xf numFmtId="3" fontId="16" fillId="4" borderId="3" xfId="0" applyNumberFormat="1" applyFont="1" applyFill="1" applyBorder="1" applyAlignment="1">
      <alignment horizontal="right"/>
    </xf>
    <xf numFmtId="0" fontId="16" fillId="4" borderId="0" xfId="0" applyFont="1" applyFill="1" applyBorder="1" applyAlignment="1">
      <alignment horizontal="right"/>
    </xf>
    <xf numFmtId="3" fontId="16" fillId="4" borderId="0" xfId="0" applyNumberFormat="1" applyFont="1" applyFill="1" applyBorder="1" applyAlignment="1">
      <alignment horizontal="right"/>
    </xf>
    <xf numFmtId="3" fontId="16" fillId="4" borderId="19" xfId="0" applyNumberFormat="1" applyFont="1" applyFill="1" applyBorder="1" applyAlignment="1">
      <alignment horizontal="right"/>
    </xf>
    <xf numFmtId="0" fontId="32" fillId="3" borderId="5" xfId="0" applyFont="1" applyFill="1" applyBorder="1"/>
    <xf numFmtId="14" fontId="32" fillId="3" borderId="5" xfId="0" applyNumberFormat="1" applyFont="1" applyFill="1" applyBorder="1"/>
    <xf numFmtId="0" fontId="32" fillId="3" borderId="6" xfId="0" applyFont="1" applyFill="1" applyBorder="1"/>
    <xf numFmtId="14" fontId="32" fillId="3" borderId="7" xfId="0" applyNumberFormat="1" applyFont="1" applyFill="1" applyBorder="1" applyAlignment="1">
      <alignment horizontal="right"/>
    </xf>
    <xf numFmtId="0" fontId="32" fillId="3" borderId="12" xfId="0" applyFont="1" applyFill="1" applyBorder="1" applyAlignment="1">
      <alignment horizontal="right"/>
    </xf>
    <xf numFmtId="0" fontId="33" fillId="4" borderId="1" xfId="0" applyFont="1" applyFill="1" applyBorder="1"/>
    <xf numFmtId="0" fontId="13" fillId="4" borderId="8" xfId="0" applyFont="1" applyFill="1" applyBorder="1" applyAlignment="1">
      <alignment horizontal="right"/>
    </xf>
    <xf numFmtId="0" fontId="13" fillId="4" borderId="10" xfId="0" applyFont="1" applyFill="1" applyBorder="1" applyAlignment="1">
      <alignment horizontal="right"/>
    </xf>
    <xf numFmtId="0" fontId="14" fillId="4" borderId="2" xfId="0" applyFont="1" applyFill="1" applyBorder="1" applyAlignment="1">
      <alignment horizontal="right"/>
    </xf>
    <xf numFmtId="0" fontId="33" fillId="4" borderId="0" xfId="0" applyFont="1" applyFill="1" applyBorder="1"/>
    <xf numFmtId="0" fontId="13" fillId="4" borderId="3" xfId="0" applyFont="1" applyFill="1" applyBorder="1" applyAlignment="1">
      <alignment horizontal="right"/>
    </xf>
    <xf numFmtId="0" fontId="13" fillId="4" borderId="2" xfId="0" applyFont="1" applyFill="1" applyBorder="1" applyAlignment="1">
      <alignment horizontal="right"/>
    </xf>
    <xf numFmtId="3" fontId="33" fillId="4" borderId="0" xfId="0" applyNumberFormat="1" applyFont="1" applyFill="1" applyBorder="1"/>
    <xf numFmtId="3" fontId="13" fillId="4" borderId="3" xfId="0" applyNumberFormat="1" applyFont="1" applyFill="1" applyBorder="1"/>
    <xf numFmtId="3" fontId="13" fillId="4" borderId="0" xfId="0" applyNumberFormat="1" applyFont="1" applyFill="1" applyBorder="1"/>
    <xf numFmtId="3" fontId="13" fillId="4" borderId="19" xfId="0" applyNumberFormat="1" applyFont="1" applyFill="1" applyBorder="1"/>
    <xf numFmtId="3" fontId="13" fillId="4" borderId="0" xfId="0" applyNumberFormat="1" applyFont="1" applyFill="1" applyBorder="1" applyAlignment="1">
      <alignment horizontal="right"/>
    </xf>
    <xf numFmtId="0" fontId="25" fillId="3" borderId="11" xfId="0" applyFont="1" applyFill="1" applyBorder="1"/>
    <xf numFmtId="0" fontId="25" fillId="3" borderId="4" xfId="0" applyFont="1" applyFill="1" applyBorder="1"/>
    <xf numFmtId="14" fontId="32" fillId="3" borderId="5" xfId="0" applyNumberFormat="1" applyFont="1" applyFill="1" applyBorder="1" applyAlignment="1">
      <alignment horizontal="right"/>
    </xf>
    <xf numFmtId="0" fontId="32" fillId="3" borderId="6" xfId="0" applyFont="1" applyFill="1" applyBorder="1" applyAlignment="1">
      <alignment horizontal="right"/>
    </xf>
    <xf numFmtId="14" fontId="48" fillId="4" borderId="0" xfId="0" applyNumberFormat="1" applyFont="1" applyFill="1" applyBorder="1"/>
    <xf numFmtId="0" fontId="48" fillId="4" borderId="3" xfId="0" applyFont="1" applyFill="1" applyBorder="1"/>
    <xf numFmtId="166" fontId="13" fillId="4" borderId="3" xfId="0" applyNumberFormat="1" applyFont="1" applyFill="1" applyBorder="1"/>
    <xf numFmtId="166" fontId="13" fillId="4" borderId="0" xfId="0" applyNumberFormat="1" applyFont="1" applyFill="1" applyBorder="1"/>
    <xf numFmtId="166" fontId="13" fillId="4" borderId="0" xfId="6" applyNumberFormat="1" applyFont="1" applyFill="1" applyBorder="1" applyAlignment="1">
      <alignment horizontal="right"/>
    </xf>
    <xf numFmtId="166" fontId="13" fillId="4" borderId="0" xfId="0" applyNumberFormat="1" applyFont="1" applyFill="1" applyBorder="1" applyAlignment="1">
      <alignment horizontal="right"/>
    </xf>
    <xf numFmtId="166" fontId="13" fillId="4" borderId="3" xfId="0" applyNumberFormat="1" applyFont="1" applyFill="1" applyBorder="1" applyAlignment="1">
      <alignment horizontal="right"/>
    </xf>
    <xf numFmtId="166" fontId="30" fillId="4" borderId="0" xfId="0" applyNumberFormat="1" applyFont="1" applyFill="1" applyBorder="1" applyAlignment="1">
      <alignment horizontal="right"/>
    </xf>
    <xf numFmtId="166" fontId="30" fillId="4" borderId="3" xfId="0" applyNumberFormat="1" applyFont="1" applyFill="1" applyBorder="1" applyAlignment="1">
      <alignment horizontal="right"/>
    </xf>
    <xf numFmtId="1" fontId="13" fillId="4" borderId="3" xfId="0" applyNumberFormat="1" applyFont="1" applyFill="1" applyBorder="1" applyAlignment="1">
      <alignment horizontal="right"/>
    </xf>
    <xf numFmtId="1" fontId="13" fillId="4" borderId="0" xfId="0" applyNumberFormat="1" applyFont="1" applyFill="1" applyBorder="1" applyAlignment="1">
      <alignment horizontal="right"/>
    </xf>
    <xf numFmtId="2" fontId="13" fillId="4" borderId="0" xfId="0" applyNumberFormat="1" applyFont="1" applyFill="1" applyBorder="1" applyAlignment="1">
      <alignment horizontal="right"/>
    </xf>
    <xf numFmtId="3" fontId="13" fillId="4" borderId="6" xfId="0" applyNumberFormat="1" applyFont="1" applyFill="1" applyBorder="1" applyAlignment="1">
      <alignment horizontal="right"/>
    </xf>
    <xf numFmtId="3" fontId="14" fillId="4" borderId="9" xfId="0" applyNumberFormat="1" applyFont="1" applyFill="1" applyBorder="1" applyAlignment="1">
      <alignment horizontal="right"/>
    </xf>
    <xf numFmtId="10" fontId="13" fillId="4" borderId="0" xfId="6" applyNumberFormat="1" applyFont="1" applyFill="1" applyBorder="1" applyAlignment="1">
      <alignment horizontal="right"/>
    </xf>
    <xf numFmtId="0" fontId="13" fillId="4" borderId="5" xfId="0" applyFont="1" applyFill="1" applyBorder="1" applyAlignment="1">
      <alignment horizontal="right"/>
    </xf>
    <xf numFmtId="0" fontId="13" fillId="4" borderId="6" xfId="0" applyFont="1" applyFill="1" applyBorder="1" applyAlignment="1">
      <alignment horizontal="right"/>
    </xf>
    <xf numFmtId="0" fontId="13" fillId="4" borderId="13" xfId="0" applyFont="1" applyFill="1" applyBorder="1"/>
    <xf numFmtId="14" fontId="48" fillId="4" borderId="1" xfId="0" applyNumberFormat="1" applyFont="1" applyFill="1" applyBorder="1"/>
    <xf numFmtId="0" fontId="48" fillId="4" borderId="8" xfId="0" applyFont="1" applyFill="1" applyBorder="1"/>
    <xf numFmtId="166" fontId="13" fillId="4" borderId="15" xfId="0" applyNumberFormat="1" applyFont="1" applyFill="1" applyBorder="1"/>
    <xf numFmtId="166" fontId="13" fillId="4" borderId="15" xfId="0" applyNumberFormat="1" applyFont="1" applyFill="1" applyBorder="1" applyAlignment="1">
      <alignment horizontal="right"/>
    </xf>
    <xf numFmtId="1" fontId="13" fillId="4" borderId="15" xfId="0" applyNumberFormat="1" applyFont="1" applyFill="1" applyBorder="1" applyAlignment="1">
      <alignment horizontal="right"/>
    </xf>
    <xf numFmtId="2" fontId="13" fillId="4" borderId="15" xfId="0" applyNumberFormat="1" applyFont="1" applyFill="1" applyBorder="1" applyAlignment="1">
      <alignment horizontal="right"/>
    </xf>
    <xf numFmtId="10" fontId="13" fillId="4" borderId="15" xfId="6" applyNumberFormat="1" applyFont="1" applyFill="1" applyBorder="1" applyAlignment="1">
      <alignment horizontal="right"/>
    </xf>
    <xf numFmtId="0" fontId="30" fillId="3" borderId="7" xfId="0" applyFont="1" applyFill="1" applyBorder="1"/>
    <xf numFmtId="0" fontId="39" fillId="3" borderId="11" xfId="0" applyFont="1" applyFill="1" applyBorder="1"/>
    <xf numFmtId="0" fontId="36" fillId="3" borderId="7" xfId="0" applyFont="1" applyFill="1" applyBorder="1"/>
    <xf numFmtId="0" fontId="36" fillId="3" borderId="12" xfId="0" applyFont="1" applyFill="1" applyBorder="1"/>
    <xf numFmtId="0" fontId="13" fillId="4" borderId="0" xfId="0" applyFont="1" applyFill="1" applyAlignment="1">
      <alignment horizontal="right"/>
    </xf>
    <xf numFmtId="0" fontId="13" fillId="0" borderId="49" xfId="0" applyFont="1" applyFill="1" applyBorder="1"/>
    <xf numFmtId="0" fontId="14" fillId="0" borderId="17" xfId="0" applyFont="1" applyFill="1" applyBorder="1"/>
    <xf numFmtId="0" fontId="13" fillId="0" borderId="22" xfId="0" applyFont="1" applyFill="1" applyBorder="1"/>
    <xf numFmtId="0" fontId="16" fillId="0" borderId="17" xfId="0" applyFont="1" applyFill="1" applyBorder="1"/>
    <xf numFmtId="0" fontId="13" fillId="0" borderId="15" xfId="0" applyFont="1" applyFill="1" applyBorder="1"/>
    <xf numFmtId="0" fontId="13" fillId="0" borderId="32" xfId="0" applyFont="1" applyFill="1" applyBorder="1"/>
    <xf numFmtId="0" fontId="14" fillId="0" borderId="38" xfId="0" applyFont="1" applyFill="1" applyBorder="1"/>
    <xf numFmtId="0" fontId="13" fillId="0" borderId="42" xfId="0" applyFont="1" applyFill="1" applyBorder="1"/>
    <xf numFmtId="0" fontId="16" fillId="0" borderId="38" xfId="0" applyFont="1" applyFill="1" applyBorder="1"/>
    <xf numFmtId="0" fontId="13" fillId="0" borderId="13" xfId="0" applyFont="1" applyFill="1" applyBorder="1"/>
    <xf numFmtId="0" fontId="13" fillId="0" borderId="15" xfId="0" applyFont="1" applyFill="1" applyBorder="1" applyAlignment="1">
      <alignment readingOrder="1"/>
    </xf>
    <xf numFmtId="0" fontId="13" fillId="0" borderId="15" xfId="0" applyFont="1" applyFill="1" applyBorder="1" applyAlignment="1">
      <alignment shrinkToFit="1"/>
    </xf>
    <xf numFmtId="0" fontId="14" fillId="0" borderId="15" xfId="0" applyFont="1" applyFill="1" applyBorder="1"/>
    <xf numFmtId="0" fontId="33" fillId="4" borderId="50" xfId="0" applyFont="1" applyFill="1" applyBorder="1"/>
    <xf numFmtId="3" fontId="39" fillId="4" borderId="2" xfId="0" applyNumberFormat="1" applyFont="1" applyFill="1" applyBorder="1"/>
    <xf numFmtId="0" fontId="33" fillId="4" borderId="51" xfId="0" applyFont="1" applyFill="1" applyBorder="1"/>
    <xf numFmtId="3" fontId="33" fillId="4" borderId="50" xfId="0" applyNumberFormat="1" applyFont="1" applyFill="1" applyBorder="1"/>
    <xf numFmtId="3" fontId="50" fillId="4" borderId="2" xfId="0" applyNumberFormat="1" applyFont="1" applyFill="1" applyBorder="1"/>
    <xf numFmtId="3" fontId="32" fillId="4" borderId="10" xfId="0" applyNumberFormat="1" applyFont="1" applyFill="1" applyBorder="1"/>
    <xf numFmtId="14" fontId="32" fillId="4" borderId="1" xfId="0" applyNumberFormat="1" applyFont="1" applyFill="1" applyBorder="1"/>
    <xf numFmtId="0" fontId="32" fillId="4" borderId="8" xfId="0" applyFont="1" applyFill="1" applyBorder="1"/>
    <xf numFmtId="3" fontId="33" fillId="4" borderId="2" xfId="0" applyNumberFormat="1" applyFont="1" applyFill="1" applyBorder="1"/>
    <xf numFmtId="3" fontId="30" fillId="4" borderId="0" xfId="0" applyNumberFormat="1" applyFont="1" applyFill="1" applyBorder="1"/>
    <xf numFmtId="0" fontId="30" fillId="4" borderId="0" xfId="0" applyFont="1" applyFill="1" applyBorder="1"/>
    <xf numFmtId="3" fontId="30" fillId="4" borderId="3" xfId="0" applyNumberFormat="1" applyFont="1" applyFill="1" applyBorder="1"/>
    <xf numFmtId="0" fontId="30" fillId="4" borderId="3" xfId="0" applyFont="1" applyFill="1" applyBorder="1"/>
    <xf numFmtId="3" fontId="33" fillId="4" borderId="4" xfId="0" applyNumberFormat="1" applyFont="1" applyFill="1" applyBorder="1"/>
    <xf numFmtId="3" fontId="13" fillId="4" borderId="6" xfId="0" applyNumberFormat="1" applyFont="1" applyFill="1" applyBorder="1"/>
    <xf numFmtId="3" fontId="13" fillId="4" borderId="5" xfId="0" applyNumberFormat="1" applyFont="1" applyFill="1" applyBorder="1"/>
    <xf numFmtId="0" fontId="33" fillId="4" borderId="2" xfId="0" applyFont="1" applyFill="1" applyBorder="1"/>
    <xf numFmtId="0" fontId="33" fillId="4" borderId="10" xfId="0" applyFont="1" applyFill="1" applyBorder="1"/>
    <xf numFmtId="3" fontId="13" fillId="4" borderId="5" xfId="0" applyNumberFormat="1" applyFont="1" applyFill="1" applyBorder="1" applyAlignment="1">
      <alignment horizontal="right"/>
    </xf>
    <xf numFmtId="3" fontId="31" fillId="4" borderId="0" xfId="0" applyNumberFormat="1" applyFont="1" applyFill="1" applyBorder="1" applyAlignment="1">
      <alignment horizontal="right"/>
    </xf>
    <xf numFmtId="0" fontId="30" fillId="4" borderId="1" xfId="0" applyFont="1" applyFill="1" applyBorder="1"/>
    <xf numFmtId="0" fontId="30" fillId="4" borderId="8" xfId="0" applyFont="1" applyFill="1" applyBorder="1"/>
    <xf numFmtId="167" fontId="13" fillId="4" borderId="3" xfId="6" applyNumberFormat="1" applyFont="1" applyFill="1" applyBorder="1" applyAlignment="1">
      <alignment horizontal="right"/>
    </xf>
    <xf numFmtId="167" fontId="13" fillId="4" borderId="3" xfId="0" applyNumberFormat="1" applyFont="1" applyFill="1" applyBorder="1" applyAlignment="1">
      <alignment horizontal="right"/>
    </xf>
    <xf numFmtId="3" fontId="13" fillId="4" borderId="2" xfId="0" applyNumberFormat="1" applyFont="1" applyFill="1" applyBorder="1"/>
    <xf numFmtId="166" fontId="13" fillId="4" borderId="2" xfId="0" applyNumberFormat="1" applyFont="1" applyFill="1" applyBorder="1"/>
    <xf numFmtId="167" fontId="13" fillId="4" borderId="15" xfId="6" applyNumberFormat="1" applyFont="1" applyFill="1" applyBorder="1" applyAlignment="1">
      <alignment horizontal="right"/>
    </xf>
    <xf numFmtId="167" fontId="13" fillId="4" borderId="0" xfId="0" applyNumberFormat="1" applyFont="1" applyFill="1" applyBorder="1" applyAlignment="1">
      <alignment horizontal="right"/>
    </xf>
    <xf numFmtId="167" fontId="13" fillId="4" borderId="15" xfId="0" applyNumberFormat="1" applyFont="1" applyFill="1" applyBorder="1" applyAlignment="1">
      <alignment horizontal="right"/>
    </xf>
    <xf numFmtId="0" fontId="13" fillId="4" borderId="15" xfId="0" applyNumberFormat="1" applyFont="1" applyFill="1" applyBorder="1" applyAlignment="1">
      <alignment horizontal="right"/>
    </xf>
    <xf numFmtId="0" fontId="30" fillId="3" borderId="5" xfId="0" applyFont="1" applyFill="1" applyBorder="1"/>
    <xf numFmtId="0" fontId="13" fillId="0" borderId="7" xfId="0" applyFont="1" applyFill="1" applyBorder="1" applyAlignment="1">
      <alignment horizontal="right"/>
    </xf>
    <xf numFmtId="0" fontId="13" fillId="2" borderId="9" xfId="0" applyFont="1" applyFill="1" applyBorder="1" applyAlignment="1" applyProtection="1">
      <alignment horizontal="center" vertical="center"/>
    </xf>
    <xf numFmtId="0" fontId="14" fillId="3" borderId="9" xfId="0" applyFont="1" applyFill="1" applyBorder="1" applyAlignment="1" applyProtection="1">
      <alignment horizontal="center" vertical="top"/>
    </xf>
    <xf numFmtId="168" fontId="14" fillId="3" borderId="11" xfId="4" applyNumberFormat="1" applyFont="1" applyFill="1" applyBorder="1" applyAlignment="1" applyProtection="1">
      <alignment horizontal="center" vertical="top"/>
      <protection locked="0"/>
    </xf>
    <xf numFmtId="168" fontId="13" fillId="3" borderId="9" xfId="7" applyNumberFormat="1" applyFont="1" applyFill="1" applyBorder="1" applyAlignment="1" applyProtection="1">
      <alignment horizontal="center" vertical="top"/>
      <protection locked="0"/>
    </xf>
    <xf numFmtId="0" fontId="14" fillId="3" borderId="9" xfId="0" applyFont="1" applyFill="1" applyBorder="1" applyAlignment="1">
      <alignment horizontal="center" vertical="top"/>
    </xf>
    <xf numFmtId="0" fontId="14" fillId="3" borderId="11" xfId="0" applyFont="1" applyFill="1" applyBorder="1" applyAlignment="1" applyProtection="1">
      <alignment horizontal="center" vertical="top"/>
    </xf>
    <xf numFmtId="0" fontId="14" fillId="3" borderId="9" xfId="0" applyFont="1" applyFill="1" applyBorder="1" applyAlignment="1" applyProtection="1">
      <alignment horizontal="center" vertical="center"/>
    </xf>
    <xf numFmtId="0" fontId="14" fillId="0" borderId="9" xfId="0" applyFont="1" applyFill="1" applyBorder="1" applyAlignment="1" applyProtection="1">
      <alignment horizontal="right"/>
      <protection locked="0"/>
    </xf>
    <xf numFmtId="0" fontId="13" fillId="3" borderId="11" xfId="0" applyFont="1" applyFill="1" applyBorder="1" applyAlignment="1" applyProtection="1"/>
    <xf numFmtId="0" fontId="0" fillId="0" borderId="0" xfId="0" applyAlignment="1"/>
    <xf numFmtId="17" fontId="13" fillId="2" borderId="13" xfId="0" applyNumberFormat="1" applyFont="1" applyFill="1" applyBorder="1" applyAlignment="1" applyProtection="1">
      <alignment horizontal="center" vertical="center"/>
    </xf>
    <xf numFmtId="0" fontId="20" fillId="0" borderId="0" xfId="0" applyFont="1" applyProtection="1"/>
    <xf numFmtId="0" fontId="20" fillId="0" borderId="3" xfId="0" applyFont="1" applyBorder="1" applyProtection="1"/>
    <xf numFmtId="0" fontId="20" fillId="0" borderId="3" xfId="0" applyFont="1" applyFill="1" applyBorder="1" applyAlignment="1" applyProtection="1">
      <alignment horizontal="left"/>
    </xf>
    <xf numFmtId="0" fontId="20" fillId="0" borderId="3" xfId="0" applyFont="1" applyFill="1" applyBorder="1" applyProtection="1"/>
    <xf numFmtId="0" fontId="20" fillId="0" borderId="0" xfId="0" applyFont="1" applyBorder="1" applyProtection="1"/>
    <xf numFmtId="14" fontId="20" fillId="0" borderId="0" xfId="0" applyNumberFormat="1" applyFont="1" applyFill="1" applyBorder="1" applyProtection="1"/>
    <xf numFmtId="0" fontId="22" fillId="0" borderId="2" xfId="0" applyFont="1" applyBorder="1" applyProtection="1"/>
    <xf numFmtId="0" fontId="23" fillId="0" borderId="0" xfId="0" applyFont="1" applyBorder="1" applyProtection="1"/>
    <xf numFmtId="0" fontId="13" fillId="7" borderId="0" xfId="0" applyFont="1" applyFill="1" applyProtection="1"/>
    <xf numFmtId="0" fontId="29" fillId="7" borderId="0" xfId="0" applyFont="1" applyFill="1" applyProtection="1"/>
    <xf numFmtId="0" fontId="29" fillId="0" borderId="0" xfId="0" applyFont="1" applyProtection="1"/>
    <xf numFmtId="0" fontId="30" fillId="0" borderId="0" xfId="0" applyNumberFormat="1" applyFont="1" applyFill="1" applyBorder="1" applyProtection="1"/>
    <xf numFmtId="49" fontId="13" fillId="0" borderId="0" xfId="0" applyNumberFormat="1" applyFont="1" applyFill="1" applyBorder="1" applyProtection="1"/>
    <xf numFmtId="0" fontId="13" fillId="0" borderId="0" xfId="0" applyFont="1" applyFill="1" applyBorder="1" applyAlignment="1" applyProtection="1">
      <alignment horizontal="right"/>
    </xf>
    <xf numFmtId="14" fontId="31" fillId="0" borderId="0" xfId="0" applyNumberFormat="1" applyFont="1" applyFill="1" applyBorder="1" applyProtection="1"/>
    <xf numFmtId="14" fontId="30" fillId="0" borderId="0" xfId="0" applyNumberFormat="1" applyFont="1" applyFill="1" applyBorder="1" applyProtection="1"/>
    <xf numFmtId="170" fontId="13" fillId="0" borderId="0" xfId="0" applyNumberFormat="1" applyFont="1" applyFill="1" applyBorder="1" applyAlignment="1" applyProtection="1">
      <alignment horizontal="right"/>
    </xf>
    <xf numFmtId="0" fontId="13" fillId="0" borderId="0" xfId="0" applyNumberFormat="1" applyFont="1" applyFill="1" applyBorder="1" applyAlignment="1" applyProtection="1">
      <alignment horizontal="left"/>
    </xf>
    <xf numFmtId="0" fontId="13" fillId="0" borderId="3" xfId="0" applyFont="1" applyFill="1" applyBorder="1" applyAlignment="1" applyProtection="1">
      <alignment horizontal="right"/>
    </xf>
    <xf numFmtId="0" fontId="32" fillId="0" borderId="5" xfId="0" applyFont="1" applyFill="1" applyBorder="1" applyProtection="1"/>
    <xf numFmtId="14" fontId="32" fillId="0" borderId="5" xfId="0" applyNumberFormat="1" applyFont="1" applyFill="1" applyBorder="1" applyProtection="1"/>
    <xf numFmtId="0" fontId="32" fillId="0" borderId="6" xfId="0" applyFont="1" applyFill="1" applyBorder="1" applyProtection="1"/>
    <xf numFmtId="0" fontId="14" fillId="3" borderId="11" xfId="0" applyFont="1" applyFill="1" applyBorder="1" applyProtection="1"/>
    <xf numFmtId="0" fontId="13" fillId="0" borderId="10" xfId="0" applyFont="1" applyFill="1" applyBorder="1" applyProtection="1"/>
    <xf numFmtId="0" fontId="13" fillId="4" borderId="10" xfId="0" applyFont="1" applyFill="1" applyBorder="1" applyProtection="1"/>
    <xf numFmtId="0" fontId="13" fillId="4" borderId="1" xfId="0" applyFont="1" applyFill="1" applyBorder="1" applyProtection="1"/>
    <xf numFmtId="0" fontId="13" fillId="0" borderId="2" xfId="0" quotePrefix="1" applyFont="1" applyFill="1" applyBorder="1" applyProtection="1"/>
    <xf numFmtId="0" fontId="13" fillId="0" borderId="4" xfId="0" quotePrefix="1" applyFont="1" applyFill="1" applyBorder="1" applyProtection="1"/>
    <xf numFmtId="0" fontId="13" fillId="4" borderId="8" xfId="0" applyFont="1" applyFill="1" applyBorder="1" applyProtection="1"/>
    <xf numFmtId="0" fontId="14" fillId="3" borderId="12" xfId="0" applyFont="1" applyFill="1" applyBorder="1" applyProtection="1"/>
    <xf numFmtId="0" fontId="13" fillId="7" borderId="0" xfId="0" applyFont="1" applyFill="1" applyBorder="1" applyProtection="1"/>
    <xf numFmtId="0" fontId="15" fillId="0" borderId="10" xfId="0" applyFont="1" applyBorder="1" applyProtection="1"/>
    <xf numFmtId="0" fontId="13" fillId="0" borderId="0" xfId="0" applyFont="1" applyFill="1" applyBorder="1" applyAlignment="1" applyProtection="1">
      <alignment horizontal="left"/>
    </xf>
    <xf numFmtId="0" fontId="13" fillId="0" borderId="3" xfId="0" applyFont="1" applyFill="1" applyBorder="1" applyAlignment="1" applyProtection="1">
      <alignment horizontal="left"/>
    </xf>
    <xf numFmtId="0" fontId="13" fillId="0" borderId="3" xfId="0" applyFont="1" applyBorder="1" applyAlignment="1" applyProtection="1">
      <alignment horizontal="left"/>
    </xf>
    <xf numFmtId="0" fontId="14" fillId="3" borderId="10" xfId="0" applyFont="1" applyFill="1" applyBorder="1" applyProtection="1"/>
    <xf numFmtId="0" fontId="14" fillId="4" borderId="10" xfId="0" applyFont="1" applyFill="1" applyBorder="1" applyProtection="1"/>
    <xf numFmtId="0" fontId="14" fillId="4" borderId="2" xfId="0" applyFont="1" applyFill="1" applyBorder="1" applyProtection="1"/>
    <xf numFmtId="0" fontId="13" fillId="0" borderId="11" xfId="0" applyFont="1" applyFill="1" applyBorder="1" applyProtection="1"/>
    <xf numFmtId="0" fontId="0" fillId="0" borderId="2" xfId="0" applyBorder="1" applyProtection="1"/>
    <xf numFmtId="0" fontId="0" fillId="0" borderId="0" xfId="0" applyBorder="1" applyProtection="1"/>
    <xf numFmtId="0" fontId="0" fillId="0" borderId="3" xfId="0" applyBorder="1" applyProtection="1"/>
    <xf numFmtId="0" fontId="17" fillId="9" borderId="11" xfId="0" applyFont="1" applyFill="1" applyBorder="1" applyProtection="1"/>
    <xf numFmtId="0" fontId="17" fillId="9" borderId="7" xfId="0" applyFont="1" applyFill="1" applyBorder="1" applyProtection="1"/>
    <xf numFmtId="0" fontId="17" fillId="9" borderId="12" xfId="0" applyFont="1" applyFill="1" applyBorder="1" applyAlignment="1" applyProtection="1">
      <alignment horizontal="right"/>
    </xf>
    <xf numFmtId="0" fontId="13" fillId="0" borderId="0" xfId="0" applyNumberFormat="1" applyFont="1" applyFill="1" applyBorder="1" applyAlignment="1" applyProtection="1">
      <alignment horizontal="right"/>
    </xf>
    <xf numFmtId="0" fontId="13" fillId="8" borderId="0" xfId="0" applyFont="1" applyFill="1" applyProtection="1"/>
    <xf numFmtId="0" fontId="13" fillId="4" borderId="10" xfId="0" applyNumberFormat="1" applyFont="1" applyFill="1" applyBorder="1" applyProtection="1"/>
    <xf numFmtId="0" fontId="13" fillId="4" borderId="1" xfId="0" applyNumberFormat="1" applyFont="1" applyFill="1" applyBorder="1" applyProtection="1"/>
    <xf numFmtId="0" fontId="13" fillId="4" borderId="8" xfId="0" applyNumberFormat="1" applyFont="1" applyFill="1" applyBorder="1" applyProtection="1"/>
    <xf numFmtId="0" fontId="13" fillId="4" borderId="2" xfId="0" applyNumberFormat="1" applyFont="1" applyFill="1" applyBorder="1" applyProtection="1"/>
    <xf numFmtId="0" fontId="13" fillId="4" borderId="0" xfId="0" applyNumberFormat="1" applyFont="1" applyFill="1" applyBorder="1" applyProtection="1"/>
    <xf numFmtId="0" fontId="13" fillId="4" borderId="3" xfId="0" applyNumberFormat="1" applyFont="1" applyFill="1" applyBorder="1" applyProtection="1"/>
    <xf numFmtId="0" fontId="13" fillId="4" borderId="4" xfId="0" applyNumberFormat="1" applyFont="1" applyFill="1" applyBorder="1" applyProtection="1"/>
    <xf numFmtId="0" fontId="13" fillId="4" borderId="5" xfId="0" applyNumberFormat="1" applyFont="1" applyFill="1" applyBorder="1" applyProtection="1"/>
    <xf numFmtId="0" fontId="13" fillId="4" borderId="6" xfId="0" applyNumberFormat="1" applyFont="1" applyFill="1" applyBorder="1" applyProtection="1"/>
    <xf numFmtId="0" fontId="13" fillId="0" borderId="4" xfId="0" applyNumberFormat="1" applyFont="1" applyFill="1" applyBorder="1" applyProtection="1"/>
    <xf numFmtId="0" fontId="13" fillId="0" borderId="5" xfId="0" applyNumberFormat="1" applyFont="1" applyFill="1" applyBorder="1" applyProtection="1"/>
    <xf numFmtId="0" fontId="13" fillId="0" borderId="6" xfId="0" applyNumberFormat="1" applyFont="1" applyFill="1" applyBorder="1" applyProtection="1"/>
    <xf numFmtId="0" fontId="13" fillId="0" borderId="12" xfId="0" applyNumberFormat="1" applyFont="1" applyFill="1" applyBorder="1" applyProtection="1"/>
    <xf numFmtId="0" fontId="14" fillId="3" borderId="1" xfId="0" applyFont="1" applyFill="1" applyBorder="1" applyProtection="1"/>
    <xf numFmtId="0" fontId="13" fillId="4" borderId="11" xfId="0" applyFont="1" applyFill="1" applyBorder="1" applyProtection="1">
      <protection locked="0"/>
    </xf>
    <xf numFmtId="0" fontId="13" fillId="0" borderId="0" xfId="0" applyFont="1" applyBorder="1" applyAlignment="1" applyProtection="1">
      <alignment horizontal="right"/>
    </xf>
    <xf numFmtId="49" fontId="13" fillId="0" borderId="0" xfId="0" applyNumberFormat="1" applyFont="1" applyBorder="1" applyAlignment="1" applyProtection="1">
      <alignment horizontal="right"/>
    </xf>
    <xf numFmtId="0" fontId="34" fillId="0" borderId="0" xfId="0" applyNumberFormat="1" applyFont="1" applyFill="1" applyBorder="1" applyAlignment="1" applyProtection="1">
      <alignment horizontal="left"/>
    </xf>
    <xf numFmtId="49" fontId="20" fillId="0" borderId="0" xfId="0" applyNumberFormat="1" applyFont="1" applyFill="1" applyBorder="1" applyAlignment="1" applyProtection="1">
      <alignment horizontal="right"/>
    </xf>
    <xf numFmtId="0" fontId="34" fillId="0" borderId="3" xfId="0" applyFont="1" applyFill="1" applyBorder="1" applyAlignment="1" applyProtection="1">
      <alignment horizontal="left"/>
    </xf>
    <xf numFmtId="14" fontId="32" fillId="0" borderId="0" xfId="0" applyNumberFormat="1" applyFont="1" applyFill="1" applyBorder="1" applyAlignment="1" applyProtection="1">
      <alignment horizontal="right"/>
    </xf>
    <xf numFmtId="0" fontId="32" fillId="0" borderId="3" xfId="0" applyFont="1" applyFill="1" applyBorder="1" applyAlignment="1" applyProtection="1">
      <alignment horizontal="right"/>
    </xf>
    <xf numFmtId="0" fontId="47" fillId="0" borderId="0" xfId="0" applyFont="1" applyFill="1" applyBorder="1" applyProtection="1"/>
    <xf numFmtId="0" fontId="35" fillId="0" borderId="13" xfId="0" applyFont="1" applyFill="1" applyBorder="1" applyAlignment="1" applyProtection="1">
      <alignment horizontal="right"/>
    </xf>
    <xf numFmtId="0" fontId="15" fillId="0" borderId="0" xfId="0" applyFont="1" applyBorder="1" applyProtection="1"/>
    <xf numFmtId="0" fontId="35" fillId="0" borderId="0" xfId="0" applyFont="1" applyBorder="1" applyProtection="1"/>
    <xf numFmtId="0" fontId="35" fillId="0" borderId="0" xfId="0" applyFont="1" applyFill="1" applyBorder="1" applyProtection="1"/>
    <xf numFmtId="0" fontId="20" fillId="4" borderId="10" xfId="0" applyFont="1" applyFill="1" applyBorder="1" applyProtection="1"/>
    <xf numFmtId="0" fontId="20" fillId="4" borderId="1" xfId="0" applyFont="1" applyFill="1" applyBorder="1" applyProtection="1"/>
    <xf numFmtId="0" fontId="20" fillId="4" borderId="8" xfId="0" applyFont="1" applyFill="1" applyBorder="1" applyAlignment="1" applyProtection="1">
      <alignment horizontal="right"/>
    </xf>
    <xf numFmtId="0" fontId="20" fillId="4" borderId="1" xfId="0" applyFont="1" applyFill="1" applyBorder="1" applyAlignment="1" applyProtection="1">
      <alignment horizontal="right"/>
    </xf>
    <xf numFmtId="0" fontId="15" fillId="4" borderId="2" xfId="0" applyFont="1" applyFill="1" applyBorder="1" applyProtection="1"/>
    <xf numFmtId="0" fontId="20" fillId="4" borderId="0" xfId="0" applyFont="1" applyFill="1" applyBorder="1" applyProtection="1"/>
    <xf numFmtId="3" fontId="20" fillId="4" borderId="3" xfId="0" applyNumberFormat="1" applyFont="1" applyFill="1" applyBorder="1" applyAlignment="1" applyProtection="1">
      <alignment horizontal="right"/>
    </xf>
    <xf numFmtId="3" fontId="20" fillId="4" borderId="0" xfId="0" applyNumberFormat="1" applyFont="1" applyFill="1" applyBorder="1" applyAlignment="1" applyProtection="1">
      <alignment horizontal="right"/>
    </xf>
    <xf numFmtId="0" fontId="15" fillId="4" borderId="4" xfId="0" applyFont="1" applyFill="1" applyBorder="1" applyProtection="1"/>
    <xf numFmtId="0" fontId="20" fillId="4" borderId="5" xfId="0" applyFont="1" applyFill="1" applyBorder="1" applyProtection="1"/>
    <xf numFmtId="3" fontId="20" fillId="4" borderId="6" xfId="0" applyNumberFormat="1" applyFont="1" applyFill="1" applyBorder="1" applyAlignment="1" applyProtection="1">
      <alignment horizontal="right"/>
    </xf>
    <xf numFmtId="3" fontId="20" fillId="4" borderId="5" xfId="0" applyNumberFormat="1" applyFont="1" applyFill="1" applyBorder="1" applyAlignment="1" applyProtection="1">
      <alignment horizontal="right"/>
    </xf>
    <xf numFmtId="0" fontId="15" fillId="0" borderId="2" xfId="0" applyFont="1" applyBorder="1" applyProtection="1"/>
    <xf numFmtId="3" fontId="20" fillId="0" borderId="3" xfId="0" applyNumberFormat="1" applyFont="1" applyBorder="1" applyAlignment="1" applyProtection="1">
      <alignment horizontal="right"/>
    </xf>
    <xf numFmtId="3" fontId="20" fillId="0" borderId="0" xfId="0" applyNumberFormat="1" applyFont="1" applyBorder="1" applyAlignment="1" applyProtection="1">
      <alignment horizontal="right"/>
    </xf>
    <xf numFmtId="0" fontId="20" fillId="0" borderId="3" xfId="0" applyFont="1" applyBorder="1" applyAlignment="1" applyProtection="1">
      <alignment horizontal="right"/>
    </xf>
    <xf numFmtId="0" fontId="20" fillId="0" borderId="0" xfId="0" applyFont="1" applyBorder="1" applyAlignment="1" applyProtection="1">
      <alignment horizontal="right"/>
    </xf>
    <xf numFmtId="0" fontId="45" fillId="0" borderId="0" xfId="0" applyFont="1" applyProtection="1"/>
    <xf numFmtId="0" fontId="20" fillId="4" borderId="4" xfId="0" applyFont="1" applyFill="1" applyBorder="1" applyProtection="1"/>
    <xf numFmtId="0" fontId="20" fillId="4" borderId="6" xfId="0" applyFont="1" applyFill="1" applyBorder="1" applyAlignment="1" applyProtection="1">
      <alignment horizontal="right"/>
    </xf>
    <xf numFmtId="0" fontId="20" fillId="4" borderId="5" xfId="0" applyFont="1" applyFill="1" applyBorder="1" applyAlignment="1" applyProtection="1">
      <alignment horizontal="right"/>
    </xf>
    <xf numFmtId="0" fontId="23" fillId="0" borderId="2" xfId="0" applyFont="1" applyBorder="1" applyProtection="1"/>
    <xf numFmtId="3" fontId="20" fillId="4" borderId="2" xfId="0" applyNumberFormat="1" applyFont="1" applyFill="1" applyBorder="1" applyAlignment="1" applyProtection="1">
      <alignment horizontal="right"/>
    </xf>
    <xf numFmtId="0" fontId="20" fillId="0" borderId="1" xfId="0" applyFont="1" applyBorder="1" applyProtection="1"/>
    <xf numFmtId="0" fontId="45" fillId="0" borderId="0" xfId="0" applyFont="1" applyBorder="1" applyProtection="1"/>
    <xf numFmtId="3" fontId="20" fillId="0" borderId="0" xfId="0" applyNumberFormat="1" applyFont="1" applyFill="1" applyBorder="1" applyAlignment="1" applyProtection="1">
      <alignment horizontal="right"/>
    </xf>
    <xf numFmtId="3" fontId="20" fillId="0" borderId="3" xfId="0" applyNumberFormat="1" applyFont="1" applyFill="1" applyBorder="1" applyAlignment="1" applyProtection="1">
      <alignment horizontal="right"/>
    </xf>
    <xf numFmtId="0" fontId="15" fillId="4" borderId="10" xfId="0" applyFont="1" applyFill="1" applyBorder="1" applyProtection="1"/>
    <xf numFmtId="0" fontId="45" fillId="0" borderId="0" xfId="0" applyFont="1" applyFill="1" applyProtection="1"/>
    <xf numFmtId="10" fontId="20" fillId="0" borderId="0" xfId="0" applyNumberFormat="1" applyFont="1" applyFill="1" applyBorder="1" applyProtection="1"/>
    <xf numFmtId="3" fontId="20" fillId="0" borderId="0" xfId="0" applyNumberFormat="1" applyFont="1" applyFill="1" applyBorder="1" applyProtection="1"/>
    <xf numFmtId="0" fontId="20" fillId="0" borderId="3" xfId="0" applyFont="1" applyFill="1" applyBorder="1" applyAlignment="1" applyProtection="1">
      <alignment horizontal="right"/>
    </xf>
    <xf numFmtId="3" fontId="15" fillId="4" borderId="3" xfId="0" applyNumberFormat="1" applyFont="1" applyFill="1" applyBorder="1" applyAlignment="1" applyProtection="1">
      <alignment horizontal="right"/>
    </xf>
    <xf numFmtId="0" fontId="15" fillId="4" borderId="0" xfId="0" applyFont="1" applyFill="1" applyBorder="1" applyProtection="1"/>
    <xf numFmtId="3" fontId="15" fillId="4" borderId="0" xfId="0" applyNumberFormat="1" applyFont="1" applyFill="1" applyBorder="1" applyAlignment="1" applyProtection="1">
      <alignment horizontal="right"/>
    </xf>
    <xf numFmtId="0" fontId="20" fillId="0" borderId="0" xfId="0" applyFont="1" applyAlignment="1" applyProtection="1">
      <alignment horizontal="right"/>
    </xf>
    <xf numFmtId="0" fontId="15" fillId="3" borderId="11" xfId="0" applyFont="1" applyFill="1" applyBorder="1" applyProtection="1"/>
    <xf numFmtId="0" fontId="47" fillId="3" borderId="7" xfId="0" applyFont="1" applyFill="1" applyBorder="1" applyProtection="1"/>
    <xf numFmtId="0" fontId="20" fillId="3" borderId="7" xfId="0" applyFont="1" applyFill="1" applyBorder="1" applyAlignment="1" applyProtection="1">
      <alignment horizontal="right"/>
    </xf>
    <xf numFmtId="0" fontId="20" fillId="3" borderId="7" xfId="0" applyFont="1" applyFill="1" applyBorder="1" applyProtection="1"/>
    <xf numFmtId="14" fontId="47" fillId="3" borderId="7" xfId="0" applyNumberFormat="1" applyFont="1" applyFill="1" applyBorder="1" applyAlignment="1" applyProtection="1">
      <alignment horizontal="right"/>
    </xf>
    <xf numFmtId="0" fontId="47" fillId="3" borderId="12" xfId="0" applyFont="1" applyFill="1" applyBorder="1" applyAlignment="1" applyProtection="1">
      <alignment horizontal="right"/>
    </xf>
    <xf numFmtId="0" fontId="20" fillId="0" borderId="10" xfId="0" applyFont="1" applyBorder="1" applyProtection="1"/>
    <xf numFmtId="0" fontId="20" fillId="0" borderId="8" xfId="0" applyFont="1" applyBorder="1" applyAlignment="1" applyProtection="1">
      <alignment horizontal="right"/>
    </xf>
    <xf numFmtId="0" fontId="20" fillId="0" borderId="1" xfId="0" applyFont="1" applyBorder="1" applyAlignment="1" applyProtection="1">
      <alignment horizontal="right"/>
    </xf>
    <xf numFmtId="3" fontId="20" fillId="0" borderId="0" xfId="0" applyNumberFormat="1" applyFont="1" applyBorder="1" applyProtection="1"/>
    <xf numFmtId="0" fontId="20" fillId="0" borderId="4" xfId="0" applyFont="1" applyBorder="1" applyProtection="1"/>
    <xf numFmtId="0" fontId="20" fillId="0" borderId="5" xfId="0" applyFont="1" applyBorder="1" applyProtection="1"/>
    <xf numFmtId="3" fontId="20" fillId="0" borderId="6" xfId="0" applyNumberFormat="1" applyFont="1" applyBorder="1" applyAlignment="1" applyProtection="1">
      <alignment horizontal="right"/>
    </xf>
    <xf numFmtId="3" fontId="20" fillId="0" borderId="5" xfId="0" applyNumberFormat="1" applyFont="1" applyBorder="1" applyProtection="1"/>
    <xf numFmtId="3" fontId="20" fillId="0" borderId="5" xfId="0" applyNumberFormat="1" applyFont="1" applyBorder="1" applyAlignment="1" applyProtection="1">
      <alignment horizontal="right"/>
    </xf>
    <xf numFmtId="0" fontId="13" fillId="0" borderId="0" xfId="0" applyFont="1" applyAlignment="1" applyProtection="1">
      <alignment horizontal="right"/>
    </xf>
    <xf numFmtId="9" fontId="13" fillId="0" borderId="0" xfId="0" applyNumberFormat="1" applyFont="1" applyProtection="1"/>
    <xf numFmtId="0" fontId="14" fillId="4" borderId="9" xfId="0" applyFont="1" applyFill="1" applyBorder="1" applyAlignment="1" applyProtection="1">
      <alignment horizontal="center"/>
      <protection locked="0"/>
    </xf>
    <xf numFmtId="0" fontId="16" fillId="0" borderId="0" xfId="0" applyFont="1" applyFill="1"/>
    <xf numFmtId="0" fontId="13" fillId="4" borderId="8" xfId="0" applyNumberFormat="1" applyFont="1" applyFill="1" applyBorder="1" applyAlignment="1" applyProtection="1">
      <protection locked="0"/>
    </xf>
    <xf numFmtId="0" fontId="13" fillId="4" borderId="3" xfId="0" applyNumberFormat="1" applyFont="1" applyFill="1" applyBorder="1" applyAlignment="1" applyProtection="1">
      <protection locked="0"/>
    </xf>
    <xf numFmtId="0" fontId="13" fillId="4" borderId="6" xfId="0" applyNumberFormat="1" applyFont="1" applyFill="1" applyBorder="1" applyAlignment="1" applyProtection="1">
      <protection locked="0"/>
    </xf>
    <xf numFmtId="0" fontId="13" fillId="0" borderId="0" xfId="0" applyFont="1" applyAlignment="1">
      <alignment horizontal="center"/>
    </xf>
    <xf numFmtId="0" fontId="0" fillId="0" borderId="5" xfId="0" applyBorder="1" applyAlignment="1">
      <alignment vertical="top"/>
    </xf>
    <xf numFmtId="0" fontId="13" fillId="3" borderId="9" xfId="0" applyFont="1" applyFill="1" applyBorder="1" applyAlignment="1" applyProtection="1"/>
    <xf numFmtId="0" fontId="14" fillId="2" borderId="1" xfId="0" applyFont="1" applyFill="1" applyBorder="1" applyAlignment="1" applyProtection="1">
      <alignment horizontal="center" vertical="top"/>
    </xf>
    <xf numFmtId="0" fontId="0" fillId="2" borderId="1" xfId="0" applyFill="1" applyBorder="1" applyAlignment="1" applyProtection="1">
      <alignment horizontal="center" vertical="top"/>
    </xf>
    <xf numFmtId="0" fontId="6" fillId="0" borderId="14" xfId="0" applyFont="1" applyBorder="1"/>
    <xf numFmtId="3" fontId="6" fillId="0" borderId="12" xfId="0" applyNumberFormat="1" applyFont="1" applyBorder="1"/>
    <xf numFmtId="3" fontId="6" fillId="0" borderId="9" xfId="0" applyNumberFormat="1" applyFont="1" applyBorder="1"/>
    <xf numFmtId="0" fontId="13" fillId="2" borderId="7" xfId="0" applyFont="1" applyFill="1" applyBorder="1"/>
    <xf numFmtId="0" fontId="18" fillId="9" borderId="13" xfId="0" applyFont="1" applyFill="1" applyBorder="1" applyAlignment="1">
      <alignment horizontal="left"/>
    </xf>
    <xf numFmtId="0" fontId="51" fillId="9" borderId="1" xfId="0" applyFont="1" applyFill="1" applyBorder="1"/>
    <xf numFmtId="0" fontId="51" fillId="9" borderId="1" xfId="0" applyFont="1" applyFill="1" applyBorder="1" applyAlignment="1">
      <alignment horizontal="center"/>
    </xf>
    <xf numFmtId="0" fontId="18" fillId="9" borderId="1" xfId="0" applyFont="1" applyFill="1" applyBorder="1"/>
    <xf numFmtId="0" fontId="12" fillId="12" borderId="0" xfId="0" applyFont="1" applyFill="1"/>
    <xf numFmtId="0" fontId="29" fillId="0" borderId="0" xfId="0" applyFont="1" applyBorder="1" applyAlignment="1">
      <alignment horizontal="center"/>
    </xf>
    <xf numFmtId="0" fontId="13" fillId="0" borderId="5" xfId="0" applyFont="1" applyBorder="1" applyAlignment="1">
      <alignment horizontal="center"/>
    </xf>
    <xf numFmtId="0" fontId="13" fillId="3" borderId="7" xfId="0" applyFont="1" applyFill="1" applyBorder="1" applyAlignment="1">
      <alignment horizontal="center"/>
    </xf>
    <xf numFmtId="0" fontId="14" fillId="0" borderId="1" xfId="0" applyFont="1" applyBorder="1" applyAlignment="1">
      <alignment horizontal="center"/>
    </xf>
    <xf numFmtId="0" fontId="14" fillId="0" borderId="8" xfId="0" applyFont="1" applyBorder="1"/>
    <xf numFmtId="0" fontId="14" fillId="7" borderId="0" xfId="0" applyFont="1" applyFill="1"/>
    <xf numFmtId="0" fontId="13" fillId="7" borderId="0" xfId="0" applyFont="1" applyFill="1" applyProtection="1">
      <protection locked="0"/>
    </xf>
    <xf numFmtId="0" fontId="13" fillId="4" borderId="0" xfId="0" applyFont="1" applyFill="1" applyProtection="1">
      <protection locked="0"/>
    </xf>
    <xf numFmtId="0" fontId="13" fillId="4" borderId="0" xfId="0" applyFont="1" applyFill="1" applyAlignment="1" applyProtection="1">
      <alignment horizontal="center"/>
      <protection locked="0"/>
    </xf>
    <xf numFmtId="0" fontId="54" fillId="12" borderId="11" xfId="0" applyFont="1" applyFill="1" applyBorder="1"/>
    <xf numFmtId="0" fontId="52" fillId="12" borderId="7" xfId="0" applyFont="1" applyFill="1" applyBorder="1"/>
    <xf numFmtId="0" fontId="55" fillId="12" borderId="7" xfId="0" applyFont="1" applyFill="1" applyBorder="1"/>
    <xf numFmtId="0" fontId="0" fillId="12" borderId="7" xfId="0" applyFill="1" applyBorder="1"/>
    <xf numFmtId="0" fontId="13" fillId="12" borderId="7" xfId="0" applyFont="1" applyFill="1" applyBorder="1"/>
    <xf numFmtId="0" fontId="13" fillId="12" borderId="12" xfId="0" applyFont="1" applyFill="1" applyBorder="1"/>
    <xf numFmtId="0" fontId="13" fillId="12" borderId="0" xfId="0" applyFont="1" applyFill="1"/>
    <xf numFmtId="0" fontId="53" fillId="12" borderId="7" xfId="0" applyFont="1" applyFill="1" applyBorder="1"/>
    <xf numFmtId="0" fontId="14" fillId="0" borderId="10" xfId="0" applyFont="1" applyBorder="1" applyAlignment="1">
      <alignment horizontal="center"/>
    </xf>
    <xf numFmtId="0" fontId="13" fillId="0" borderId="2" xfId="0" applyFont="1" applyBorder="1" applyAlignment="1">
      <alignment horizontal="center"/>
    </xf>
    <xf numFmtId="0" fontId="14" fillId="0" borderId="9" xfId="0" applyFont="1" applyBorder="1" applyAlignment="1">
      <alignment horizontal="center"/>
    </xf>
    <xf numFmtId="3" fontId="13" fillId="0" borderId="9" xfId="2" applyNumberFormat="1" applyFont="1" applyFill="1" applyBorder="1" applyAlignment="1">
      <alignment horizontal="right"/>
    </xf>
    <xf numFmtId="0" fontId="14" fillId="0" borderId="4" xfId="0" applyFont="1" applyFill="1" applyBorder="1" applyAlignment="1">
      <alignment horizontal="center"/>
    </xf>
    <xf numFmtId="169" fontId="13" fillId="0" borderId="5" xfId="2" applyNumberFormat="1" applyFont="1" applyFill="1" applyBorder="1" applyAlignment="1">
      <alignment horizontal="right"/>
    </xf>
    <xf numFmtId="169" fontId="13" fillId="0" borderId="6" xfId="2" applyNumberFormat="1" applyFont="1" applyFill="1" applyBorder="1" applyAlignment="1">
      <alignment horizontal="right"/>
    </xf>
    <xf numFmtId="3" fontId="0" fillId="0" borderId="0" xfId="0" applyNumberFormat="1" applyFill="1" applyBorder="1" applyAlignment="1" applyProtection="1">
      <alignment horizontal="center"/>
      <protection locked="0"/>
    </xf>
    <xf numFmtId="0" fontId="18" fillId="9" borderId="10" xfId="0" applyFont="1" applyFill="1" applyBorder="1"/>
    <xf numFmtId="3" fontId="51" fillId="9" borderId="1" xfId="0" applyNumberFormat="1" applyFont="1" applyFill="1" applyBorder="1"/>
    <xf numFmtId="3" fontId="12" fillId="9" borderId="1" xfId="0" applyNumberFormat="1" applyFont="1" applyFill="1" applyBorder="1"/>
    <xf numFmtId="3" fontId="18" fillId="9" borderId="1" xfId="0" applyNumberFormat="1" applyFont="1" applyFill="1" applyBorder="1"/>
    <xf numFmtId="3" fontId="18" fillId="9" borderId="8" xfId="0" applyNumberFormat="1" applyFont="1" applyFill="1" applyBorder="1" applyAlignment="1">
      <alignment horizontal="right"/>
    </xf>
    <xf numFmtId="0" fontId="18" fillId="9" borderId="10" xfId="0" applyFont="1" applyFill="1" applyBorder="1" applyAlignment="1">
      <alignment horizontal="right"/>
    </xf>
    <xf numFmtId="0" fontId="20" fillId="3" borderId="0" xfId="0" applyFont="1" applyFill="1" applyBorder="1" applyAlignment="1">
      <alignment horizontal="right"/>
    </xf>
    <xf numFmtId="0" fontId="34" fillId="3" borderId="0" xfId="0" applyFont="1" applyFill="1" applyBorder="1"/>
    <xf numFmtId="0" fontId="20" fillId="0" borderId="7" xfId="0" applyFont="1" applyFill="1" applyBorder="1"/>
    <xf numFmtId="0" fontId="15" fillId="0" borderId="7" xfId="0" applyFont="1" applyFill="1" applyBorder="1"/>
    <xf numFmtId="0" fontId="20" fillId="0" borderId="0" xfId="0" applyFont="1" applyFill="1"/>
    <xf numFmtId="0" fontId="20" fillId="4" borderId="7" xfId="0" applyFont="1" applyFill="1" applyBorder="1"/>
    <xf numFmtId="0" fontId="47" fillId="4" borderId="7" xfId="0" applyFont="1" applyFill="1" applyBorder="1" applyAlignment="1">
      <alignment horizontal="center"/>
    </xf>
    <xf numFmtId="0" fontId="35" fillId="4" borderId="7" xfId="0" applyFont="1" applyFill="1" applyBorder="1"/>
    <xf numFmtId="0" fontId="15" fillId="4" borderId="7" xfId="0" applyFont="1" applyFill="1" applyBorder="1"/>
    <xf numFmtId="0" fontId="35" fillId="4" borderId="12" xfId="0" applyFont="1" applyFill="1" applyBorder="1"/>
    <xf numFmtId="0" fontId="20" fillId="4" borderId="0" xfId="0" applyFont="1" applyFill="1"/>
    <xf numFmtId="0" fontId="20" fillId="4" borderId="0" xfId="0" applyFont="1" applyFill="1" applyBorder="1" applyAlignment="1">
      <alignment horizontal="right"/>
    </xf>
    <xf numFmtId="0" fontId="34" fillId="4" borderId="0" xfId="0" applyFont="1" applyFill="1" applyBorder="1"/>
    <xf numFmtId="0" fontId="49" fillId="4" borderId="7" xfId="0" applyFont="1" applyFill="1" applyBorder="1" applyAlignment="1">
      <alignment horizontal="center"/>
    </xf>
    <xf numFmtId="3" fontId="13" fillId="4" borderId="0" xfId="0" applyNumberFormat="1" applyFont="1" applyFill="1"/>
    <xf numFmtId="0" fontId="13" fillId="4" borderId="49" xfId="0" applyFont="1" applyFill="1" applyBorder="1"/>
    <xf numFmtId="10" fontId="13" fillId="4" borderId="48" xfId="0" applyNumberFormat="1" applyFont="1" applyFill="1" applyBorder="1"/>
    <xf numFmtId="3" fontId="13" fillId="4" borderId="18" xfId="0" applyNumberFormat="1" applyFont="1" applyFill="1" applyBorder="1"/>
    <xf numFmtId="3" fontId="13" fillId="4" borderId="48" xfId="0" applyNumberFormat="1" applyFont="1" applyFill="1" applyBorder="1"/>
    <xf numFmtId="3" fontId="13" fillId="4" borderId="35" xfId="0" applyNumberFormat="1" applyFont="1" applyFill="1" applyBorder="1"/>
    <xf numFmtId="0" fontId="14" fillId="4" borderId="17" xfId="0" applyFont="1" applyFill="1" applyBorder="1"/>
    <xf numFmtId="10" fontId="14" fillId="4" borderId="0" xfId="0" applyNumberFormat="1" applyFont="1" applyFill="1" applyBorder="1"/>
    <xf numFmtId="0" fontId="13" fillId="4" borderId="22" xfId="0" applyFont="1" applyFill="1" applyBorder="1"/>
    <xf numFmtId="10" fontId="13" fillId="4" borderId="7" xfId="0" applyNumberFormat="1" applyFont="1" applyFill="1" applyBorder="1"/>
    <xf numFmtId="3" fontId="13" fillId="4" borderId="7" xfId="0" applyNumberFormat="1" applyFont="1" applyFill="1" applyBorder="1"/>
    <xf numFmtId="3" fontId="13" fillId="4" borderId="12" xfId="0" applyNumberFormat="1" applyFont="1" applyFill="1" applyBorder="1"/>
    <xf numFmtId="0" fontId="13" fillId="4" borderId="9" xfId="0" applyFont="1" applyFill="1" applyBorder="1" applyAlignment="1" applyProtection="1">
      <alignment horizontal="center"/>
      <protection locked="0"/>
    </xf>
    <xf numFmtId="0" fontId="13" fillId="12" borderId="11" xfId="0" applyFont="1" applyFill="1" applyBorder="1"/>
    <xf numFmtId="0" fontId="42" fillId="0" borderId="49" xfId="0" applyFont="1" applyFill="1" applyBorder="1" applyProtection="1"/>
    <xf numFmtId="0" fontId="42" fillId="0" borderId="48" xfId="0" applyFont="1" applyFill="1" applyBorder="1" applyProtection="1"/>
    <xf numFmtId="0" fontId="42" fillId="0" borderId="35" xfId="0" applyFont="1" applyFill="1" applyBorder="1" applyProtection="1"/>
    <xf numFmtId="0" fontId="41" fillId="0" borderId="17" xfId="0" applyFont="1" applyFill="1" applyBorder="1" applyAlignment="1" applyProtection="1">
      <alignment horizontal="center" vertical="top"/>
    </xf>
    <xf numFmtId="0" fontId="42" fillId="0" borderId="17" xfId="0" applyFont="1" applyFill="1" applyBorder="1" applyAlignment="1" applyProtection="1">
      <alignment horizontal="center" vertical="top"/>
    </xf>
    <xf numFmtId="0" fontId="42" fillId="0" borderId="17" xfId="0" applyFont="1" applyFill="1" applyBorder="1" applyAlignment="1" applyProtection="1">
      <alignment horizontal="left" vertical="top"/>
    </xf>
    <xf numFmtId="0" fontId="42" fillId="0" borderId="17" xfId="0" applyFont="1" applyFill="1" applyBorder="1" applyProtection="1"/>
    <xf numFmtId="0" fontId="42" fillId="0" borderId="19" xfId="0" applyFont="1" applyFill="1" applyBorder="1" applyProtection="1"/>
    <xf numFmtId="0" fontId="42" fillId="0" borderId="22" xfId="0" applyFont="1" applyFill="1" applyBorder="1" applyAlignment="1" applyProtection="1">
      <alignment horizontal="center" vertical="top"/>
    </xf>
    <xf numFmtId="173" fontId="42" fillId="0" borderId="16" xfId="7" applyNumberFormat="1" applyFont="1" applyFill="1" applyBorder="1" applyAlignment="1" applyProtection="1">
      <alignment horizontal="center" vertical="top"/>
    </xf>
    <xf numFmtId="3" fontId="42" fillId="0" borderId="19" xfId="0" applyNumberFormat="1" applyFont="1" applyFill="1" applyBorder="1" applyProtection="1"/>
    <xf numFmtId="3" fontId="41" fillId="0" borderId="16" xfId="4" applyNumberFormat="1" applyFont="1" applyFill="1" applyBorder="1" applyAlignment="1" applyProtection="1">
      <alignment horizontal="center" vertical="top"/>
    </xf>
    <xf numFmtId="3" fontId="42" fillId="0" borderId="24" xfId="0" applyNumberFormat="1" applyFont="1" applyFill="1" applyBorder="1" applyProtection="1"/>
    <xf numFmtId="0" fontId="14" fillId="3" borderId="9" xfId="0" applyFont="1" applyFill="1" applyBorder="1" applyAlignment="1" applyProtection="1">
      <alignment horizontal="center"/>
    </xf>
    <xf numFmtId="3" fontId="13" fillId="4" borderId="13" xfId="2" applyNumberFormat="1" applyFont="1" applyFill="1" applyBorder="1" applyAlignment="1" applyProtection="1">
      <alignment horizontal="right"/>
    </xf>
    <xf numFmtId="0" fontId="14" fillId="3" borderId="11" xfId="0" applyFont="1" applyFill="1" applyBorder="1" applyAlignment="1">
      <alignment horizontal="left"/>
    </xf>
    <xf numFmtId="0" fontId="13" fillId="3" borderId="1" xfId="0" applyFont="1" applyFill="1" applyBorder="1"/>
    <xf numFmtId="0" fontId="13" fillId="3" borderId="9" xfId="0" applyFont="1" applyFill="1" applyBorder="1" applyAlignment="1">
      <alignment horizontal="right"/>
    </xf>
    <xf numFmtId="168" fontId="42" fillId="0" borderId="0" xfId="7" applyNumberFormat="1" applyFont="1" applyFill="1" applyBorder="1" applyAlignment="1" applyProtection="1">
      <alignment horizontal="center" vertical="top"/>
    </xf>
    <xf numFmtId="168" fontId="41" fillId="0" borderId="0" xfId="4" applyNumberFormat="1" applyFont="1" applyFill="1" applyBorder="1" applyAlignment="1" applyProtection="1">
      <alignment horizontal="center" vertical="top"/>
    </xf>
    <xf numFmtId="168" fontId="42" fillId="0" borderId="19" xfId="0" applyNumberFormat="1" applyFont="1" applyFill="1" applyBorder="1" applyProtection="1"/>
    <xf numFmtId="0" fontId="42" fillId="0" borderId="9" xfId="0" applyFont="1" applyFill="1" applyBorder="1" applyProtection="1"/>
    <xf numFmtId="0" fontId="42" fillId="0" borderId="9" xfId="0" applyFont="1" applyFill="1" applyBorder="1" applyAlignment="1" applyProtection="1">
      <alignment horizontal="center" vertical="top"/>
    </xf>
    <xf numFmtId="0" fontId="41" fillId="0" borderId="9" xfId="0" applyFont="1" applyFill="1" applyBorder="1" applyAlignment="1" applyProtection="1">
      <alignment horizontal="center" vertical="top"/>
    </xf>
    <xf numFmtId="0" fontId="42" fillId="0" borderId="9" xfId="0" applyFont="1" applyFill="1" applyBorder="1" applyAlignment="1" applyProtection="1"/>
    <xf numFmtId="168" fontId="42" fillId="0" borderId="9" xfId="7" applyNumberFormat="1" applyFont="1" applyFill="1" applyBorder="1" applyAlignment="1" applyProtection="1">
      <alignment horizontal="center" vertical="top"/>
    </xf>
    <xf numFmtId="0" fontId="41" fillId="0" borderId="11" xfId="0" applyFont="1" applyFill="1" applyBorder="1" applyAlignment="1" applyProtection="1">
      <alignment horizontal="center" vertical="top"/>
    </xf>
    <xf numFmtId="3" fontId="41" fillId="0" borderId="9" xfId="4" applyNumberFormat="1" applyFont="1" applyFill="1" applyBorder="1" applyAlignment="1" applyProtection="1">
      <alignment horizontal="center" vertical="top"/>
    </xf>
    <xf numFmtId="3" fontId="42" fillId="0" borderId="9" xfId="0" applyNumberFormat="1" applyFont="1" applyFill="1" applyBorder="1" applyProtection="1"/>
    <xf numFmtId="173" fontId="42" fillId="0" borderId="9" xfId="7" applyNumberFormat="1" applyFont="1" applyFill="1" applyBorder="1" applyAlignment="1" applyProtection="1">
      <alignment horizontal="center" vertical="top"/>
    </xf>
    <xf numFmtId="0" fontId="42" fillId="0" borderId="9" xfId="0" applyFont="1" applyFill="1" applyBorder="1" applyAlignment="1" applyProtection="1">
      <alignment horizontal="left" vertical="top"/>
    </xf>
    <xf numFmtId="0" fontId="41" fillId="0" borderId="0" xfId="0" applyFont="1"/>
    <xf numFmtId="0" fontId="41" fillId="0" borderId="9" xfId="0" applyFont="1" applyBorder="1"/>
    <xf numFmtId="0" fontId="42" fillId="0" borderId="0" xfId="0" applyFont="1" applyFill="1"/>
    <xf numFmtId="0" fontId="42" fillId="0" borderId="9" xfId="0" applyFont="1" applyBorder="1"/>
    <xf numFmtId="0" fontId="41" fillId="0" borderId="9" xfId="0" applyFont="1" applyFill="1" applyBorder="1"/>
    <xf numFmtId="0" fontId="41" fillId="0" borderId="9" xfId="0" applyFont="1" applyBorder="1" applyAlignment="1">
      <alignment horizontal="right"/>
    </xf>
    <xf numFmtId="1" fontId="42" fillId="0" borderId="9" xfId="0" applyNumberFormat="1" applyFont="1" applyFill="1" applyBorder="1"/>
    <xf numFmtId="169" fontId="42" fillId="0" borderId="9" xfId="2" applyNumberFormat="1" applyFont="1" applyFill="1" applyBorder="1" applyAlignment="1">
      <alignment horizontal="right"/>
    </xf>
    <xf numFmtId="0" fontId="41" fillId="0" borderId="14" xfId="0" applyFont="1" applyBorder="1"/>
    <xf numFmtId="3" fontId="42" fillId="0" borderId="9" xfId="2" applyNumberFormat="1" applyFont="1" applyBorder="1" applyAlignment="1">
      <alignment horizontal="right"/>
    </xf>
    <xf numFmtId="1" fontId="42" fillId="0" borderId="9" xfId="0" applyNumberFormat="1" applyFont="1" applyBorder="1"/>
    <xf numFmtId="0" fontId="56" fillId="12" borderId="11" xfId="0" applyFont="1" applyFill="1" applyBorder="1"/>
    <xf numFmtId="0" fontId="12" fillId="12" borderId="7" xfId="0" applyFont="1" applyFill="1" applyBorder="1"/>
    <xf numFmtId="0" fontId="12" fillId="12" borderId="12" xfId="0" applyFont="1" applyFill="1" applyBorder="1"/>
    <xf numFmtId="0" fontId="43" fillId="4" borderId="17" xfId="0" applyFont="1" applyFill="1" applyBorder="1"/>
    <xf numFmtId="0" fontId="46" fillId="4" borderId="0" xfId="0" applyFont="1" applyFill="1" applyBorder="1"/>
    <xf numFmtId="3" fontId="14" fillId="4" borderId="0" xfId="0" applyNumberFormat="1" applyFont="1" applyFill="1"/>
    <xf numFmtId="0" fontId="14" fillId="4" borderId="22" xfId="0" applyFont="1" applyFill="1" applyBorder="1"/>
    <xf numFmtId="3" fontId="14" fillId="4" borderId="23" xfId="0" applyNumberFormat="1" applyFont="1" applyFill="1" applyBorder="1"/>
    <xf numFmtId="3" fontId="14" fillId="4" borderId="16" xfId="0" applyNumberFormat="1" applyFont="1" applyFill="1" applyBorder="1"/>
    <xf numFmtId="3" fontId="14" fillId="4" borderId="24" xfId="0" applyNumberFormat="1" applyFont="1" applyFill="1" applyBorder="1"/>
    <xf numFmtId="0" fontId="46" fillId="4" borderId="0" xfId="0" applyFont="1" applyFill="1"/>
    <xf numFmtId="9" fontId="13" fillId="4" borderId="1" xfId="0" applyNumberFormat="1" applyFont="1" applyFill="1" applyBorder="1"/>
    <xf numFmtId="0" fontId="16" fillId="4" borderId="2" xfId="0" applyFont="1" applyFill="1" applyBorder="1"/>
    <xf numFmtId="9" fontId="13" fillId="4" borderId="1" xfId="0" applyNumberFormat="1" applyFont="1" applyFill="1" applyBorder="1" applyProtection="1"/>
    <xf numFmtId="3" fontId="13" fillId="4" borderId="8" xfId="0" applyNumberFormat="1" applyFont="1" applyFill="1" applyBorder="1" applyProtection="1"/>
    <xf numFmtId="3" fontId="13" fillId="4" borderId="1" xfId="0" applyNumberFormat="1" applyFont="1" applyFill="1" applyBorder="1" applyProtection="1"/>
    <xf numFmtId="0" fontId="14" fillId="4" borderId="0" xfId="0" applyFont="1" applyFill="1" applyBorder="1" applyProtection="1"/>
    <xf numFmtId="3" fontId="14" fillId="4" borderId="3" xfId="0" applyNumberFormat="1" applyFont="1" applyFill="1" applyBorder="1" applyProtection="1"/>
    <xf numFmtId="3" fontId="14" fillId="4" borderId="2" xfId="0" applyNumberFormat="1" applyFont="1" applyFill="1" applyBorder="1" applyProtection="1"/>
    <xf numFmtId="3" fontId="14" fillId="4" borderId="0" xfId="0" applyNumberFormat="1" applyFont="1" applyFill="1" applyBorder="1" applyProtection="1"/>
    <xf numFmtId="3" fontId="13" fillId="4" borderId="6" xfId="0" applyNumberFormat="1" applyFont="1" applyFill="1" applyBorder="1" applyProtection="1"/>
    <xf numFmtId="3" fontId="13" fillId="4" borderId="5" xfId="0" applyNumberFormat="1" applyFont="1" applyFill="1" applyBorder="1" applyProtection="1"/>
    <xf numFmtId="0" fontId="42" fillId="13" borderId="9" xfId="0" applyFont="1" applyFill="1" applyBorder="1"/>
    <xf numFmtId="0" fontId="41" fillId="13" borderId="9" xfId="0" applyFont="1" applyFill="1" applyBorder="1"/>
    <xf numFmtId="1" fontId="41" fillId="13" borderId="9" xfId="0" applyNumberFormat="1" applyFont="1" applyFill="1" applyBorder="1"/>
    <xf numFmtId="169" fontId="41" fillId="13" borderId="9" xfId="2" applyNumberFormat="1" applyFont="1" applyFill="1" applyBorder="1" applyAlignment="1">
      <alignment horizontal="right"/>
    </xf>
    <xf numFmtId="1" fontId="42" fillId="13" borderId="9" xfId="0" applyNumberFormat="1" applyFont="1" applyFill="1" applyBorder="1"/>
    <xf numFmtId="0" fontId="42" fillId="13" borderId="9" xfId="0" applyFont="1" applyFill="1" applyBorder="1" applyProtection="1"/>
    <xf numFmtId="1" fontId="42" fillId="13" borderId="9" xfId="0" applyNumberFormat="1" applyFont="1" applyFill="1" applyBorder="1" applyProtection="1"/>
    <xf numFmtId="168" fontId="41" fillId="13" borderId="9" xfId="4" applyNumberFormat="1" applyFont="1" applyFill="1" applyBorder="1" applyAlignment="1" applyProtection="1">
      <alignment horizontal="center" vertical="top"/>
    </xf>
    <xf numFmtId="168" fontId="42" fillId="13" borderId="9" xfId="0" applyNumberFormat="1" applyFont="1" applyFill="1" applyBorder="1" applyProtection="1"/>
    <xf numFmtId="3" fontId="41" fillId="13" borderId="9" xfId="4" applyNumberFormat="1" applyFont="1" applyFill="1" applyBorder="1" applyAlignment="1" applyProtection="1">
      <alignment horizontal="center" vertical="top"/>
    </xf>
    <xf numFmtId="3" fontId="42" fillId="13" borderId="9" xfId="0" applyNumberFormat="1" applyFont="1" applyFill="1" applyBorder="1" applyProtection="1"/>
    <xf numFmtId="0" fontId="13" fillId="2" borderId="0" xfId="0" applyFont="1" applyFill="1" applyProtection="1">
      <protection locked="0"/>
    </xf>
    <xf numFmtId="0" fontId="0" fillId="7" borderId="1" xfId="0" applyFill="1" applyBorder="1"/>
    <xf numFmtId="0" fontId="0" fillId="7" borderId="0" xfId="0" applyFill="1" applyBorder="1"/>
    <xf numFmtId="0" fontId="0" fillId="3" borderId="0" xfId="0" applyFill="1" applyBorder="1"/>
    <xf numFmtId="0" fontId="13" fillId="0" borderId="11" xfId="0" applyFont="1" applyFill="1" applyBorder="1"/>
    <xf numFmtId="0" fontId="13" fillId="3" borderId="0" xfId="0" applyFont="1" applyFill="1" applyBorder="1"/>
    <xf numFmtId="0" fontId="31" fillId="0" borderId="2" xfId="0" applyFont="1" applyBorder="1" applyProtection="1"/>
    <xf numFmtId="0" fontId="13" fillId="0" borderId="8" xfId="0" applyFont="1" applyBorder="1" applyAlignment="1" applyProtection="1">
      <alignment horizontal="right"/>
    </xf>
    <xf numFmtId="0" fontId="18" fillId="9" borderId="0" xfId="0" applyFont="1" applyFill="1" applyBorder="1" applyAlignment="1" applyProtection="1">
      <alignment horizontal="right"/>
    </xf>
    <xf numFmtId="0" fontId="19" fillId="0" borderId="3" xfId="0" applyFont="1" applyBorder="1" applyAlignment="1">
      <alignment horizontal="center"/>
    </xf>
    <xf numFmtId="0" fontId="20" fillId="0" borderId="3" xfId="0" applyFont="1" applyBorder="1"/>
    <xf numFmtId="0" fontId="29" fillId="2" borderId="0" xfId="0" applyFont="1" applyFill="1" applyProtection="1"/>
    <xf numFmtId="0" fontId="12" fillId="2" borderId="0" xfId="0" applyFont="1" applyFill="1"/>
    <xf numFmtId="0" fontId="14" fillId="2" borderId="0" xfId="0" applyFont="1" applyFill="1"/>
    <xf numFmtId="0" fontId="18" fillId="9" borderId="1" xfId="0" applyFont="1" applyFill="1" applyBorder="1" applyAlignment="1" applyProtection="1">
      <alignment horizontal="right"/>
    </xf>
    <xf numFmtId="0" fontId="29" fillId="7" borderId="0" xfId="0" applyFont="1" applyFill="1" applyBorder="1" applyProtection="1"/>
    <xf numFmtId="0" fontId="29" fillId="0" borderId="0" xfId="0" applyFont="1" applyBorder="1" applyProtection="1"/>
    <xf numFmtId="0" fontId="29" fillId="2" borderId="2" xfId="0" applyFont="1" applyFill="1" applyBorder="1" applyProtection="1"/>
    <xf numFmtId="0" fontId="29" fillId="2" borderId="0" xfId="0" applyFont="1" applyFill="1"/>
    <xf numFmtId="0" fontId="4" fillId="0" borderId="0" xfId="0" applyFont="1" applyBorder="1"/>
    <xf numFmtId="0" fontId="0" fillId="2" borderId="1" xfId="0" applyFill="1" applyBorder="1"/>
    <xf numFmtId="0" fontId="0" fillId="2" borderId="0" xfId="0" applyFill="1" applyBorder="1"/>
    <xf numFmtId="0" fontId="20" fillId="2" borderId="0" xfId="0" applyFont="1" applyFill="1" applyBorder="1"/>
    <xf numFmtId="0" fontId="36" fillId="2" borderId="0" xfId="0" applyFont="1" applyFill="1" applyBorder="1"/>
    <xf numFmtId="3" fontId="30" fillId="2" borderId="0" xfId="0" applyNumberFormat="1" applyFont="1" applyFill="1" applyBorder="1"/>
    <xf numFmtId="1" fontId="13" fillId="2" borderId="0" xfId="0" applyNumberFormat="1" applyFont="1" applyFill="1" applyBorder="1"/>
    <xf numFmtId="0" fontId="0" fillId="2" borderId="0" xfId="0" applyFill="1"/>
    <xf numFmtId="0" fontId="16" fillId="2" borderId="0" xfId="0" applyFont="1" applyFill="1"/>
    <xf numFmtId="0" fontId="29" fillId="2" borderId="1" xfId="0" applyFont="1" applyFill="1" applyBorder="1"/>
    <xf numFmtId="0" fontId="29" fillId="2" borderId="0" xfId="0" applyFont="1" applyFill="1" applyBorder="1"/>
    <xf numFmtId="0" fontId="42" fillId="2" borderId="0" xfId="0" applyFont="1" applyFill="1"/>
    <xf numFmtId="0" fontId="20" fillId="2" borderId="0" xfId="0" applyFont="1" applyFill="1"/>
    <xf numFmtId="0" fontId="14" fillId="2" borderId="0" xfId="0" applyFont="1" applyFill="1" applyBorder="1"/>
    <xf numFmtId="3" fontId="13" fillId="2" borderId="0" xfId="0" applyNumberFormat="1" applyFont="1" applyFill="1" applyBorder="1"/>
    <xf numFmtId="0" fontId="14" fillId="2" borderId="1" xfId="0" applyFont="1" applyFill="1" applyBorder="1"/>
    <xf numFmtId="0" fontId="45" fillId="2" borderId="0" xfId="0" applyFont="1" applyFill="1" applyProtection="1"/>
    <xf numFmtId="0" fontId="45" fillId="2" borderId="0" xfId="0" applyFont="1" applyFill="1" applyBorder="1" applyProtection="1"/>
    <xf numFmtId="2" fontId="13" fillId="4" borderId="3" xfId="0" applyNumberFormat="1" applyFont="1" applyFill="1" applyBorder="1" applyAlignment="1">
      <alignment horizontal="right"/>
    </xf>
    <xf numFmtId="10" fontId="13" fillId="4" borderId="3" xfId="6" applyNumberFormat="1" applyFont="1" applyFill="1" applyBorder="1" applyAlignment="1">
      <alignment horizontal="right"/>
    </xf>
    <xf numFmtId="0" fontId="13" fillId="2" borderId="9" xfId="0" applyFont="1" applyFill="1" applyBorder="1" applyProtection="1">
      <protection locked="0"/>
    </xf>
    <xf numFmtId="0" fontId="13" fillId="2" borderId="12" xfId="0" applyFont="1" applyFill="1" applyBorder="1" applyProtection="1">
      <protection locked="0"/>
    </xf>
    <xf numFmtId="0" fontId="45" fillId="3" borderId="7" xfId="0" applyFont="1" applyFill="1" applyBorder="1"/>
    <xf numFmtId="0" fontId="45" fillId="3" borderId="12" xfId="0" applyFont="1" applyFill="1" applyBorder="1"/>
    <xf numFmtId="0" fontId="13" fillId="4" borderId="2" xfId="0" applyFont="1" applyFill="1" applyBorder="1" applyAlignment="1" applyProtection="1">
      <alignment vertical="top"/>
      <protection locked="0"/>
    </xf>
    <xf numFmtId="0" fontId="13" fillId="4" borderId="3" xfId="0" applyFont="1" applyFill="1" applyBorder="1" applyAlignment="1" applyProtection="1">
      <alignment vertical="top"/>
      <protection locked="0"/>
    </xf>
    <xf numFmtId="0" fontId="13" fillId="0" borderId="12" xfId="0" applyFont="1" applyFill="1" applyBorder="1" applyProtection="1">
      <protection locked="0"/>
    </xf>
    <xf numFmtId="0" fontId="13" fillId="0" borderId="7" xfId="0" applyFont="1" applyBorder="1" applyProtection="1">
      <protection locked="0"/>
    </xf>
    <xf numFmtId="0" fontId="37" fillId="0" borderId="0" xfId="0" applyFont="1" applyBorder="1"/>
    <xf numFmtId="0" fontId="17" fillId="9" borderId="49" xfId="0" applyFont="1" applyFill="1" applyBorder="1"/>
    <xf numFmtId="0" fontId="17" fillId="9" borderId="48" xfId="0" applyFont="1" applyFill="1" applyBorder="1"/>
    <xf numFmtId="0" fontId="17" fillId="9" borderId="48" xfId="0" applyFont="1" applyFill="1" applyBorder="1" applyAlignment="1">
      <alignment horizontal="right"/>
    </xf>
    <xf numFmtId="0" fontId="17" fillId="9" borderId="50" xfId="0" applyFont="1" applyFill="1" applyBorder="1"/>
    <xf numFmtId="0" fontId="17" fillId="9" borderId="35" xfId="0" applyFont="1" applyFill="1" applyBorder="1" applyAlignment="1">
      <alignment horizontal="right"/>
    </xf>
    <xf numFmtId="0" fontId="17" fillId="9" borderId="27" xfId="0" applyFont="1" applyFill="1" applyBorder="1"/>
    <xf numFmtId="0" fontId="17" fillId="9" borderId="25" xfId="0" applyFont="1" applyFill="1" applyBorder="1" applyAlignment="1">
      <alignment horizontal="right"/>
    </xf>
    <xf numFmtId="0" fontId="33" fillId="0" borderId="0" xfId="0" applyFont="1" applyFill="1" applyBorder="1"/>
    <xf numFmtId="0" fontId="33" fillId="0" borderId="0" xfId="0" applyFont="1" applyFill="1"/>
    <xf numFmtId="0" fontId="13" fillId="0" borderId="0" xfId="0" applyFont="1" applyFill="1" applyAlignment="1">
      <alignment horizontal="right"/>
    </xf>
    <xf numFmtId="0" fontId="13" fillId="0" borderId="16" xfId="0" applyFont="1" applyFill="1" applyBorder="1"/>
    <xf numFmtId="0" fontId="13" fillId="0" borderId="48" xfId="0" applyFont="1" applyFill="1" applyBorder="1"/>
    <xf numFmtId="0" fontId="13" fillId="0" borderId="48" xfId="0" applyFont="1" applyFill="1" applyBorder="1" applyAlignment="1">
      <alignment horizontal="right"/>
    </xf>
    <xf numFmtId="173" fontId="41" fillId="0" borderId="0" xfId="4" applyNumberFormat="1" applyFont="1" applyFill="1" applyBorder="1" applyAlignment="1" applyProtection="1">
      <alignment horizontal="center" vertical="top"/>
    </xf>
    <xf numFmtId="173" fontId="42" fillId="0" borderId="19" xfId="0" applyNumberFormat="1" applyFont="1" applyFill="1" applyBorder="1" applyProtection="1"/>
    <xf numFmtId="173" fontId="42" fillId="0" borderId="0" xfId="0" applyNumberFormat="1" applyFont="1" applyFill="1" applyBorder="1" applyAlignment="1" applyProtection="1"/>
    <xf numFmtId="173" fontId="41" fillId="0" borderId="0" xfId="0" applyNumberFormat="1" applyFont="1" applyFill="1" applyBorder="1" applyAlignment="1" applyProtection="1">
      <alignment horizontal="center" vertical="top"/>
    </xf>
    <xf numFmtId="3" fontId="13" fillId="6" borderId="9" xfId="4" applyNumberFormat="1" applyFont="1" applyFill="1" applyBorder="1" applyAlignment="1" applyProtection="1">
      <alignment horizontal="center" vertical="top"/>
      <protection locked="0"/>
    </xf>
    <xf numFmtId="166" fontId="13" fillId="6" borderId="9" xfId="0" applyNumberFormat="1" applyFont="1" applyFill="1" applyBorder="1" applyAlignment="1" applyProtection="1">
      <alignment horizontal="center"/>
      <protection locked="0"/>
    </xf>
    <xf numFmtId="9" fontId="13" fillId="6" borderId="1" xfId="0" applyNumberFormat="1" applyFont="1" applyFill="1" applyBorder="1" applyProtection="1">
      <protection locked="0"/>
    </xf>
    <xf numFmtId="0" fontId="13" fillId="6" borderId="9" xfId="0" applyFont="1" applyFill="1" applyBorder="1" applyProtection="1">
      <protection locked="0"/>
    </xf>
    <xf numFmtId="1" fontId="14" fillId="0" borderId="3" xfId="0" applyNumberFormat="1" applyFont="1" applyFill="1" applyBorder="1"/>
    <xf numFmtId="0" fontId="15" fillId="0" borderId="7" xfId="0" applyFont="1" applyBorder="1"/>
    <xf numFmtId="0" fontId="0" fillId="2" borderId="2" xfId="0" applyFill="1" applyBorder="1" applyAlignment="1"/>
    <xf numFmtId="166" fontId="13" fillId="3" borderId="9" xfId="6" applyNumberFormat="1" applyFont="1" applyFill="1" applyBorder="1" applyProtection="1">
      <protection locked="0"/>
    </xf>
    <xf numFmtId="0" fontId="13" fillId="0" borderId="7" xfId="0" applyFont="1" applyFill="1" applyBorder="1" applyAlignment="1" applyProtection="1">
      <protection locked="0"/>
    </xf>
    <xf numFmtId="3" fontId="13" fillId="3" borderId="0" xfId="2" applyNumberFormat="1" applyFont="1" applyFill="1" applyBorder="1" applyAlignment="1">
      <alignment horizontal="right"/>
    </xf>
    <xf numFmtId="3" fontId="13" fillId="3" borderId="6" xfId="2" applyNumberFormat="1" applyFont="1" applyFill="1" applyBorder="1" applyAlignment="1">
      <alignment horizontal="right"/>
    </xf>
    <xf numFmtId="3" fontId="13" fillId="3" borderId="0" xfId="0" applyNumberFormat="1" applyFont="1" applyFill="1"/>
    <xf numFmtId="3" fontId="13" fillId="3" borderId="5" xfId="2" applyNumberFormat="1" applyFont="1" applyFill="1" applyBorder="1" applyAlignment="1">
      <alignment horizontal="right"/>
    </xf>
    <xf numFmtId="3" fontId="13" fillId="3" borderId="3" xfId="2" applyNumberFormat="1" applyFont="1" applyFill="1" applyBorder="1" applyAlignment="1">
      <alignment horizontal="right"/>
    </xf>
    <xf numFmtId="0" fontId="46" fillId="0" borderId="0" xfId="0" applyFont="1" applyFill="1"/>
    <xf numFmtId="3" fontId="13" fillId="0" borderId="8" xfId="0" applyNumberFormat="1" applyFont="1" applyFill="1" applyBorder="1" applyProtection="1">
      <protection locked="0"/>
    </xf>
    <xf numFmtId="3" fontId="14" fillId="4" borderId="18" xfId="0" applyNumberFormat="1" applyFont="1" applyFill="1" applyBorder="1" applyAlignment="1">
      <alignment horizontal="right"/>
    </xf>
    <xf numFmtId="3" fontId="14" fillId="4" borderId="33" xfId="0" applyNumberFormat="1" applyFont="1" applyFill="1" applyBorder="1" applyAlignment="1">
      <alignment horizontal="right"/>
    </xf>
    <xf numFmtId="3" fontId="14" fillId="4" borderId="8" xfId="0" applyNumberFormat="1" applyFont="1" applyFill="1" applyBorder="1" applyAlignment="1">
      <alignment horizontal="right"/>
    </xf>
    <xf numFmtId="3" fontId="14" fillId="4" borderId="25" xfId="0" applyNumberFormat="1" applyFont="1" applyFill="1" applyBorder="1" applyAlignment="1">
      <alignment horizontal="right"/>
    </xf>
    <xf numFmtId="3" fontId="14" fillId="4" borderId="35" xfId="0" applyNumberFormat="1" applyFont="1" applyFill="1" applyBorder="1" applyAlignment="1">
      <alignment horizontal="right"/>
    </xf>
    <xf numFmtId="1" fontId="13" fillId="4" borderId="6" xfId="0" applyNumberFormat="1" applyFont="1" applyFill="1" applyBorder="1" applyAlignment="1">
      <alignment horizontal="right"/>
    </xf>
    <xf numFmtId="0" fontId="32" fillId="0" borderId="0" xfId="0" applyFont="1" applyFill="1" applyBorder="1" applyAlignment="1" applyProtection="1">
      <alignment horizontal="center"/>
    </xf>
    <xf numFmtId="0" fontId="32" fillId="0" borderId="9" xfId="0" applyFont="1" applyFill="1" applyBorder="1" applyProtection="1"/>
    <xf numFmtId="0" fontId="39" fillId="3" borderId="7" xfId="0" applyFont="1" applyFill="1" applyBorder="1" applyProtection="1"/>
    <xf numFmtId="0" fontId="36" fillId="3" borderId="7" xfId="0" applyFont="1" applyFill="1" applyBorder="1" applyProtection="1"/>
    <xf numFmtId="0" fontId="36" fillId="3" borderId="12" xfId="0" applyFont="1" applyFill="1" applyBorder="1" applyProtection="1"/>
    <xf numFmtId="0" fontId="14" fillId="0" borderId="0" xfId="0" applyFont="1" applyProtection="1"/>
    <xf numFmtId="0" fontId="33" fillId="4" borderId="0" xfId="0" applyFont="1" applyFill="1" applyBorder="1" applyProtection="1"/>
    <xf numFmtId="0" fontId="30" fillId="4" borderId="0" xfId="0" applyFont="1" applyFill="1" applyBorder="1" applyProtection="1"/>
    <xf numFmtId="0" fontId="30" fillId="4" borderId="8" xfId="0" applyFont="1" applyFill="1" applyBorder="1" applyProtection="1"/>
    <xf numFmtId="3" fontId="33" fillId="4" borderId="0" xfId="0" applyNumberFormat="1" applyFont="1" applyFill="1" applyBorder="1" applyProtection="1"/>
    <xf numFmtId="3" fontId="13" fillId="4" borderId="0" xfId="0" applyNumberFormat="1" applyFont="1" applyFill="1" applyBorder="1" applyProtection="1"/>
    <xf numFmtId="3" fontId="13" fillId="4" borderId="3" xfId="0" applyNumberFormat="1" applyFont="1" applyFill="1" applyBorder="1" applyProtection="1"/>
    <xf numFmtId="0" fontId="14" fillId="0" borderId="3" xfId="0" applyFont="1" applyBorder="1" applyProtection="1"/>
    <xf numFmtId="3" fontId="39" fillId="4" borderId="0" xfId="0" applyNumberFormat="1" applyFont="1" applyFill="1" applyBorder="1" applyProtection="1"/>
    <xf numFmtId="0" fontId="13" fillId="0" borderId="3" xfId="0" applyFont="1" applyFill="1" applyBorder="1" applyProtection="1"/>
    <xf numFmtId="3" fontId="33" fillId="4" borderId="5" xfId="0" applyNumberFormat="1" applyFont="1" applyFill="1" applyBorder="1" applyProtection="1"/>
    <xf numFmtId="0" fontId="14" fillId="4" borderId="11" xfId="0" applyFont="1" applyFill="1" applyBorder="1" applyProtection="1"/>
    <xf numFmtId="0" fontId="14" fillId="4" borderId="12" xfId="0" applyFont="1" applyFill="1" applyBorder="1" applyProtection="1"/>
    <xf numFmtId="3" fontId="39" fillId="4" borderId="7" xfId="0" applyNumberFormat="1" applyFont="1" applyFill="1" applyBorder="1" applyProtection="1"/>
    <xf numFmtId="3" fontId="14" fillId="4" borderId="7" xfId="0" applyNumberFormat="1" applyFont="1" applyFill="1" applyBorder="1" applyProtection="1"/>
    <xf numFmtId="0" fontId="14" fillId="4" borderId="7" xfId="0" applyFont="1" applyFill="1" applyBorder="1" applyProtection="1"/>
    <xf numFmtId="3" fontId="14" fillId="4" borderId="12" xfId="0" applyNumberFormat="1" applyFont="1" applyFill="1" applyBorder="1" applyProtection="1"/>
    <xf numFmtId="0" fontId="14" fillId="0" borderId="4" xfId="0" applyFont="1" applyFill="1" applyBorder="1" applyProtection="1"/>
    <xf numFmtId="0" fontId="14" fillId="0" borderId="6" xfId="0" applyFont="1" applyFill="1" applyBorder="1" applyProtection="1"/>
    <xf numFmtId="3" fontId="39" fillId="0" borderId="5" xfId="0" applyNumberFormat="1" applyFont="1" applyFill="1" applyBorder="1" applyProtection="1"/>
    <xf numFmtId="3" fontId="14" fillId="0" borderId="5" xfId="0" applyNumberFormat="1" applyFont="1" applyFill="1" applyBorder="1" applyProtection="1"/>
    <xf numFmtId="0" fontId="14" fillId="0" borderId="5" xfId="0" applyFont="1" applyFill="1" applyBorder="1" applyProtection="1"/>
    <xf numFmtId="3" fontId="14" fillId="0" borderId="6" xfId="0" applyNumberFormat="1" applyFont="1" applyFill="1" applyBorder="1" applyProtection="1"/>
    <xf numFmtId="0" fontId="33" fillId="4" borderId="1" xfId="0" applyFont="1" applyFill="1" applyBorder="1" applyProtection="1"/>
    <xf numFmtId="0" fontId="14" fillId="4" borderId="3" xfId="0" applyFont="1" applyFill="1" applyBorder="1" applyProtection="1"/>
    <xf numFmtId="0" fontId="14" fillId="4" borderId="4" xfId="0" applyFont="1" applyFill="1" applyBorder="1" applyProtection="1"/>
    <xf numFmtId="0" fontId="33" fillId="4" borderId="5" xfId="0" applyFont="1" applyFill="1" applyBorder="1" applyProtection="1"/>
    <xf numFmtId="0" fontId="33" fillId="0" borderId="0" xfId="0" applyFont="1" applyBorder="1" applyProtection="1"/>
    <xf numFmtId="0" fontId="33" fillId="3" borderId="7" xfId="0" applyFont="1" applyFill="1" applyBorder="1" applyProtection="1"/>
    <xf numFmtId="0" fontId="13" fillId="4" borderId="0" xfId="0" applyFont="1" applyFill="1" applyProtection="1"/>
    <xf numFmtId="0" fontId="13" fillId="4" borderId="7" xfId="0" applyFont="1" applyFill="1" applyBorder="1" applyProtection="1"/>
    <xf numFmtId="0" fontId="16" fillId="4" borderId="2" xfId="0" applyFont="1" applyFill="1" applyBorder="1" applyProtection="1"/>
    <xf numFmtId="0" fontId="33" fillId="0" borderId="0" xfId="0" applyFont="1" applyProtection="1"/>
    <xf numFmtId="3" fontId="33" fillId="0" borderId="0" xfId="0" applyNumberFormat="1" applyFont="1" applyProtection="1"/>
    <xf numFmtId="3" fontId="13" fillId="0" borderId="0" xfId="0" applyNumberFormat="1" applyFont="1" applyProtection="1"/>
    <xf numFmtId="3" fontId="13" fillId="0" borderId="0" xfId="0" applyNumberFormat="1" applyFont="1" applyFill="1" applyProtection="1"/>
    <xf numFmtId="0" fontId="30" fillId="0" borderId="8" xfId="0" applyFont="1" applyFill="1" applyBorder="1"/>
    <xf numFmtId="3" fontId="13" fillId="4" borderId="0" xfId="0" applyNumberFormat="1" applyFont="1" applyFill="1" applyAlignment="1">
      <alignment horizontal="right"/>
    </xf>
    <xf numFmtId="166" fontId="13" fillId="4" borderId="0" xfId="0" applyNumberFormat="1" applyFont="1" applyFill="1" applyAlignment="1">
      <alignment horizontal="right"/>
    </xf>
    <xf numFmtId="4" fontId="13" fillId="4" borderId="0" xfId="0" applyNumberFormat="1" applyFont="1" applyFill="1" applyBorder="1" applyAlignment="1">
      <alignment horizontal="right"/>
    </xf>
    <xf numFmtId="1" fontId="13" fillId="4" borderId="5" xfId="0" applyNumberFormat="1" applyFont="1" applyFill="1" applyBorder="1" applyAlignment="1">
      <alignment horizontal="right"/>
    </xf>
    <xf numFmtId="1" fontId="13" fillId="4" borderId="0" xfId="0" applyNumberFormat="1" applyFont="1" applyFill="1" applyAlignment="1">
      <alignment horizontal="right"/>
    </xf>
    <xf numFmtId="166" fontId="13" fillId="4" borderId="0" xfId="0" applyNumberFormat="1" applyFont="1" applyFill="1"/>
    <xf numFmtId="0" fontId="34" fillId="0" borderId="19" xfId="0" applyFont="1" applyFill="1" applyBorder="1"/>
    <xf numFmtId="0" fontId="16" fillId="0" borderId="26" xfId="0" applyFont="1" applyFill="1" applyBorder="1" applyAlignment="1">
      <alignment horizontal="right"/>
    </xf>
    <xf numFmtId="0" fontId="45" fillId="2" borderId="0" xfId="0" applyFont="1" applyFill="1"/>
    <xf numFmtId="0" fontId="16" fillId="3" borderId="52" xfId="0" applyFont="1" applyFill="1" applyBorder="1" applyAlignment="1">
      <alignment horizontal="right"/>
    </xf>
    <xf numFmtId="0" fontId="16" fillId="3" borderId="53" xfId="0" applyFont="1" applyFill="1" applyBorder="1" applyAlignment="1">
      <alignment horizontal="right"/>
    </xf>
    <xf numFmtId="0" fontId="16" fillId="3" borderId="54" xfId="0" applyFont="1" applyFill="1" applyBorder="1" applyAlignment="1">
      <alignment horizontal="right"/>
    </xf>
    <xf numFmtId="0" fontId="13" fillId="0" borderId="27" xfId="0" applyFont="1" applyFill="1" applyBorder="1"/>
    <xf numFmtId="0" fontId="13" fillId="4" borderId="38" xfId="0" applyFont="1" applyFill="1" applyBorder="1"/>
    <xf numFmtId="0" fontId="13" fillId="4" borderId="15" xfId="0" applyFont="1" applyFill="1" applyBorder="1"/>
    <xf numFmtId="0" fontId="13" fillId="4" borderId="39" xfId="0" applyFont="1" applyFill="1" applyBorder="1"/>
    <xf numFmtId="0" fontId="13" fillId="0" borderId="17" xfId="0" applyFont="1" applyFill="1" applyBorder="1"/>
    <xf numFmtId="3" fontId="13" fillId="4" borderId="38" xfId="0" applyNumberFormat="1" applyFont="1" applyFill="1" applyBorder="1"/>
    <xf numFmtId="3" fontId="13" fillId="4" borderId="15" xfId="0" applyNumberFormat="1" applyFont="1" applyFill="1" applyBorder="1"/>
    <xf numFmtId="3" fontId="13" fillId="4" borderId="39" xfId="0" applyNumberFormat="1" applyFont="1" applyFill="1" applyBorder="1"/>
    <xf numFmtId="3" fontId="13" fillId="4" borderId="40" xfId="0" applyNumberFormat="1" applyFont="1" applyFill="1" applyBorder="1"/>
    <xf numFmtId="3" fontId="13" fillId="4" borderId="14" xfId="0" applyNumberFormat="1" applyFont="1" applyFill="1" applyBorder="1"/>
    <xf numFmtId="3" fontId="13" fillId="4" borderId="41" xfId="0" applyNumberFormat="1" applyFont="1" applyFill="1" applyBorder="1"/>
    <xf numFmtId="0" fontId="13" fillId="4" borderId="40" xfId="0" applyFont="1" applyFill="1" applyBorder="1"/>
    <xf numFmtId="0" fontId="13" fillId="4" borderId="14" xfId="0" applyFont="1" applyFill="1" applyBorder="1"/>
    <xf numFmtId="0" fontId="13" fillId="4" borderId="41" xfId="0" applyFont="1" applyFill="1" applyBorder="1"/>
    <xf numFmtId="3" fontId="14" fillId="4" borderId="38" xfId="0" applyNumberFormat="1" applyFont="1" applyFill="1" applyBorder="1"/>
    <xf numFmtId="3" fontId="14" fillId="4" borderId="15" xfId="0" applyNumberFormat="1" applyFont="1" applyFill="1" applyBorder="1"/>
    <xf numFmtId="3" fontId="14" fillId="4" borderId="39" xfId="0" applyNumberFormat="1" applyFont="1" applyFill="1" applyBorder="1"/>
    <xf numFmtId="3" fontId="14" fillId="2" borderId="0" xfId="0" applyNumberFormat="1" applyFont="1" applyFill="1"/>
    <xf numFmtId="0" fontId="14" fillId="4" borderId="0" xfId="0" applyFont="1" applyFill="1"/>
    <xf numFmtId="0" fontId="14" fillId="0" borderId="26" xfId="0" applyFont="1" applyFill="1" applyBorder="1"/>
    <xf numFmtId="3" fontId="14" fillId="4" borderId="40" xfId="0" applyNumberFormat="1" applyFont="1" applyFill="1" applyBorder="1"/>
    <xf numFmtId="3" fontId="14" fillId="4" borderId="14" xfId="0" applyNumberFormat="1" applyFont="1" applyFill="1" applyBorder="1"/>
    <xf numFmtId="3" fontId="14" fillId="4" borderId="41" xfId="0" applyNumberFormat="1" applyFont="1" applyFill="1" applyBorder="1"/>
    <xf numFmtId="0" fontId="13" fillId="4" borderId="36" xfId="0" applyFont="1" applyFill="1" applyBorder="1"/>
    <xf numFmtId="0" fontId="13" fillId="4" borderId="37" xfId="0" applyFont="1" applyFill="1" applyBorder="1"/>
    <xf numFmtId="166" fontId="14" fillId="0" borderId="17" xfId="0" applyNumberFormat="1" applyFont="1" applyFill="1" applyBorder="1"/>
    <xf numFmtId="166" fontId="14" fillId="4" borderId="38" xfId="0" applyNumberFormat="1" applyFont="1" applyFill="1" applyBorder="1" applyAlignment="1">
      <alignment horizontal="right"/>
    </xf>
    <xf numFmtId="166" fontId="14" fillId="4" borderId="15" xfId="0" applyNumberFormat="1" applyFont="1" applyFill="1" applyBorder="1" applyAlignment="1">
      <alignment horizontal="right"/>
    </xf>
    <xf numFmtId="166" fontId="14" fillId="4" borderId="39" xfId="0" applyNumberFormat="1" applyFont="1" applyFill="1" applyBorder="1" applyAlignment="1">
      <alignment horizontal="right"/>
    </xf>
    <xf numFmtId="166" fontId="14" fillId="2" borderId="0" xfId="0" applyNumberFormat="1" applyFont="1" applyFill="1"/>
    <xf numFmtId="166" fontId="14" fillId="4" borderId="0" xfId="0" applyNumberFormat="1" applyFont="1" applyFill="1"/>
    <xf numFmtId="0" fontId="14" fillId="0" borderId="17" xfId="0" applyFont="1" applyFill="1" applyBorder="1" applyAlignment="1">
      <alignment horizontal="left"/>
    </xf>
    <xf numFmtId="0" fontId="14" fillId="4" borderId="15" xfId="0" applyNumberFormat="1" applyFont="1" applyFill="1" applyBorder="1" applyAlignment="1">
      <alignment horizontal="right"/>
    </xf>
    <xf numFmtId="0" fontId="14" fillId="2" borderId="0" xfId="0" applyFont="1" applyFill="1" applyAlignment="1">
      <alignment horizontal="right"/>
    </xf>
    <xf numFmtId="0" fontId="14" fillId="4" borderId="0" xfId="0" applyFont="1" applyFill="1" applyAlignment="1">
      <alignment horizontal="right"/>
    </xf>
    <xf numFmtId="0" fontId="13" fillId="0" borderId="17" xfId="0" applyFont="1" applyFill="1" applyBorder="1" applyAlignment="1">
      <alignment horizontal="left"/>
    </xf>
    <xf numFmtId="0" fontId="16" fillId="2" borderId="0" xfId="0" applyFont="1" applyFill="1" applyBorder="1" applyAlignment="1">
      <alignment horizontal="right"/>
    </xf>
    <xf numFmtId="3" fontId="14" fillId="4" borderId="36" xfId="0" applyNumberFormat="1" applyFont="1" applyFill="1" applyBorder="1"/>
    <xf numFmtId="3" fontId="14" fillId="4" borderId="13" xfId="0" applyNumberFormat="1" applyFont="1" applyFill="1" applyBorder="1"/>
    <xf numFmtId="3" fontId="14" fillId="4" borderId="37" xfId="0" applyNumberFormat="1" applyFont="1" applyFill="1" applyBorder="1"/>
    <xf numFmtId="0" fontId="13" fillId="0" borderId="26" xfId="0" applyFont="1" applyFill="1" applyBorder="1"/>
    <xf numFmtId="0" fontId="13" fillId="4" borderId="42" xfId="0" applyFont="1" applyFill="1" applyBorder="1"/>
    <xf numFmtId="0" fontId="13" fillId="4" borderId="43" xfId="0" applyFont="1" applyFill="1" applyBorder="1"/>
    <xf numFmtId="0" fontId="13" fillId="4" borderId="44" xfId="0" applyFont="1" applyFill="1" applyBorder="1"/>
    <xf numFmtId="3" fontId="14" fillId="2" borderId="0" xfId="0" applyNumberFormat="1" applyFont="1" applyFill="1" applyAlignment="1">
      <alignment horizontal="right"/>
    </xf>
    <xf numFmtId="0" fontId="14" fillId="0" borderId="0" xfId="0" applyFont="1" applyAlignment="1">
      <alignment horizontal="right"/>
    </xf>
    <xf numFmtId="0" fontId="13" fillId="2" borderId="0" xfId="0" applyFont="1" applyFill="1" applyAlignment="1">
      <alignment horizontal="right"/>
    </xf>
    <xf numFmtId="0" fontId="13" fillId="4" borderId="19" xfId="0" applyFont="1" applyFill="1" applyBorder="1"/>
    <xf numFmtId="0" fontId="18" fillId="9" borderId="7" xfId="0" applyFont="1" applyFill="1" applyBorder="1" applyAlignment="1">
      <alignment horizontal="right"/>
    </xf>
    <xf numFmtId="3" fontId="13" fillId="0" borderId="14" xfId="2" applyNumberFormat="1" applyFont="1" applyFill="1" applyBorder="1" applyAlignment="1">
      <alignment horizontal="right"/>
    </xf>
    <xf numFmtId="0" fontId="13" fillId="0" borderId="13" xfId="0" applyFont="1" applyBorder="1" applyAlignment="1">
      <alignment horizontal="right"/>
    </xf>
    <xf numFmtId="0" fontId="17" fillId="9" borderId="7" xfId="0" applyFont="1" applyFill="1" applyBorder="1" applyAlignment="1">
      <alignment horizontal="right"/>
    </xf>
    <xf numFmtId="0" fontId="0" fillId="2" borderId="7" xfId="0" applyFill="1" applyBorder="1"/>
    <xf numFmtId="0" fontId="0" fillId="0" borderId="7" xfId="0" applyFill="1" applyBorder="1"/>
    <xf numFmtId="3" fontId="13" fillId="4" borderId="15" xfId="2" applyNumberFormat="1" applyFont="1" applyFill="1" applyBorder="1" applyAlignment="1" applyProtection="1">
      <alignment horizontal="right"/>
    </xf>
    <xf numFmtId="166" fontId="13" fillId="3" borderId="13" xfId="6" applyNumberFormat="1" applyFont="1" applyFill="1" applyBorder="1" applyProtection="1"/>
    <xf numFmtId="3" fontId="39" fillId="0" borderId="0" xfId="0" applyNumberFormat="1" applyFont="1" applyFill="1" applyBorder="1" applyProtection="1"/>
    <xf numFmtId="0" fontId="27" fillId="4" borderId="0" xfId="1" applyFont="1" applyFill="1" applyBorder="1" applyAlignment="1" applyProtection="1">
      <protection locked="0"/>
    </xf>
    <xf numFmtId="0" fontId="27" fillId="4" borderId="0" xfId="1" quotePrefix="1" applyFont="1" applyFill="1" applyBorder="1" applyAlignment="1" applyProtection="1">
      <protection locked="0"/>
    </xf>
    <xf numFmtId="1" fontId="27" fillId="4" borderId="0" xfId="1" applyNumberFormat="1" applyFont="1" applyFill="1" applyBorder="1" applyAlignment="1" applyProtection="1">
      <protection locked="0"/>
    </xf>
    <xf numFmtId="0" fontId="28" fillId="4" borderId="0" xfId="1" applyFont="1" applyFill="1" applyBorder="1" applyAlignment="1" applyProtection="1">
      <protection locked="0"/>
    </xf>
    <xf numFmtId="0" fontId="26" fillId="4" borderId="0" xfId="1" applyFont="1" applyFill="1" applyBorder="1" applyAlignment="1" applyProtection="1">
      <protection locked="0"/>
    </xf>
    <xf numFmtId="0" fontId="14" fillId="4" borderId="0" xfId="0" applyFont="1" applyFill="1" applyBorder="1" applyProtection="1">
      <protection locked="0"/>
    </xf>
    <xf numFmtId="0" fontId="15" fillId="4" borderId="0" xfId="0" applyFont="1" applyFill="1" applyBorder="1" applyProtection="1">
      <protection locked="0"/>
    </xf>
    <xf numFmtId="0" fontId="15" fillId="4" borderId="11" xfId="0" applyFont="1" applyFill="1" applyBorder="1" applyProtection="1">
      <protection locked="0"/>
    </xf>
    <xf numFmtId="49" fontId="13" fillId="4" borderId="8" xfId="0" applyNumberFormat="1" applyFont="1" applyFill="1" applyBorder="1"/>
    <xf numFmtId="49" fontId="13" fillId="4" borderId="3" xfId="0" applyNumberFormat="1" applyFont="1" applyFill="1" applyBorder="1"/>
    <xf numFmtId="0" fontId="13" fillId="4" borderId="1" xfId="0" applyFont="1" applyFill="1" applyBorder="1" applyAlignment="1" applyProtection="1">
      <alignment horizontal="right"/>
      <protection locked="0"/>
    </xf>
    <xf numFmtId="14" fontId="34" fillId="4" borderId="1" xfId="0" applyNumberFormat="1" applyFont="1" applyFill="1" applyBorder="1" applyProtection="1">
      <protection locked="0"/>
    </xf>
    <xf numFmtId="14" fontId="20" fillId="4" borderId="1" xfId="0" applyNumberFormat="1" applyFont="1" applyFill="1" applyBorder="1" applyAlignment="1" applyProtection="1">
      <alignment horizontal="right"/>
      <protection locked="0"/>
    </xf>
    <xf numFmtId="14" fontId="23" fillId="4" borderId="1" xfId="0" applyNumberFormat="1" applyFont="1" applyFill="1" applyBorder="1" applyProtection="1">
      <protection locked="0"/>
    </xf>
    <xf numFmtId="0" fontId="20" fillId="4" borderId="1" xfId="0" applyFont="1" applyFill="1" applyBorder="1" applyProtection="1">
      <protection locked="0"/>
    </xf>
    <xf numFmtId="0" fontId="35" fillId="4" borderId="8" xfId="0" applyFont="1" applyFill="1" applyBorder="1" applyProtection="1">
      <protection locked="0"/>
    </xf>
    <xf numFmtId="0" fontId="13" fillId="4" borderId="0" xfId="0" applyFont="1" applyFill="1" applyBorder="1" applyAlignment="1" applyProtection="1">
      <alignment horizontal="right"/>
      <protection locked="0"/>
    </xf>
    <xf numFmtId="14" fontId="34" fillId="4" borderId="0" xfId="0" applyNumberFormat="1" applyFont="1" applyFill="1" applyBorder="1" applyProtection="1">
      <protection locked="0"/>
    </xf>
    <xf numFmtId="14" fontId="20" fillId="4" borderId="0" xfId="0" applyNumberFormat="1" applyFont="1" applyFill="1" applyBorder="1" applyAlignment="1" applyProtection="1">
      <alignment horizontal="right"/>
      <protection locked="0"/>
    </xf>
    <xf numFmtId="14" fontId="23" fillId="4" borderId="0" xfId="0" applyNumberFormat="1" applyFont="1" applyFill="1" applyBorder="1" applyProtection="1">
      <protection locked="0"/>
    </xf>
    <xf numFmtId="0" fontId="20" fillId="4" borderId="0" xfId="0" applyFont="1" applyFill="1" applyBorder="1" applyProtection="1">
      <protection locked="0"/>
    </xf>
    <xf numFmtId="0" fontId="35" fillId="4" borderId="3" xfId="0" applyFont="1" applyFill="1" applyBorder="1" applyProtection="1">
      <protection locked="0"/>
    </xf>
    <xf numFmtId="3" fontId="0" fillId="4" borderId="15" xfId="0" quotePrefix="1" applyNumberFormat="1" applyFill="1" applyBorder="1" applyProtection="1"/>
    <xf numFmtId="3" fontId="0" fillId="4" borderId="3" xfId="0" quotePrefix="1" applyNumberFormat="1" applyFill="1" applyBorder="1" applyProtection="1"/>
    <xf numFmtId="3" fontId="13" fillId="4" borderId="3" xfId="2" applyNumberFormat="1" applyFont="1" applyFill="1" applyBorder="1" applyAlignment="1" applyProtection="1">
      <alignment horizontal="right"/>
    </xf>
    <xf numFmtId="3" fontId="13" fillId="4" borderId="14" xfId="2" applyNumberFormat="1" applyFont="1" applyFill="1" applyBorder="1" applyAlignment="1" applyProtection="1">
      <alignment horizontal="right"/>
    </xf>
    <xf numFmtId="3" fontId="13" fillId="4" borderId="6" xfId="2" applyNumberFormat="1" applyFont="1" applyFill="1" applyBorder="1" applyAlignment="1" applyProtection="1">
      <alignment horizontal="right"/>
    </xf>
    <xf numFmtId="3" fontId="13" fillId="4" borderId="9" xfId="0" applyNumberFormat="1" applyFont="1" applyFill="1" applyBorder="1" applyProtection="1"/>
    <xf numFmtId="0" fontId="13" fillId="0" borderId="1" xfId="0" applyFont="1" applyFill="1" applyBorder="1" applyProtection="1"/>
    <xf numFmtId="0" fontId="13" fillId="0" borderId="8" xfId="0" applyFont="1" applyFill="1" applyBorder="1" applyProtection="1"/>
    <xf numFmtId="3" fontId="14" fillId="0" borderId="0" xfId="0" applyNumberFormat="1" applyFont="1" applyProtection="1"/>
    <xf numFmtId="9" fontId="13" fillId="0" borderId="0" xfId="6" applyNumberFormat="1" applyFont="1" applyBorder="1" applyProtection="1"/>
    <xf numFmtId="167" fontId="14" fillId="0" borderId="0" xfId="0" applyNumberFormat="1" applyFont="1" applyBorder="1" applyProtection="1"/>
    <xf numFmtId="0" fontId="56" fillId="12" borderId="10" xfId="0" applyFont="1" applyFill="1" applyBorder="1" applyProtection="1"/>
    <xf numFmtId="0" fontId="56" fillId="12" borderId="1" xfId="0" applyFont="1" applyFill="1" applyBorder="1" applyProtection="1"/>
    <xf numFmtId="0" fontId="56" fillId="12" borderId="13" xfId="0" applyFont="1" applyFill="1" applyBorder="1" applyAlignment="1" applyProtection="1">
      <alignment horizontal="center"/>
    </xf>
    <xf numFmtId="0" fontId="13" fillId="3" borderId="15" xfId="0" applyFont="1" applyFill="1" applyBorder="1" applyAlignment="1" applyProtection="1">
      <alignment horizontal="center"/>
    </xf>
    <xf numFmtId="0" fontId="56" fillId="12" borderId="2" xfId="0" applyFont="1" applyFill="1" applyBorder="1" applyProtection="1"/>
    <xf numFmtId="0" fontId="12" fillId="12" borderId="0" xfId="0" applyFont="1" applyFill="1" applyBorder="1" applyProtection="1"/>
    <xf numFmtId="0" fontId="12" fillId="12" borderId="15" xfId="0" applyFont="1" applyFill="1" applyBorder="1" applyAlignment="1" applyProtection="1">
      <alignment horizontal="center"/>
    </xf>
    <xf numFmtId="0" fontId="13" fillId="3" borderId="15" xfId="0" quotePrefix="1" applyNumberFormat="1" applyFont="1" applyFill="1" applyBorder="1" applyAlignment="1" applyProtection="1">
      <alignment horizontal="center"/>
    </xf>
    <xf numFmtId="9" fontId="13" fillId="3" borderId="15" xfId="0" applyNumberFormat="1" applyFont="1" applyFill="1" applyBorder="1" applyAlignment="1" applyProtection="1">
      <alignment horizontal="center"/>
    </xf>
    <xf numFmtId="0" fontId="33" fillId="0" borderId="2" xfId="0" applyFont="1" applyBorder="1" applyProtection="1"/>
    <xf numFmtId="10" fontId="13" fillId="3" borderId="15" xfId="0" applyNumberFormat="1" applyFont="1" applyFill="1" applyBorder="1" applyAlignment="1" applyProtection="1">
      <alignment horizontal="center"/>
    </xf>
    <xf numFmtId="0" fontId="13" fillId="3" borderId="14" xfId="0" applyFont="1" applyFill="1" applyBorder="1" applyAlignment="1" applyProtection="1">
      <alignment horizontal="center"/>
    </xf>
    <xf numFmtId="3" fontId="14" fillId="0" borderId="1" xfId="0" applyNumberFormat="1" applyFont="1" applyBorder="1" applyProtection="1"/>
    <xf numFmtId="3" fontId="14" fillId="0" borderId="6" xfId="0" applyNumberFormat="1" applyFont="1" applyBorder="1" applyProtection="1"/>
    <xf numFmtId="3" fontId="14" fillId="0" borderId="5" xfId="0" applyNumberFormat="1" applyFont="1" applyBorder="1" applyProtection="1"/>
    <xf numFmtId="0" fontId="36" fillId="0" borderId="1" xfId="0" applyFont="1" applyBorder="1" applyProtection="1"/>
    <xf numFmtId="0" fontId="14" fillId="0" borderId="1" xfId="0" applyFont="1" applyBorder="1" applyProtection="1"/>
    <xf numFmtId="0" fontId="36" fillId="0" borderId="1" xfId="0" applyFont="1" applyFill="1" applyBorder="1" applyProtection="1"/>
    <xf numFmtId="10" fontId="13" fillId="0" borderId="0" xfId="0" applyNumberFormat="1" applyFont="1" applyFill="1" applyBorder="1" applyProtection="1"/>
    <xf numFmtId="10" fontId="13" fillId="0" borderId="0" xfId="0" applyNumberFormat="1" applyFont="1" applyFill="1" applyBorder="1" applyAlignment="1" applyProtection="1">
      <alignment horizontal="right"/>
    </xf>
    <xf numFmtId="3" fontId="20" fillId="0" borderId="8" xfId="0" applyNumberFormat="1" applyFont="1" applyBorder="1" applyAlignment="1" applyProtection="1">
      <alignment horizontal="right"/>
      <protection locked="0"/>
    </xf>
    <xf numFmtId="0" fontId="20" fillId="0" borderId="1" xfId="0" applyFont="1" applyBorder="1" applyProtection="1">
      <protection locked="0"/>
    </xf>
    <xf numFmtId="3" fontId="20" fillId="0" borderId="1" xfId="0" applyNumberFormat="1" applyFont="1" applyBorder="1" applyAlignment="1" applyProtection="1">
      <alignment horizontal="right"/>
      <protection locked="0"/>
    </xf>
    <xf numFmtId="3" fontId="20" fillId="0" borderId="1" xfId="0" applyNumberFormat="1" applyFont="1" applyFill="1" applyBorder="1" applyAlignment="1" applyProtection="1">
      <alignment horizontal="right"/>
      <protection locked="0"/>
    </xf>
    <xf numFmtId="0" fontId="20" fillId="0" borderId="1" xfId="0" applyFont="1" applyFill="1" applyBorder="1" applyProtection="1">
      <protection locked="0"/>
    </xf>
    <xf numFmtId="3" fontId="20" fillId="0" borderId="8" xfId="0" applyNumberFormat="1" applyFont="1" applyFill="1" applyBorder="1" applyAlignment="1" applyProtection="1">
      <alignment horizontal="right"/>
      <protection locked="0"/>
    </xf>
    <xf numFmtId="3" fontId="20" fillId="0" borderId="3" xfId="0" applyNumberFormat="1" applyFont="1" applyBorder="1" applyAlignment="1" applyProtection="1">
      <alignment horizontal="right"/>
      <protection locked="0"/>
    </xf>
    <xf numFmtId="0" fontId="20" fillId="0" borderId="2" xfId="0" applyFont="1" applyBorder="1" applyProtection="1">
      <protection locked="0"/>
    </xf>
    <xf numFmtId="3" fontId="20" fillId="0" borderId="0" xfId="0" applyNumberFormat="1" applyFont="1" applyFill="1" applyBorder="1" applyAlignment="1" applyProtection="1">
      <alignment horizontal="right"/>
      <protection locked="0"/>
    </xf>
    <xf numFmtId="0" fontId="20" fillId="0" borderId="0" xfId="0" applyFont="1" applyBorder="1" applyProtection="1">
      <protection locked="0"/>
    </xf>
    <xf numFmtId="3" fontId="20" fillId="0" borderId="0" xfId="0" applyNumberFormat="1" applyFont="1" applyBorder="1" applyAlignment="1" applyProtection="1">
      <alignment horizontal="right"/>
      <protection locked="0"/>
    </xf>
    <xf numFmtId="0" fontId="20" fillId="0" borderId="0" xfId="0" applyFont="1" applyFill="1" applyBorder="1" applyProtection="1">
      <protection locked="0"/>
    </xf>
    <xf numFmtId="3" fontId="20" fillId="0" borderId="3" xfId="0" applyNumberFormat="1" applyFont="1" applyFill="1" applyBorder="1" applyAlignment="1" applyProtection="1">
      <alignment horizontal="right"/>
      <protection locked="0"/>
    </xf>
    <xf numFmtId="3" fontId="20" fillId="4" borderId="8" xfId="0" applyNumberFormat="1" applyFont="1" applyFill="1" applyBorder="1" applyAlignment="1" applyProtection="1">
      <alignment horizontal="right"/>
      <protection locked="0"/>
    </xf>
    <xf numFmtId="3" fontId="20" fillId="4" borderId="1" xfId="0" applyNumberFormat="1" applyFont="1" applyFill="1" applyBorder="1" applyAlignment="1" applyProtection="1">
      <alignment horizontal="right"/>
      <protection locked="0"/>
    </xf>
    <xf numFmtId="2" fontId="14" fillId="0" borderId="0" xfId="0" applyNumberFormat="1" applyFont="1" applyBorder="1" applyProtection="1"/>
    <xf numFmtId="0" fontId="13" fillId="0" borderId="0" xfId="0" applyFont="1" applyFill="1" applyBorder="1" applyAlignment="1" applyProtection="1"/>
    <xf numFmtId="0" fontId="13" fillId="0" borderId="16" xfId="0" applyFont="1" applyBorder="1" applyProtection="1"/>
    <xf numFmtId="0" fontId="14" fillId="0" borderId="3" xfId="0" applyFont="1" applyBorder="1" applyAlignment="1" applyProtection="1">
      <alignment horizontal="right"/>
    </xf>
    <xf numFmtId="0" fontId="36" fillId="0" borderId="3" xfId="0" applyFont="1" applyFill="1" applyBorder="1" applyProtection="1"/>
    <xf numFmtId="166" fontId="13" fillId="3" borderId="0" xfId="0" applyNumberFormat="1" applyFont="1" applyFill="1" applyBorder="1" applyProtection="1"/>
    <xf numFmtId="10" fontId="13" fillId="0" borderId="0" xfId="6" applyNumberFormat="1" applyFont="1" applyFill="1" applyBorder="1" applyProtection="1"/>
    <xf numFmtId="0" fontId="13" fillId="4" borderId="0" xfId="0" applyNumberFormat="1" applyFont="1" applyFill="1"/>
    <xf numFmtId="0" fontId="13" fillId="4" borderId="0" xfId="0" quotePrefix="1" applyNumberFormat="1" applyFont="1" applyFill="1" applyAlignment="1">
      <alignment horizontal="center"/>
    </xf>
    <xf numFmtId="0" fontId="13" fillId="4" borderId="0" xfId="0" applyNumberFormat="1" applyFont="1" applyFill="1" applyAlignment="1">
      <alignment horizontal="center"/>
    </xf>
    <xf numFmtId="0" fontId="13" fillId="4" borderId="0" xfId="0" applyFont="1" applyFill="1" applyAlignment="1">
      <alignment horizontal="center"/>
    </xf>
    <xf numFmtId="9" fontId="12" fillId="12" borderId="0" xfId="0" applyNumberFormat="1" applyFont="1" applyFill="1" applyProtection="1">
      <protection locked="0"/>
    </xf>
    <xf numFmtId="1" fontId="14" fillId="0" borderId="3" xfId="0" applyNumberFormat="1" applyFont="1" applyBorder="1"/>
    <xf numFmtId="10" fontId="30" fillId="0" borderId="0" xfId="0" applyNumberFormat="1" applyFont="1" applyBorder="1" applyProtection="1"/>
    <xf numFmtId="10" fontId="13" fillId="0" borderId="0" xfId="0" applyNumberFormat="1" applyFont="1" applyBorder="1" applyProtection="1"/>
    <xf numFmtId="1" fontId="42" fillId="0" borderId="0" xfId="0" applyNumberFormat="1" applyFont="1" applyFill="1" applyBorder="1" applyProtection="1"/>
    <xf numFmtId="1" fontId="42" fillId="0" borderId="0" xfId="7" applyNumberFormat="1" applyFont="1" applyFill="1" applyBorder="1" applyAlignment="1" applyProtection="1">
      <alignment horizontal="center" vertical="top"/>
    </xf>
    <xf numFmtId="0" fontId="42" fillId="0" borderId="10" xfId="0" applyFont="1" applyFill="1" applyBorder="1" applyAlignment="1" applyProtection="1">
      <alignment horizontal="center" vertical="top"/>
    </xf>
    <xf numFmtId="0" fontId="41" fillId="0" borderId="2" xfId="0" applyFont="1" applyFill="1" applyBorder="1" applyAlignment="1" applyProtection="1">
      <alignment horizontal="center" vertical="top"/>
    </xf>
    <xf numFmtId="0" fontId="41" fillId="0" borderId="3" xfId="0" applyFont="1" applyFill="1" applyBorder="1" applyAlignment="1" applyProtection="1">
      <alignment horizontal="center" vertical="top"/>
    </xf>
    <xf numFmtId="0" fontId="42" fillId="0" borderId="2" xfId="0" applyFont="1" applyFill="1" applyBorder="1" applyAlignment="1" applyProtection="1">
      <alignment horizontal="center" vertical="top"/>
    </xf>
    <xf numFmtId="1" fontId="42" fillId="0" borderId="3" xfId="7" applyNumberFormat="1" applyFont="1" applyFill="1" applyBorder="1" applyAlignment="1" applyProtection="1">
      <alignment horizontal="center" vertical="top"/>
    </xf>
    <xf numFmtId="0" fontId="42" fillId="0" borderId="4" xfId="0" applyFont="1" applyFill="1" applyBorder="1" applyProtection="1"/>
    <xf numFmtId="0" fontId="42" fillId="0" borderId="5" xfId="0" applyFont="1" applyFill="1" applyBorder="1" applyProtection="1"/>
    <xf numFmtId="0" fontId="42" fillId="0" borderId="6" xfId="0" applyFont="1" applyFill="1" applyBorder="1" applyProtection="1"/>
    <xf numFmtId="1" fontId="13" fillId="6" borderId="3" xfId="0" applyNumberFormat="1" applyFont="1" applyFill="1" applyBorder="1" applyProtection="1">
      <protection locked="0"/>
    </xf>
    <xf numFmtId="0" fontId="20" fillId="6" borderId="9" xfId="0" applyFont="1" applyFill="1" applyBorder="1" applyProtection="1">
      <protection locked="0"/>
    </xf>
    <xf numFmtId="49" fontId="21" fillId="6" borderId="13" xfId="1" applyNumberFormat="1" applyFont="1" applyFill="1" applyBorder="1" applyAlignment="1" applyProtection="1">
      <protection locked="0"/>
    </xf>
    <xf numFmtId="0" fontId="20" fillId="6" borderId="9" xfId="0" applyNumberFormat="1" applyFont="1" applyFill="1" applyBorder="1" applyAlignment="1" applyProtection="1">
      <alignment horizontal="center"/>
      <protection locked="0"/>
    </xf>
    <xf numFmtId="0" fontId="20" fillId="6" borderId="9" xfId="0" applyFont="1" applyFill="1" applyBorder="1" applyAlignment="1" applyProtection="1">
      <alignment horizontal="right"/>
      <protection locked="0"/>
    </xf>
    <xf numFmtId="0" fontId="33" fillId="0" borderId="0" xfId="0" applyFont="1" applyAlignment="1">
      <alignment horizontal="center"/>
    </xf>
    <xf numFmtId="0" fontId="17" fillId="9" borderId="1" xfId="0" applyFont="1" applyFill="1" applyBorder="1" applyAlignment="1">
      <alignment horizontal="center"/>
    </xf>
    <xf numFmtId="0" fontId="17" fillId="9" borderId="8" xfId="0" applyFont="1" applyFill="1" applyBorder="1" applyAlignment="1">
      <alignment horizontal="center"/>
    </xf>
    <xf numFmtId="15" fontId="20" fillId="6" borderId="9" xfId="0" applyNumberFormat="1" applyFont="1" applyFill="1" applyBorder="1" applyAlignment="1" applyProtection="1">
      <alignment horizontal="center"/>
      <protection locked="0"/>
    </xf>
    <xf numFmtId="0" fontId="13" fillId="2" borderId="11" xfId="0" applyFont="1" applyFill="1" applyBorder="1" applyProtection="1">
      <protection locked="0"/>
    </xf>
    <xf numFmtId="0" fontId="17" fillId="9" borderId="10" xfId="0" applyFont="1" applyFill="1" applyBorder="1" applyAlignment="1">
      <alignment horizontal="left"/>
    </xf>
    <xf numFmtId="0" fontId="14" fillId="0" borderId="10" xfId="0" applyNumberFormat="1" applyFont="1" applyFill="1" applyBorder="1"/>
    <xf numFmtId="0" fontId="14" fillId="0" borderId="2" xfId="0" applyNumberFormat="1" applyFont="1" applyFill="1" applyBorder="1"/>
    <xf numFmtId="0" fontId="14" fillId="0" borderId="4" xfId="0" applyNumberFormat="1" applyFont="1" applyFill="1" applyBorder="1"/>
    <xf numFmtId="0" fontId="13" fillId="0" borderId="8" xfId="0" applyNumberFormat="1" applyFont="1" applyFill="1" applyBorder="1" applyAlignment="1">
      <alignment horizontal="right"/>
    </xf>
    <xf numFmtId="0" fontId="13" fillId="0" borderId="6" xfId="0" applyNumberFormat="1" applyFont="1" applyFill="1" applyBorder="1" applyAlignment="1">
      <alignment horizontal="right"/>
    </xf>
    <xf numFmtId="0" fontId="13" fillId="0" borderId="0" xfId="0" applyNumberFormat="1" applyFont="1" applyFill="1" applyBorder="1" applyProtection="1">
      <protection locked="0"/>
    </xf>
    <xf numFmtId="0" fontId="13" fillId="4" borderId="15" xfId="0" applyNumberFormat="1" applyFont="1" applyFill="1" applyBorder="1" applyProtection="1">
      <protection locked="0"/>
    </xf>
    <xf numFmtId="0" fontId="13" fillId="0" borderId="4" xfId="0" applyNumberFormat="1" applyFont="1" applyFill="1" applyBorder="1" applyProtection="1">
      <protection locked="0"/>
    </xf>
    <xf numFmtId="0" fontId="13" fillId="0" borderId="6" xfId="0" applyNumberFormat="1" applyFont="1" applyFill="1" applyBorder="1" applyProtection="1">
      <protection locked="0"/>
    </xf>
    <xf numFmtId="0" fontId="13" fillId="3" borderId="9" xfId="0" applyNumberFormat="1" applyFont="1" applyFill="1" applyBorder="1" applyProtection="1">
      <protection locked="0"/>
    </xf>
    <xf numFmtId="0" fontId="13" fillId="0" borderId="7" xfId="0" applyNumberFormat="1" applyFont="1" applyFill="1" applyBorder="1" applyProtection="1"/>
    <xf numFmtId="0" fontId="0" fillId="3" borderId="8" xfId="0" applyFill="1" applyBorder="1" applyAlignment="1" applyProtection="1"/>
    <xf numFmtId="0" fontId="14" fillId="3" borderId="13" xfId="0" applyFont="1" applyFill="1" applyBorder="1" applyAlignment="1" applyProtection="1">
      <alignment horizontal="center"/>
    </xf>
    <xf numFmtId="167" fontId="30" fillId="0" borderId="0" xfId="0" applyNumberFormat="1" applyFont="1" applyBorder="1" applyProtection="1"/>
    <xf numFmtId="167" fontId="30" fillId="0" borderId="0" xfId="0" applyNumberFormat="1" applyFont="1" applyFill="1" applyBorder="1" applyProtection="1"/>
    <xf numFmtId="167" fontId="13" fillId="4" borderId="0" xfId="6" applyNumberFormat="1" applyFont="1" applyFill="1" applyBorder="1" applyAlignment="1">
      <alignment horizontal="right"/>
    </xf>
    <xf numFmtId="0" fontId="52" fillId="0" borderId="0" xfId="0" applyFont="1" applyFill="1" applyBorder="1"/>
    <xf numFmtId="0" fontId="53" fillId="0" borderId="0" xfId="0" applyFont="1" applyFill="1" applyBorder="1"/>
    <xf numFmtId="0" fontId="13" fillId="6" borderId="0" xfId="0" applyFont="1" applyFill="1" applyBorder="1" applyAlignment="1" applyProtection="1">
      <alignment horizontal="center"/>
      <protection locked="0"/>
    </xf>
    <xf numFmtId="1" fontId="13" fillId="6" borderId="0" xfId="0" applyNumberFormat="1" applyFont="1" applyFill="1" applyBorder="1" applyAlignment="1" applyProtection="1">
      <alignment horizontal="center"/>
      <protection locked="0"/>
    </xf>
    <xf numFmtId="0" fontId="30" fillId="0" borderId="0" xfId="0" applyFont="1" applyFill="1" applyBorder="1" applyAlignment="1">
      <alignment horizontal="center"/>
    </xf>
    <xf numFmtId="0" fontId="30" fillId="6" borderId="0" xfId="0" applyFont="1" applyFill="1" applyBorder="1" applyAlignment="1" applyProtection="1">
      <alignment horizontal="center"/>
      <protection locked="0"/>
    </xf>
    <xf numFmtId="3" fontId="13" fillId="6" borderId="0" xfId="0" applyNumberFormat="1" applyFont="1" applyFill="1" applyBorder="1" applyAlignment="1" applyProtection="1">
      <alignment horizontal="center"/>
      <protection locked="0"/>
    </xf>
    <xf numFmtId="9" fontId="13" fillId="0" borderId="0" xfId="0" applyNumberFormat="1" applyFont="1" applyProtection="1">
      <protection locked="0"/>
    </xf>
    <xf numFmtId="166" fontId="13" fillId="0" borderId="0" xfId="0" applyNumberFormat="1" applyFont="1" applyBorder="1"/>
    <xf numFmtId="166" fontId="13" fillId="0" borderId="9" xfId="0" applyNumberFormat="1" applyFont="1" applyFill="1" applyBorder="1" applyAlignment="1" applyProtection="1">
      <alignment horizontal="center"/>
    </xf>
    <xf numFmtId="0" fontId="13" fillId="0" borderId="2" xfId="0" applyFont="1" applyBorder="1" applyProtection="1">
      <protection hidden="1"/>
    </xf>
    <xf numFmtId="0" fontId="13" fillId="0" borderId="0" xfId="0" applyFont="1" applyBorder="1" applyProtection="1">
      <protection hidden="1"/>
    </xf>
    <xf numFmtId="49" fontId="13" fillId="0" borderId="0" xfId="0" applyNumberFormat="1" applyFont="1" applyBorder="1" applyProtection="1">
      <protection hidden="1"/>
    </xf>
    <xf numFmtId="0" fontId="13" fillId="0" borderId="3" xfId="0" applyFont="1" applyBorder="1" applyAlignment="1" applyProtection="1">
      <alignment horizontal="right"/>
      <protection hidden="1"/>
    </xf>
    <xf numFmtId="0" fontId="20" fillId="0" borderId="2" xfId="0" applyFont="1" applyBorder="1" applyProtection="1">
      <protection hidden="1"/>
    </xf>
    <xf numFmtId="0" fontId="35" fillId="0" borderId="0" xfId="0" applyNumberFormat="1" applyFont="1" applyFill="1" applyBorder="1" applyAlignment="1" applyProtection="1">
      <alignment horizontal="left"/>
      <protection hidden="1"/>
    </xf>
    <xf numFmtId="49" fontId="20" fillId="0" borderId="0" xfId="0" applyNumberFormat="1" applyFont="1" applyFill="1" applyBorder="1" applyProtection="1">
      <protection hidden="1"/>
    </xf>
    <xf numFmtId="14" fontId="34" fillId="0" borderId="0" xfId="0" applyNumberFormat="1" applyFont="1" applyFill="1" applyBorder="1" applyProtection="1">
      <protection hidden="1"/>
    </xf>
    <xf numFmtId="0" fontId="20" fillId="0" borderId="0" xfId="0" applyFont="1" applyFill="1" applyBorder="1" applyAlignment="1" applyProtection="1">
      <alignment horizontal="left"/>
      <protection hidden="1"/>
    </xf>
    <xf numFmtId="14" fontId="34" fillId="0" borderId="0" xfId="0" applyNumberFormat="1" applyFont="1" applyFill="1" applyBorder="1" applyAlignment="1" applyProtection="1">
      <alignment horizontal="right"/>
      <protection hidden="1"/>
    </xf>
    <xf numFmtId="0" fontId="20" fillId="0" borderId="0" xfId="0" applyNumberFormat="1" applyFont="1" applyFill="1" applyBorder="1" applyAlignment="1" applyProtection="1">
      <alignment horizontal="left"/>
      <protection hidden="1"/>
    </xf>
    <xf numFmtId="0" fontId="20" fillId="0" borderId="0" xfId="0" applyFont="1" applyFill="1" applyBorder="1" applyProtection="1">
      <protection hidden="1"/>
    </xf>
    <xf numFmtId="0" fontId="34" fillId="0" borderId="3" xfId="0" applyFont="1" applyFill="1" applyBorder="1" applyProtection="1">
      <protection hidden="1"/>
    </xf>
    <xf numFmtId="0" fontId="32" fillId="0" borderId="0" xfId="0" applyFont="1" applyFill="1" applyBorder="1" applyProtection="1">
      <protection hidden="1"/>
    </xf>
    <xf numFmtId="0" fontId="32" fillId="0" borderId="0" xfId="0" applyFont="1" applyFill="1" applyBorder="1" applyAlignment="1" applyProtection="1">
      <alignment horizontal="center"/>
      <protection hidden="1"/>
    </xf>
    <xf numFmtId="14" fontId="32" fillId="0" borderId="0" xfId="0" applyNumberFormat="1" applyFont="1" applyFill="1" applyBorder="1" applyProtection="1">
      <protection hidden="1"/>
    </xf>
    <xf numFmtId="0" fontId="32" fillId="0" borderId="3" xfId="0" applyFont="1" applyFill="1" applyBorder="1" applyProtection="1">
      <protection hidden="1"/>
    </xf>
    <xf numFmtId="0" fontId="13" fillId="0" borderId="4" xfId="0" applyFont="1" applyBorder="1" applyProtection="1">
      <protection hidden="1"/>
    </xf>
    <xf numFmtId="0" fontId="13" fillId="0" borderId="5" xfId="0" applyFont="1" applyBorder="1" applyProtection="1">
      <protection hidden="1"/>
    </xf>
    <xf numFmtId="0" fontId="32" fillId="0" borderId="5" xfId="0" applyFont="1" applyFill="1" applyBorder="1" applyAlignment="1" applyProtection="1">
      <alignment horizontal="center"/>
      <protection hidden="1"/>
    </xf>
    <xf numFmtId="0" fontId="14" fillId="0" borderId="5" xfId="0" applyFont="1" applyBorder="1" applyAlignment="1" applyProtection="1">
      <alignment horizontal="right"/>
      <protection hidden="1"/>
    </xf>
    <xf numFmtId="14" fontId="32" fillId="0" borderId="5" xfId="0" applyNumberFormat="1" applyFont="1" applyFill="1" applyBorder="1" applyProtection="1">
      <protection hidden="1"/>
    </xf>
    <xf numFmtId="0" fontId="32" fillId="0" borderId="6" xfId="0" applyFont="1" applyFill="1" applyBorder="1" applyProtection="1">
      <protection hidden="1"/>
    </xf>
    <xf numFmtId="0" fontId="13" fillId="0" borderId="0" xfId="0" applyFont="1" applyProtection="1">
      <protection hidden="1"/>
    </xf>
    <xf numFmtId="0" fontId="36" fillId="0" borderId="4" xfId="0" applyFont="1" applyFill="1" applyBorder="1" applyProtection="1">
      <protection hidden="1"/>
    </xf>
    <xf numFmtId="0" fontId="16" fillId="3" borderId="11" xfId="0" applyFont="1" applyFill="1" applyBorder="1" applyProtection="1">
      <protection hidden="1"/>
    </xf>
    <xf numFmtId="0" fontId="32" fillId="3" borderId="7" xfId="0" applyFont="1" applyFill="1" applyBorder="1" applyProtection="1">
      <protection hidden="1"/>
    </xf>
    <xf numFmtId="0" fontId="32" fillId="3" borderId="5" xfId="0" applyFont="1" applyFill="1" applyBorder="1" applyProtection="1">
      <protection hidden="1"/>
    </xf>
    <xf numFmtId="0" fontId="13" fillId="3" borderId="5" xfId="0" applyFont="1" applyFill="1" applyBorder="1" applyProtection="1">
      <protection hidden="1"/>
    </xf>
    <xf numFmtId="14" fontId="32" fillId="3" borderId="5" xfId="0" applyNumberFormat="1" applyFont="1" applyFill="1" applyBorder="1" applyProtection="1">
      <protection hidden="1"/>
    </xf>
    <xf numFmtId="0" fontId="32" fillId="3" borderId="6" xfId="0" applyFont="1" applyFill="1" applyBorder="1" applyProtection="1">
      <protection hidden="1"/>
    </xf>
    <xf numFmtId="0" fontId="13" fillId="0" borderId="10" xfId="0" applyFont="1" applyBorder="1" applyProtection="1">
      <protection hidden="1"/>
    </xf>
    <xf numFmtId="0" fontId="48" fillId="0" borderId="1" xfId="0" applyFont="1" applyFill="1" applyBorder="1" applyProtection="1">
      <protection hidden="1"/>
    </xf>
    <xf numFmtId="0" fontId="13" fillId="0" borderId="8" xfId="0" applyFont="1" applyBorder="1" applyProtection="1">
      <protection hidden="1"/>
    </xf>
    <xf numFmtId="0" fontId="13" fillId="0" borderId="1" xfId="0" applyFont="1" applyBorder="1" applyProtection="1">
      <protection hidden="1"/>
    </xf>
    <xf numFmtId="14" fontId="48" fillId="0" borderId="1" xfId="0" applyNumberFormat="1" applyFont="1" applyFill="1" applyBorder="1" applyProtection="1">
      <protection hidden="1"/>
    </xf>
    <xf numFmtId="0" fontId="48" fillId="0" borderId="8" xfId="0" applyFont="1" applyFill="1" applyBorder="1" applyProtection="1">
      <protection hidden="1"/>
    </xf>
    <xf numFmtId="3" fontId="14" fillId="0" borderId="0" xfId="0" applyNumberFormat="1" applyFont="1" applyFill="1" applyBorder="1" applyAlignment="1" applyProtection="1">
      <alignment horizontal="center"/>
      <protection hidden="1"/>
    </xf>
    <xf numFmtId="3" fontId="13" fillId="0" borderId="3" xfId="0" applyNumberFormat="1" applyFont="1" applyFill="1" applyBorder="1" applyProtection="1">
      <protection hidden="1"/>
    </xf>
    <xf numFmtId="3" fontId="13" fillId="0" borderId="8" xfId="0" applyNumberFormat="1" applyFont="1" applyFill="1" applyBorder="1" applyProtection="1">
      <protection hidden="1"/>
    </xf>
    <xf numFmtId="0" fontId="13" fillId="0" borderId="0" xfId="0" applyFont="1" applyFill="1" applyBorder="1" applyProtection="1">
      <protection hidden="1"/>
    </xf>
    <xf numFmtId="3" fontId="13" fillId="0" borderId="0" xfId="0" applyNumberFormat="1" applyFont="1" applyFill="1" applyBorder="1" applyProtection="1">
      <protection hidden="1"/>
    </xf>
    <xf numFmtId="3" fontId="14" fillId="0" borderId="0" xfId="0" applyNumberFormat="1" applyFont="1" applyBorder="1" applyAlignment="1" applyProtection="1">
      <alignment horizontal="center"/>
      <protection hidden="1"/>
    </xf>
    <xf numFmtId="3" fontId="13" fillId="0" borderId="3" xfId="0" applyNumberFormat="1" applyFont="1" applyBorder="1" applyProtection="1">
      <protection hidden="1"/>
    </xf>
    <xf numFmtId="3" fontId="13" fillId="0" borderId="0" xfId="0" applyNumberFormat="1" applyFont="1" applyBorder="1" applyProtection="1">
      <protection hidden="1"/>
    </xf>
    <xf numFmtId="3" fontId="13" fillId="0" borderId="6" xfId="0" applyNumberFormat="1" applyFont="1" applyBorder="1" applyProtection="1">
      <protection hidden="1"/>
    </xf>
    <xf numFmtId="3" fontId="13" fillId="0" borderId="5" xfId="0" applyNumberFormat="1" applyFont="1" applyBorder="1" applyProtection="1">
      <protection hidden="1"/>
    </xf>
    <xf numFmtId="0" fontId="14" fillId="0" borderId="2" xfId="0" applyFont="1" applyBorder="1" applyProtection="1">
      <protection hidden="1"/>
    </xf>
    <xf numFmtId="3" fontId="14" fillId="0" borderId="3" xfId="0" applyNumberFormat="1" applyFont="1" applyBorder="1" applyProtection="1">
      <protection hidden="1"/>
    </xf>
    <xf numFmtId="3" fontId="14" fillId="0" borderId="6" xfId="0" applyNumberFormat="1" applyFont="1" applyBorder="1" applyProtection="1">
      <protection hidden="1"/>
    </xf>
    <xf numFmtId="0" fontId="14" fillId="0" borderId="0" xfId="0" applyFont="1" applyBorder="1" applyProtection="1">
      <protection hidden="1"/>
    </xf>
    <xf numFmtId="3" fontId="14" fillId="0" borderId="0" xfId="0" applyNumberFormat="1" applyFont="1" applyBorder="1" applyProtection="1">
      <protection hidden="1"/>
    </xf>
    <xf numFmtId="0" fontId="14" fillId="0" borderId="4" xfId="0" applyFont="1" applyBorder="1" applyProtection="1">
      <protection hidden="1"/>
    </xf>
    <xf numFmtId="0" fontId="13" fillId="3" borderId="7" xfId="0" applyFont="1" applyFill="1" applyBorder="1" applyProtection="1">
      <protection hidden="1"/>
    </xf>
    <xf numFmtId="14" fontId="32" fillId="3" borderId="7" xfId="0" applyNumberFormat="1" applyFont="1" applyFill="1" applyBorder="1" applyProtection="1">
      <protection hidden="1"/>
    </xf>
    <xf numFmtId="0" fontId="32" fillId="3" borderId="12" xfId="0" applyFont="1" applyFill="1" applyBorder="1" applyProtection="1">
      <protection hidden="1"/>
    </xf>
    <xf numFmtId="0" fontId="13" fillId="3" borderId="12" xfId="0" applyFont="1" applyFill="1" applyBorder="1" applyProtection="1">
      <protection hidden="1"/>
    </xf>
    <xf numFmtId="0" fontId="13" fillId="0" borderId="0" xfId="0" applyFont="1" applyBorder="1" applyAlignment="1" applyProtection="1">
      <alignment horizontal="center"/>
      <protection hidden="1"/>
    </xf>
    <xf numFmtId="0" fontId="14" fillId="0" borderId="3" xfId="0" applyFont="1" applyBorder="1" applyAlignment="1" applyProtection="1">
      <alignment horizontal="right"/>
      <protection hidden="1"/>
    </xf>
    <xf numFmtId="0" fontId="13" fillId="0" borderId="3" xfId="0" applyFont="1" applyBorder="1" applyProtection="1">
      <protection hidden="1"/>
    </xf>
    <xf numFmtId="0" fontId="14" fillId="0" borderId="6" xfId="0" applyFont="1" applyBorder="1" applyAlignment="1" applyProtection="1">
      <alignment horizontal="right"/>
      <protection hidden="1"/>
    </xf>
    <xf numFmtId="0" fontId="13" fillId="0" borderId="0" xfId="0" applyFont="1" applyFill="1" applyBorder="1" applyAlignment="1" applyProtection="1">
      <alignment horizontal="center"/>
      <protection hidden="1"/>
    </xf>
    <xf numFmtId="3" fontId="13" fillId="0" borderId="14" xfId="0" applyNumberFormat="1" applyFont="1" applyFill="1" applyBorder="1" applyProtection="1">
      <protection hidden="1"/>
    </xf>
    <xf numFmtId="3" fontId="13" fillId="0" borderId="5" xfId="0" applyNumberFormat="1" applyFont="1" applyFill="1" applyBorder="1" applyProtection="1">
      <protection hidden="1"/>
    </xf>
    <xf numFmtId="0" fontId="13" fillId="0" borderId="0" xfId="0" applyFont="1" applyFill="1" applyBorder="1" applyProtection="1">
      <protection locked="0" hidden="1"/>
    </xf>
    <xf numFmtId="3" fontId="13" fillId="0" borderId="6" xfId="0" applyNumberFormat="1" applyFont="1" applyFill="1" applyBorder="1" applyProtection="1">
      <protection hidden="1"/>
    </xf>
    <xf numFmtId="3" fontId="14" fillId="0" borderId="14" xfId="0" applyNumberFormat="1" applyFont="1" applyFill="1" applyBorder="1" applyProtection="1">
      <protection hidden="1"/>
    </xf>
    <xf numFmtId="3" fontId="14" fillId="0" borderId="0" xfId="0" applyNumberFormat="1" applyFont="1" applyFill="1" applyBorder="1" applyProtection="1">
      <protection hidden="1"/>
    </xf>
    <xf numFmtId="0" fontId="14" fillId="0" borderId="0" xfId="0" applyFont="1" applyFill="1" applyBorder="1" applyProtection="1">
      <protection hidden="1"/>
    </xf>
    <xf numFmtId="3" fontId="14" fillId="0" borderId="3" xfId="0" applyNumberFormat="1" applyFont="1" applyFill="1" applyBorder="1" applyProtection="1">
      <protection hidden="1"/>
    </xf>
    <xf numFmtId="0" fontId="30" fillId="0" borderId="0" xfId="0" applyFont="1" applyFill="1" applyBorder="1" applyAlignment="1" applyProtection="1">
      <alignment horizontal="center"/>
      <protection hidden="1"/>
    </xf>
    <xf numFmtId="3" fontId="13" fillId="0" borderId="15" xfId="0" applyNumberFormat="1" applyFont="1" applyFill="1" applyBorder="1" applyProtection="1">
      <protection hidden="1"/>
    </xf>
    <xf numFmtId="3" fontId="13" fillId="0" borderId="0" xfId="0" applyNumberFormat="1" applyFont="1" applyProtection="1">
      <protection hidden="1"/>
    </xf>
    <xf numFmtId="0" fontId="36" fillId="0" borderId="0" xfId="0" applyFont="1" applyFill="1" applyBorder="1" applyProtection="1">
      <protection hidden="1"/>
    </xf>
    <xf numFmtId="3" fontId="14" fillId="0" borderId="14" xfId="0" applyNumberFormat="1" applyFont="1" applyBorder="1" applyProtection="1">
      <protection hidden="1"/>
    </xf>
    <xf numFmtId="0" fontId="48" fillId="0" borderId="5" xfId="0" applyFont="1" applyFill="1" applyBorder="1" applyProtection="1">
      <protection hidden="1"/>
    </xf>
    <xf numFmtId="0" fontId="13" fillId="0" borderId="6" xfId="0" applyFont="1" applyBorder="1" applyProtection="1">
      <protection hidden="1"/>
    </xf>
    <xf numFmtId="14" fontId="48" fillId="0" borderId="5" xfId="0" applyNumberFormat="1" applyFont="1" applyFill="1" applyBorder="1" applyProtection="1">
      <protection hidden="1"/>
    </xf>
    <xf numFmtId="0" fontId="48" fillId="0" borderId="6" xfId="0" applyFont="1" applyFill="1" applyBorder="1" applyProtection="1">
      <protection hidden="1"/>
    </xf>
    <xf numFmtId="3" fontId="14" fillId="3" borderId="7" xfId="0" applyNumberFormat="1" applyFont="1" applyFill="1" applyBorder="1" applyProtection="1">
      <protection hidden="1"/>
    </xf>
    <xf numFmtId="0" fontId="14" fillId="3" borderId="7" xfId="0" applyFont="1" applyFill="1" applyBorder="1" applyProtection="1">
      <protection hidden="1"/>
    </xf>
    <xf numFmtId="3" fontId="14" fillId="3" borderId="12" xfId="0" applyNumberFormat="1" applyFont="1" applyFill="1" applyBorder="1" applyProtection="1">
      <protection hidden="1"/>
    </xf>
    <xf numFmtId="0" fontId="13" fillId="0" borderId="1" xfId="0" applyFont="1" applyFill="1" applyBorder="1" applyProtection="1">
      <protection hidden="1"/>
    </xf>
    <xf numFmtId="3" fontId="13" fillId="0" borderId="8" xfId="0" applyNumberFormat="1" applyFont="1" applyBorder="1" applyProtection="1">
      <protection hidden="1"/>
    </xf>
    <xf numFmtId="3" fontId="13" fillId="0" borderId="1" xfId="0" applyNumberFormat="1" applyFont="1" applyBorder="1" applyProtection="1">
      <protection hidden="1"/>
    </xf>
    <xf numFmtId="0" fontId="14" fillId="0" borderId="0" xfId="0" applyFont="1" applyFill="1" applyBorder="1" applyAlignment="1" applyProtection="1">
      <alignment horizontal="center"/>
      <protection hidden="1"/>
    </xf>
    <xf numFmtId="3" fontId="14" fillId="0" borderId="15" xfId="0" applyNumberFormat="1" applyFont="1" applyFill="1" applyBorder="1" applyProtection="1">
      <protection hidden="1"/>
    </xf>
    <xf numFmtId="0" fontId="14" fillId="0" borderId="0" xfId="0" applyFont="1" applyBorder="1" applyAlignment="1" applyProtection="1">
      <alignment horizontal="center"/>
      <protection hidden="1"/>
    </xf>
    <xf numFmtId="3" fontId="13" fillId="0" borderId="15" xfId="0" applyNumberFormat="1" applyFont="1" applyBorder="1" applyProtection="1">
      <protection hidden="1"/>
    </xf>
    <xf numFmtId="3" fontId="14" fillId="0" borderId="9" xfId="0" applyNumberFormat="1" applyFont="1" applyBorder="1" applyProtection="1">
      <protection hidden="1"/>
    </xf>
    <xf numFmtId="0" fontId="13" fillId="0" borderId="5" xfId="0" applyFont="1" applyFill="1" applyBorder="1" applyProtection="1">
      <protection hidden="1"/>
    </xf>
    <xf numFmtId="0" fontId="14" fillId="3" borderId="12" xfId="0" applyFont="1" applyFill="1" applyBorder="1" applyProtection="1">
      <protection hidden="1"/>
    </xf>
    <xf numFmtId="0" fontId="13" fillId="0" borderId="0" xfId="0" applyFont="1" applyBorder="1" applyProtection="1">
      <protection locked="0" hidden="1"/>
    </xf>
    <xf numFmtId="0" fontId="13" fillId="0" borderId="12" xfId="0" applyFont="1" applyBorder="1" applyProtection="1">
      <protection hidden="1"/>
    </xf>
    <xf numFmtId="3" fontId="13" fillId="0" borderId="13" xfId="0" applyNumberFormat="1" applyFont="1" applyBorder="1" applyProtection="1">
      <protection hidden="1"/>
    </xf>
    <xf numFmtId="0" fontId="14" fillId="4" borderId="49" xfId="0" applyFont="1" applyFill="1" applyBorder="1" applyProtection="1">
      <protection hidden="1"/>
    </xf>
    <xf numFmtId="0" fontId="14" fillId="4" borderId="48" xfId="0" applyFont="1" applyFill="1" applyBorder="1" applyProtection="1">
      <protection hidden="1"/>
    </xf>
    <xf numFmtId="0" fontId="14" fillId="4" borderId="18" xfId="0" applyFont="1" applyFill="1" applyBorder="1" applyProtection="1">
      <protection hidden="1"/>
    </xf>
    <xf numFmtId="0" fontId="14" fillId="4" borderId="35" xfId="0" applyFont="1" applyFill="1" applyBorder="1" applyProtection="1">
      <protection hidden="1"/>
    </xf>
    <xf numFmtId="0" fontId="14" fillId="4" borderId="17" xfId="0" applyFont="1" applyFill="1" applyBorder="1" applyProtection="1">
      <protection hidden="1"/>
    </xf>
    <xf numFmtId="0" fontId="14" fillId="4" borderId="0" xfId="0" applyFont="1" applyFill="1" applyBorder="1" applyProtection="1">
      <protection hidden="1"/>
    </xf>
    <xf numFmtId="3" fontId="14" fillId="4" borderId="0" xfId="0" applyNumberFormat="1" applyFont="1" applyFill="1" applyBorder="1" applyProtection="1">
      <protection hidden="1"/>
    </xf>
    <xf numFmtId="3" fontId="14" fillId="4" borderId="3" xfId="0" applyNumberFormat="1" applyFont="1" applyFill="1" applyBorder="1" applyProtection="1">
      <protection hidden="1"/>
    </xf>
    <xf numFmtId="3" fontId="14" fillId="4" borderId="19" xfId="0" applyNumberFormat="1" applyFont="1" applyFill="1" applyBorder="1" applyProtection="1">
      <protection hidden="1"/>
    </xf>
    <xf numFmtId="0" fontId="14" fillId="4" borderId="22" xfId="0" applyFont="1" applyFill="1" applyBorder="1" applyProtection="1">
      <protection hidden="1"/>
    </xf>
    <xf numFmtId="0" fontId="14" fillId="4" borderId="16" xfId="0" applyFont="1" applyFill="1" applyBorder="1" applyProtection="1">
      <protection hidden="1"/>
    </xf>
    <xf numFmtId="0" fontId="14" fillId="4" borderId="23" xfId="0" applyFont="1" applyFill="1" applyBorder="1" applyProtection="1">
      <protection hidden="1"/>
    </xf>
    <xf numFmtId="0" fontId="14" fillId="4" borderId="24" xfId="0" applyFont="1" applyFill="1" applyBorder="1" applyProtection="1">
      <protection hidden="1"/>
    </xf>
    <xf numFmtId="0" fontId="0" fillId="0" borderId="0" xfId="0" applyProtection="1">
      <protection hidden="1"/>
    </xf>
    <xf numFmtId="1" fontId="6" fillId="0" borderId="14" xfId="0" applyNumberFormat="1" applyFont="1" applyBorder="1"/>
    <xf numFmtId="0" fontId="20" fillId="0" borderId="0" xfId="0" applyNumberFormat="1" applyFont="1" applyFill="1" applyBorder="1" applyAlignment="1" applyProtection="1">
      <alignment horizontal="right"/>
    </xf>
    <xf numFmtId="15" fontId="20" fillId="0" borderId="0" xfId="0" applyNumberFormat="1" applyFont="1" applyFill="1" applyBorder="1" applyAlignment="1">
      <alignment horizontal="right"/>
    </xf>
    <xf numFmtId="0" fontId="13" fillId="0" borderId="0" xfId="0" applyFont="1" applyFill="1" applyProtection="1">
      <protection locked="0"/>
    </xf>
    <xf numFmtId="0" fontId="13" fillId="0" borderId="0" xfId="0" applyFont="1" applyFill="1" applyAlignment="1" applyProtection="1">
      <alignment horizontal="center"/>
      <protection locked="0"/>
    </xf>
    <xf numFmtId="3" fontId="0" fillId="3" borderId="15" xfId="0" quotePrefix="1" applyNumberFormat="1" applyFill="1" applyBorder="1" applyProtection="1"/>
    <xf numFmtId="0" fontId="14" fillId="0" borderId="13" xfId="0" applyFont="1" applyBorder="1" applyProtection="1"/>
    <xf numFmtId="0" fontId="14" fillId="0" borderId="15" xfId="0" applyFont="1" applyBorder="1" applyProtection="1"/>
    <xf numFmtId="3" fontId="13" fillId="4" borderId="13" xfId="0" applyNumberFormat="1" applyFont="1" applyFill="1" applyBorder="1" applyProtection="1"/>
    <xf numFmtId="3" fontId="13" fillId="3" borderId="13" xfId="0" applyNumberFormat="1" applyFont="1" applyFill="1" applyBorder="1" applyProtection="1"/>
    <xf numFmtId="3" fontId="14" fillId="0" borderId="9" xfId="0" applyNumberFormat="1" applyFont="1" applyFill="1" applyBorder="1" applyProtection="1"/>
    <xf numFmtId="3" fontId="0" fillId="3" borderId="3" xfId="0" quotePrefix="1" applyNumberFormat="1" applyFill="1" applyBorder="1" applyProtection="1"/>
    <xf numFmtId="3" fontId="13" fillId="4" borderId="0" xfId="0" applyNumberFormat="1" applyFont="1" applyFill="1" applyBorder="1" applyProtection="1">
      <protection locked="0"/>
    </xf>
    <xf numFmtId="0" fontId="58" fillId="9" borderId="1" xfId="0" applyFont="1" applyFill="1" applyBorder="1" applyProtection="1"/>
    <xf numFmtId="3" fontId="13" fillId="4" borderId="14" xfId="0" applyNumberFormat="1" applyFont="1" applyFill="1" applyBorder="1" applyProtection="1">
      <protection locked="0"/>
    </xf>
    <xf numFmtId="3" fontId="13" fillId="8" borderId="9" xfId="0" applyNumberFormat="1" applyFont="1" applyFill="1" applyBorder="1" applyProtection="1">
      <protection locked="0"/>
    </xf>
    <xf numFmtId="3" fontId="13" fillId="4" borderId="55" xfId="0" applyNumberFormat="1" applyFont="1" applyFill="1" applyBorder="1" applyProtection="1">
      <protection locked="0"/>
    </xf>
    <xf numFmtId="3" fontId="13" fillId="0" borderId="5" xfId="0" applyNumberFormat="1" applyFont="1" applyFill="1" applyBorder="1" applyProtection="1">
      <protection locked="0"/>
    </xf>
    <xf numFmtId="0" fontId="14" fillId="0" borderId="14" xfId="0" applyFont="1" applyFill="1" applyBorder="1" applyAlignment="1">
      <alignment horizontal="center"/>
    </xf>
    <xf numFmtId="166" fontId="13" fillId="6" borderId="15" xfId="0" applyNumberFormat="1" applyFont="1" applyFill="1" applyBorder="1" applyAlignment="1" applyProtection="1">
      <alignment horizontal="center"/>
      <protection locked="0"/>
    </xf>
    <xf numFmtId="166" fontId="13" fillId="0" borderId="9" xfId="0" applyNumberFormat="1" applyFont="1" applyBorder="1" applyAlignment="1">
      <alignment horizontal="center"/>
    </xf>
    <xf numFmtId="0" fontId="58" fillId="9" borderId="1" xfId="0" quotePrefix="1" applyFont="1" applyFill="1" applyBorder="1" applyProtection="1"/>
    <xf numFmtId="0" fontId="0" fillId="0" borderId="6" xfId="0" applyBorder="1" applyAlignment="1">
      <alignment vertical="top"/>
    </xf>
    <xf numFmtId="3" fontId="13" fillId="14" borderId="6" xfId="0" applyNumberFormat="1" applyFont="1" applyFill="1" applyBorder="1" applyProtection="1">
      <protection locked="0"/>
    </xf>
    <xf numFmtId="3" fontId="13" fillId="14" borderId="5" xfId="0" applyNumberFormat="1" applyFont="1" applyFill="1" applyBorder="1" applyProtection="1">
      <protection locked="0"/>
    </xf>
    <xf numFmtId="0" fontId="14" fillId="3" borderId="10" xfId="0" applyFont="1" applyFill="1" applyBorder="1"/>
    <xf numFmtId="0" fontId="15" fillId="3" borderId="1" xfId="0" applyFont="1" applyFill="1" applyBorder="1"/>
    <xf numFmtId="0" fontId="0" fillId="0" borderId="11" xfId="0" applyBorder="1" applyAlignment="1">
      <alignment vertical="top"/>
    </xf>
    <xf numFmtId="0" fontId="17" fillId="9" borderId="10" xfId="0" applyFont="1" applyFill="1" applyBorder="1" applyProtection="1">
      <protection locked="0"/>
    </xf>
    <xf numFmtId="0" fontId="14" fillId="0" borderId="9" xfId="0" applyFont="1" applyFill="1" applyBorder="1" applyAlignment="1" applyProtection="1">
      <alignment horizontal="center"/>
      <protection locked="0"/>
    </xf>
    <xf numFmtId="0" fontId="20" fillId="3" borderId="1" xfId="0" applyFont="1" applyFill="1" applyBorder="1"/>
    <xf numFmtId="0" fontId="20" fillId="3" borderId="8" xfId="0" applyFont="1" applyFill="1" applyBorder="1"/>
    <xf numFmtId="0" fontId="14" fillId="4" borderId="11" xfId="0" applyFont="1" applyFill="1" applyBorder="1"/>
    <xf numFmtId="0" fontId="13" fillId="4" borderId="12" xfId="0" applyFont="1" applyFill="1" applyBorder="1"/>
    <xf numFmtId="3" fontId="31" fillId="0" borderId="0" xfId="0" applyNumberFormat="1" applyFont="1" applyBorder="1"/>
    <xf numFmtId="1" fontId="13" fillId="0" borderId="0" xfId="0" applyNumberFormat="1" applyFont="1" applyFill="1" applyBorder="1" applyProtection="1">
      <protection locked="0"/>
    </xf>
    <xf numFmtId="1" fontId="13" fillId="0" borderId="3" xfId="0" applyNumberFormat="1" applyFont="1" applyFill="1" applyBorder="1" applyProtection="1">
      <protection locked="0"/>
    </xf>
    <xf numFmtId="0" fontId="13" fillId="3" borderId="13" xfId="0" applyFont="1" applyFill="1" applyBorder="1" applyAlignment="1" applyProtection="1">
      <alignment horizontal="center"/>
    </xf>
    <xf numFmtId="0" fontId="32" fillId="0" borderId="1" xfId="0" applyFont="1" applyFill="1" applyBorder="1"/>
    <xf numFmtId="14" fontId="32" fillId="0" borderId="1" xfId="0" applyNumberFormat="1" applyFont="1" applyFill="1" applyBorder="1"/>
    <xf numFmtId="0" fontId="32" fillId="0" borderId="8" xfId="0" applyFont="1" applyFill="1" applyBorder="1"/>
    <xf numFmtId="9" fontId="30" fillId="0" borderId="0" xfId="6" applyFont="1" applyFill="1" applyBorder="1"/>
    <xf numFmtId="0" fontId="14" fillId="0" borderId="3" xfId="0" applyFont="1" applyBorder="1"/>
    <xf numFmtId="0" fontId="13" fillId="0" borderId="3" xfId="0" applyFont="1" applyFill="1" applyBorder="1" applyProtection="1">
      <protection locked="0"/>
    </xf>
    <xf numFmtId="0" fontId="14" fillId="0" borderId="6" xfId="0" applyFont="1" applyBorder="1"/>
    <xf numFmtId="0" fontId="48" fillId="4" borderId="10" xfId="0" applyFont="1" applyFill="1" applyBorder="1"/>
    <xf numFmtId="0" fontId="15" fillId="0" borderId="2" xfId="0" applyFont="1" applyBorder="1"/>
    <xf numFmtId="0" fontId="15" fillId="0" borderId="4" xfId="0" applyFont="1" applyBorder="1"/>
    <xf numFmtId="0" fontId="14" fillId="4" borderId="4" xfId="0" applyFont="1" applyFill="1" applyBorder="1"/>
    <xf numFmtId="3" fontId="14" fillId="4" borderId="6" xfId="0" applyNumberFormat="1" applyFont="1" applyFill="1" applyBorder="1"/>
    <xf numFmtId="0" fontId="14" fillId="4" borderId="5" xfId="0" applyFont="1" applyFill="1" applyBorder="1"/>
    <xf numFmtId="3" fontId="14" fillId="4" borderId="5" xfId="0" applyNumberFormat="1" applyFont="1" applyFill="1" applyBorder="1"/>
    <xf numFmtId="0" fontId="59" fillId="0" borderId="2" xfId="0" quotePrefix="1" applyFont="1" applyBorder="1"/>
    <xf numFmtId="0" fontId="32" fillId="3" borderId="46" xfId="0" applyFont="1" applyFill="1" applyBorder="1"/>
    <xf numFmtId="0" fontId="13" fillId="3" borderId="56" xfId="0" applyFont="1" applyFill="1" applyBorder="1"/>
    <xf numFmtId="14" fontId="32" fillId="3" borderId="46" xfId="0" applyNumberFormat="1" applyFont="1" applyFill="1" applyBorder="1"/>
    <xf numFmtId="0" fontId="32" fillId="3" borderId="47" xfId="0" applyFont="1" applyFill="1" applyBorder="1"/>
    <xf numFmtId="0" fontId="13" fillId="4" borderId="51" xfId="0" applyFont="1" applyFill="1" applyBorder="1"/>
    <xf numFmtId="9" fontId="13" fillId="4" borderId="1" xfId="0" applyNumberFormat="1" applyFont="1" applyFill="1" applyBorder="1" applyProtection="1">
      <protection locked="0"/>
    </xf>
    <xf numFmtId="9" fontId="13" fillId="6" borderId="9" xfId="0" applyNumberFormat="1" applyFont="1" applyFill="1" applyBorder="1" applyProtection="1">
      <protection locked="0"/>
    </xf>
    <xf numFmtId="0" fontId="45" fillId="0" borderId="0" xfId="0" applyFont="1" applyBorder="1" applyProtection="1">
      <protection locked="0"/>
    </xf>
    <xf numFmtId="0" fontId="20" fillId="6" borderId="11" xfId="0" applyFont="1" applyFill="1" applyBorder="1" applyAlignment="1" applyProtection="1">
      <protection locked="0"/>
    </xf>
    <xf numFmtId="0" fontId="20" fillId="6" borderId="7" xfId="0" applyFont="1" applyFill="1" applyBorder="1" applyAlignment="1" applyProtection="1">
      <protection locked="0"/>
    </xf>
    <xf numFmtId="0" fontId="20" fillId="6" borderId="12" xfId="0" applyFont="1" applyFill="1" applyBorder="1" applyAlignment="1" applyProtection="1">
      <protection locked="0"/>
    </xf>
    <xf numFmtId="0" fontId="20" fillId="6" borderId="11" xfId="0" applyNumberFormat="1" applyFont="1" applyFill="1" applyBorder="1" applyAlignment="1" applyProtection="1">
      <alignment horizontal="center"/>
      <protection locked="0"/>
    </xf>
    <xf numFmtId="0" fontId="0" fillId="0" borderId="12" xfId="0" applyBorder="1" applyAlignment="1" applyProtection="1">
      <alignment horizontal="center"/>
      <protection locked="0"/>
    </xf>
    <xf numFmtId="0" fontId="20" fillId="0" borderId="0" xfId="0" applyFont="1" applyFill="1" applyBorder="1" applyAlignment="1" applyProtection="1">
      <protection locked="0"/>
    </xf>
    <xf numFmtId="0" fontId="33" fillId="0" borderId="5" xfId="0" applyFont="1" applyBorder="1" applyAlignment="1">
      <alignment horizontal="center"/>
    </xf>
    <xf numFmtId="0" fontId="17" fillId="9" borderId="2" xfId="0" applyFont="1" applyFill="1" applyBorder="1" applyAlignment="1">
      <alignment horizontal="center"/>
    </xf>
    <xf numFmtId="0" fontId="13" fillId="9" borderId="0" xfId="0" applyFont="1" applyFill="1" applyBorder="1" applyAlignment="1">
      <alignment horizontal="center"/>
    </xf>
    <xf numFmtId="0" fontId="13" fillId="9" borderId="3" xfId="0" applyFont="1" applyFill="1" applyBorder="1" applyAlignment="1">
      <alignment horizontal="center"/>
    </xf>
    <xf numFmtId="0" fontId="17" fillId="9" borderId="57" xfId="0" applyFont="1" applyFill="1" applyBorder="1" applyAlignment="1">
      <alignment horizontal="center"/>
    </xf>
    <xf numFmtId="0" fontId="13" fillId="9" borderId="46" xfId="0" applyFont="1" applyFill="1" applyBorder="1" applyAlignment="1">
      <alignment horizontal="center"/>
    </xf>
    <xf numFmtId="0" fontId="0" fillId="0" borderId="46" xfId="0" applyBorder="1" applyAlignment="1">
      <alignment horizontal="center"/>
    </xf>
    <xf numFmtId="0" fontId="0" fillId="0" borderId="56" xfId="0" applyBorder="1" applyAlignment="1">
      <alignment horizontal="center"/>
    </xf>
    <xf numFmtId="0" fontId="15" fillId="3" borderId="10" xfId="0" applyFont="1" applyFill="1" applyBorder="1" applyAlignment="1" applyProtection="1">
      <alignment horizontal="center" vertical="center"/>
    </xf>
    <xf numFmtId="0" fontId="15" fillId="3" borderId="1" xfId="0" applyFont="1" applyFill="1" applyBorder="1" applyAlignment="1" applyProtection="1"/>
    <xf numFmtId="0" fontId="15" fillId="3" borderId="8" xfId="0" applyFont="1" applyFill="1" applyBorder="1" applyAlignment="1" applyProtection="1"/>
    <xf numFmtId="0" fontId="15" fillId="3" borderId="4" xfId="0" applyFont="1" applyFill="1" applyBorder="1" applyAlignment="1" applyProtection="1"/>
    <xf numFmtId="0" fontId="15" fillId="3" borderId="5" xfId="0" applyFont="1" applyFill="1" applyBorder="1" applyAlignment="1" applyProtection="1"/>
    <xf numFmtId="0" fontId="15" fillId="3" borderId="6" xfId="0" applyFont="1" applyFill="1" applyBorder="1" applyAlignment="1" applyProtection="1"/>
    <xf numFmtId="0" fontId="13" fillId="4" borderId="11" xfId="0" applyFont="1" applyFill="1" applyBorder="1" applyAlignment="1" applyProtection="1">
      <alignment horizontal="center"/>
      <protection locked="0"/>
    </xf>
    <xf numFmtId="0" fontId="0" fillId="0" borderId="12" xfId="0" applyBorder="1" applyAlignment="1">
      <alignment horizontal="center"/>
    </xf>
    <xf numFmtId="0" fontId="13" fillId="4" borderId="11" xfId="0" applyFont="1" applyFill="1" applyBorder="1" applyAlignment="1" applyProtection="1">
      <protection locked="0"/>
    </xf>
    <xf numFmtId="0" fontId="13" fillId="4" borderId="12" xfId="0" applyFont="1" applyFill="1" applyBorder="1" applyAlignment="1" applyProtection="1">
      <protection locked="0"/>
    </xf>
    <xf numFmtId="0" fontId="13" fillId="4" borderId="4" xfId="0" applyFont="1" applyFill="1" applyBorder="1" applyAlignment="1" applyProtection="1">
      <protection locked="0"/>
    </xf>
    <xf numFmtId="0" fontId="0" fillId="0" borderId="5" xfId="0" applyBorder="1" applyAlignment="1" applyProtection="1">
      <protection locked="0"/>
    </xf>
    <xf numFmtId="0" fontId="0" fillId="0" borderId="6" xfId="0" applyBorder="1" applyAlignment="1" applyProtection="1">
      <protection locked="0"/>
    </xf>
    <xf numFmtId="0" fontId="13" fillId="4" borderId="10" xfId="0" applyFont="1" applyFill="1" applyBorder="1" applyAlignment="1" applyProtection="1">
      <protection locked="0"/>
    </xf>
    <xf numFmtId="0" fontId="0" fillId="0" borderId="1" xfId="0" applyBorder="1" applyAlignment="1" applyProtection="1">
      <protection locked="0"/>
    </xf>
    <xf numFmtId="0" fontId="0" fillId="0" borderId="8" xfId="0" applyBorder="1" applyAlignment="1" applyProtection="1">
      <protection locked="0"/>
    </xf>
    <xf numFmtId="0" fontId="13" fillId="4" borderId="2" xfId="0" applyFont="1" applyFill="1" applyBorder="1" applyAlignment="1" applyProtection="1">
      <protection locked="0"/>
    </xf>
    <xf numFmtId="0" fontId="0" fillId="0" borderId="0" xfId="0" applyAlignment="1" applyProtection="1">
      <protection locked="0"/>
    </xf>
    <xf numFmtId="0" fontId="0" fillId="0" borderId="3" xfId="0" applyBorder="1" applyAlignment="1" applyProtection="1">
      <protection locked="0"/>
    </xf>
    <xf numFmtId="10" fontId="13" fillId="4" borderId="2" xfId="0" applyNumberFormat="1" applyFont="1" applyFill="1" applyBorder="1" applyAlignment="1" applyProtection="1">
      <protection locked="0"/>
    </xf>
    <xf numFmtId="0" fontId="0" fillId="0" borderId="12" xfId="0" applyBorder="1" applyAlignment="1" applyProtection="1">
      <protection locked="0"/>
    </xf>
    <xf numFmtId="0" fontId="13" fillId="4" borderId="10" xfId="0" applyFont="1" applyFill="1" applyBorder="1" applyAlignment="1"/>
    <xf numFmtId="0" fontId="0" fillId="0" borderId="1" xfId="0" applyBorder="1" applyAlignment="1"/>
    <xf numFmtId="0" fontId="0" fillId="0" borderId="8" xfId="0" applyBorder="1" applyAlignment="1"/>
    <xf numFmtId="0" fontId="0" fillId="0" borderId="2" xfId="0" applyBorder="1" applyAlignment="1"/>
    <xf numFmtId="0" fontId="0" fillId="0" borderId="0" xfId="0"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15" fillId="4" borderId="11" xfId="0" applyFont="1" applyFill="1" applyBorder="1" applyAlignment="1" applyProtection="1">
      <protection locked="0"/>
    </xf>
    <xf numFmtId="0" fontId="0" fillId="0" borderId="7" xfId="0" applyBorder="1" applyAlignment="1" applyProtection="1">
      <protection locked="0"/>
    </xf>
    <xf numFmtId="0" fontId="15" fillId="4" borderId="10" xfId="0" applyFont="1" applyFill="1" applyBorder="1" applyAlignment="1"/>
    <xf numFmtId="3" fontId="14" fillId="3" borderId="11" xfId="4" applyNumberFormat="1" applyFont="1" applyFill="1" applyBorder="1" applyAlignment="1" applyProtection="1">
      <alignment horizontal="center" vertical="top"/>
    </xf>
    <xf numFmtId="0" fontId="0" fillId="0" borderId="12" xfId="0" applyBorder="1" applyAlignment="1">
      <alignment horizontal="center" vertical="top"/>
    </xf>
    <xf numFmtId="3" fontId="13" fillId="6" borderId="11" xfId="4" applyNumberFormat="1" applyFont="1" applyFill="1" applyBorder="1" applyAlignment="1" applyProtection="1">
      <alignment horizontal="center" vertical="top"/>
      <protection locked="0"/>
    </xf>
    <xf numFmtId="0" fontId="0" fillId="6" borderId="12" xfId="0" applyFill="1" applyBorder="1" applyAlignment="1" applyProtection="1">
      <alignment horizontal="center" vertical="top"/>
      <protection locked="0"/>
    </xf>
    <xf numFmtId="1" fontId="14" fillId="4" borderId="9" xfId="0" applyNumberFormat="1" applyFont="1" applyFill="1" applyBorder="1" applyAlignment="1" applyProtection="1">
      <alignment horizontal="center" vertical="top"/>
    </xf>
    <xf numFmtId="0" fontId="0" fillId="4" borderId="9" xfId="0" applyFill="1" applyBorder="1" applyAlignment="1">
      <alignment horizontal="center" vertical="top"/>
    </xf>
    <xf numFmtId="0" fontId="13" fillId="4" borderId="11" xfId="0" applyFont="1" applyFill="1" applyBorder="1" applyAlignment="1">
      <alignment horizontal="center"/>
    </xf>
    <xf numFmtId="0" fontId="0" fillId="4" borderId="7" xfId="0" applyFill="1" applyBorder="1" applyAlignment="1">
      <alignment horizontal="center"/>
    </xf>
    <xf numFmtId="0" fontId="0" fillId="4" borderId="12" xfId="0" applyFill="1" applyBorder="1" applyAlignment="1">
      <alignment horizontal="center"/>
    </xf>
    <xf numFmtId="3" fontId="13" fillId="6" borderId="4" xfId="4" applyNumberFormat="1" applyFont="1" applyFill="1" applyBorder="1" applyAlignment="1" applyProtection="1">
      <alignment horizontal="center" vertical="top"/>
      <protection locked="0"/>
    </xf>
    <xf numFmtId="0" fontId="0" fillId="6" borderId="6" xfId="0" applyFill="1" applyBorder="1" applyAlignment="1" applyProtection="1">
      <alignment horizontal="center" vertical="top"/>
      <protection locked="0"/>
    </xf>
    <xf numFmtId="1" fontId="14" fillId="3" borderId="9" xfId="0" applyNumberFormat="1" applyFont="1" applyFill="1" applyBorder="1" applyAlignment="1" applyProtection="1">
      <alignment horizontal="center" vertical="top"/>
    </xf>
    <xf numFmtId="0" fontId="0" fillId="0" borderId="9" xfId="0" applyBorder="1" applyAlignment="1">
      <alignment horizontal="center" vertical="top"/>
    </xf>
    <xf numFmtId="3" fontId="14" fillId="4" borderId="11" xfId="4" applyNumberFormat="1" applyFont="1" applyFill="1" applyBorder="1" applyAlignment="1" applyProtection="1">
      <alignment horizontal="center" vertical="top"/>
    </xf>
    <xf numFmtId="0" fontId="0" fillId="4" borderId="12" xfId="0" applyFill="1" applyBorder="1" applyAlignment="1">
      <alignment horizontal="center" vertical="top"/>
    </xf>
    <xf numFmtId="0" fontId="14" fillId="3" borderId="11" xfId="0" applyFont="1" applyFill="1" applyBorder="1" applyAlignment="1">
      <alignment horizontal="center"/>
    </xf>
    <xf numFmtId="0" fontId="0" fillId="0" borderId="7" xfId="0" applyBorder="1" applyAlignment="1">
      <alignment horizontal="center"/>
    </xf>
    <xf numFmtId="0" fontId="14" fillId="3" borderId="10" xfId="0" applyFont="1" applyFill="1" applyBorder="1" applyAlignment="1" applyProtection="1">
      <alignment horizontal="center" vertical="top"/>
    </xf>
    <xf numFmtId="0" fontId="0" fillId="0" borderId="1" xfId="0" applyBorder="1" applyAlignment="1" applyProtection="1">
      <alignment horizontal="center"/>
    </xf>
    <xf numFmtId="0" fontId="0" fillId="0" borderId="1" xfId="0" applyBorder="1" applyAlignment="1" applyProtection="1"/>
    <xf numFmtId="0" fontId="0" fillId="0" borderId="8" xfId="0" applyBorder="1" applyAlignment="1" applyProtection="1"/>
    <xf numFmtId="0" fontId="14" fillId="3" borderId="11" xfId="0" applyFont="1" applyFill="1" applyBorder="1" applyAlignment="1" applyProtection="1">
      <alignment horizontal="center" vertical="top"/>
    </xf>
    <xf numFmtId="0" fontId="0" fillId="0" borderId="7" xfId="0" applyBorder="1" applyAlignment="1" applyProtection="1">
      <alignment horizontal="center"/>
    </xf>
    <xf numFmtId="0" fontId="0" fillId="0" borderId="7" xfId="0" applyBorder="1" applyAlignment="1" applyProtection="1"/>
    <xf numFmtId="0" fontId="0" fillId="0" borderId="12" xfId="0" applyBorder="1" applyAlignment="1" applyProtection="1"/>
    <xf numFmtId="0" fontId="14" fillId="2" borderId="10" xfId="0" applyFont="1" applyFill="1" applyBorder="1" applyAlignment="1" applyProtection="1">
      <alignment horizontal="center"/>
    </xf>
    <xf numFmtId="0" fontId="0" fillId="0" borderId="1" xfId="0" applyBorder="1" applyAlignment="1">
      <alignment horizontal="center"/>
    </xf>
    <xf numFmtId="0" fontId="0" fillId="0" borderId="8" xfId="0" applyBorder="1" applyAlignment="1">
      <alignment horizontal="center"/>
    </xf>
    <xf numFmtId="0" fontId="14" fillId="3" borderId="11" xfId="0" applyFont="1" applyFill="1" applyBorder="1" applyAlignment="1" applyProtection="1">
      <alignment horizontal="center"/>
    </xf>
    <xf numFmtId="0" fontId="0" fillId="0" borderId="7" xfId="0" applyBorder="1" applyAlignment="1"/>
    <xf numFmtId="0" fontId="0" fillId="0" borderId="12" xfId="0" applyBorder="1" applyAlignment="1"/>
    <xf numFmtId="0" fontId="14" fillId="3" borderId="13" xfId="0" applyFont="1" applyFill="1" applyBorder="1" applyAlignment="1" applyProtection="1">
      <alignment horizontal="center" vertical="center"/>
    </xf>
    <xf numFmtId="0" fontId="0" fillId="0" borderId="14" xfId="0" applyBorder="1" applyAlignment="1">
      <alignment horizontal="center" vertical="center"/>
    </xf>
    <xf numFmtId="0" fontId="6" fillId="4" borderId="11" xfId="0" applyFont="1" applyFill="1" applyBorder="1" applyAlignment="1">
      <alignment horizontal="center"/>
    </xf>
    <xf numFmtId="49" fontId="14" fillId="3" borderId="11" xfId="0" applyNumberFormat="1" applyFont="1" applyFill="1" applyBorder="1" applyAlignment="1">
      <alignment horizontal="center"/>
    </xf>
    <xf numFmtId="0" fontId="14" fillId="0" borderId="7" xfId="0" applyFont="1" applyBorder="1" applyAlignment="1">
      <alignment horizontal="center"/>
    </xf>
    <xf numFmtId="0" fontId="14" fillId="0" borderId="12" xfId="0" applyFont="1" applyBorder="1" applyAlignment="1">
      <alignment horizontal="center"/>
    </xf>
    <xf numFmtId="0" fontId="1" fillId="0" borderId="7" xfId="0" applyFont="1" applyBorder="1" applyAlignment="1">
      <alignment horizontal="center"/>
    </xf>
    <xf numFmtId="0" fontId="1" fillId="0" borderId="12" xfId="0" applyFont="1" applyBorder="1" applyAlignment="1">
      <alignment horizontal="center"/>
    </xf>
    <xf numFmtId="0" fontId="14" fillId="4" borderId="11" xfId="0" applyFont="1" applyFill="1" applyBorder="1" applyAlignment="1">
      <alignment horizontal="center"/>
    </xf>
    <xf numFmtId="0" fontId="57" fillId="3" borderId="7" xfId="0" applyFont="1" applyFill="1" applyBorder="1" applyAlignment="1" applyProtection="1">
      <alignment horizontal="center"/>
    </xf>
    <xf numFmtId="0" fontId="57" fillId="3" borderId="12" xfId="0" applyFont="1" applyFill="1" applyBorder="1" applyAlignment="1" applyProtection="1">
      <alignment horizontal="center"/>
    </xf>
    <xf numFmtId="0" fontId="14" fillId="4" borderId="11" xfId="0" applyFont="1" applyFill="1" applyBorder="1" applyAlignment="1" applyProtection="1">
      <alignment horizontal="center"/>
    </xf>
    <xf numFmtId="0" fontId="0" fillId="4" borderId="7" xfId="0" applyFill="1" applyBorder="1" applyAlignment="1" applyProtection="1">
      <alignment horizontal="center"/>
    </xf>
    <xf numFmtId="0" fontId="0" fillId="4" borderId="12" xfId="0" applyFill="1" applyBorder="1" applyAlignment="1" applyProtection="1">
      <alignment horizontal="center"/>
    </xf>
    <xf numFmtId="0" fontId="13" fillId="4" borderId="10" xfId="0" applyFont="1" applyFill="1" applyBorder="1" applyAlignment="1" applyProtection="1">
      <alignment vertical="top"/>
      <protection locked="0"/>
    </xf>
    <xf numFmtId="0" fontId="0" fillId="0" borderId="1" xfId="0" applyBorder="1" applyAlignment="1">
      <alignment vertical="top"/>
    </xf>
    <xf numFmtId="0" fontId="0" fillId="0" borderId="8" xfId="0" applyBorder="1" applyAlignment="1">
      <alignment vertical="top"/>
    </xf>
    <xf numFmtId="0" fontId="0" fillId="0" borderId="2" xfId="0" applyBorder="1" applyAlignment="1">
      <alignment vertical="top"/>
    </xf>
    <xf numFmtId="0" fontId="0" fillId="0" borderId="0"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13" fillId="3" borderId="11" xfId="0" applyFont="1" applyFill="1" applyBorder="1" applyAlignment="1">
      <alignment horizontal="left"/>
    </xf>
    <xf numFmtId="0" fontId="0" fillId="3" borderId="7" xfId="0" applyFill="1" applyBorder="1" applyAlignment="1">
      <alignment horizontal="left"/>
    </xf>
    <xf numFmtId="1" fontId="14" fillId="3" borderId="11" xfId="0" applyNumberFormat="1" applyFont="1" applyFill="1" applyBorder="1" applyAlignment="1" applyProtection="1">
      <alignment horizontal="center"/>
    </xf>
    <xf numFmtId="0" fontId="13" fillId="0" borderId="0" xfId="0" applyFont="1" applyFill="1" applyAlignment="1"/>
    <xf numFmtId="0" fontId="0" fillId="0" borderId="0" xfId="0" applyBorder="1" applyAlignment="1" applyProtection="1">
      <protection locked="0"/>
    </xf>
    <xf numFmtId="0" fontId="13" fillId="4" borderId="4" xfId="0" applyFont="1" applyFill="1" applyBorder="1" applyAlignment="1" applyProtection="1">
      <alignment horizontal="center"/>
      <protection locked="0"/>
    </xf>
    <xf numFmtId="0" fontId="0" fillId="0" borderId="5" xfId="0" applyBorder="1" applyAlignment="1" applyProtection="1">
      <alignment horizontal="center"/>
      <protection locked="0"/>
    </xf>
    <xf numFmtId="0" fontId="13" fillId="4" borderId="2" xfId="0" applyNumberFormat="1" applyFont="1" applyFill="1" applyBorder="1" applyAlignment="1" applyProtection="1">
      <alignment horizontal="center"/>
      <protection locked="0"/>
    </xf>
    <xf numFmtId="0" fontId="13" fillId="4" borderId="3" xfId="0" applyNumberFormat="1" applyFont="1" applyFill="1" applyBorder="1" applyAlignment="1" applyProtection="1">
      <alignment horizontal="center"/>
      <protection locked="0"/>
    </xf>
    <xf numFmtId="0" fontId="13" fillId="4" borderId="2" xfId="0" applyFont="1" applyFill="1" applyBorder="1" applyAlignment="1" applyProtection="1">
      <alignment horizontal="center"/>
      <protection locked="0"/>
    </xf>
    <xf numFmtId="0" fontId="0" fillId="0" borderId="0" xfId="0" applyBorder="1" applyAlignment="1" applyProtection="1">
      <alignment horizontal="center"/>
      <protection locked="0"/>
    </xf>
    <xf numFmtId="0" fontId="13" fillId="4" borderId="2" xfId="0" applyNumberFormat="1" applyFont="1" applyFill="1" applyBorder="1" applyAlignment="1" applyProtection="1">
      <protection locked="0"/>
    </xf>
    <xf numFmtId="0" fontId="13" fillId="4" borderId="0" xfId="0" applyNumberFormat="1" applyFont="1" applyFill="1" applyBorder="1" applyAlignment="1" applyProtection="1">
      <protection locked="0"/>
    </xf>
    <xf numFmtId="0" fontId="13" fillId="4" borderId="4" xfId="0" applyNumberFormat="1" applyFont="1" applyFill="1" applyBorder="1" applyAlignment="1" applyProtection="1">
      <alignment horizontal="left"/>
      <protection locked="0"/>
    </xf>
    <xf numFmtId="0" fontId="13" fillId="4" borderId="5" xfId="0" applyNumberFormat="1" applyFont="1" applyFill="1" applyBorder="1" applyAlignment="1" applyProtection="1">
      <alignment horizontal="left"/>
      <protection locked="0"/>
    </xf>
    <xf numFmtId="0" fontId="13" fillId="4" borderId="10" xfId="0" applyNumberFormat="1" applyFont="1" applyFill="1" applyBorder="1" applyAlignment="1" applyProtection="1">
      <protection locked="0"/>
    </xf>
    <xf numFmtId="0" fontId="13" fillId="4" borderId="1" xfId="0" applyNumberFormat="1" applyFont="1" applyFill="1" applyBorder="1" applyAlignment="1" applyProtection="1">
      <protection locked="0"/>
    </xf>
    <xf numFmtId="0" fontId="13" fillId="4" borderId="4" xfId="0" applyNumberFormat="1" applyFont="1" applyFill="1" applyBorder="1" applyAlignment="1" applyProtection="1">
      <protection locked="0"/>
    </xf>
    <xf numFmtId="0" fontId="13" fillId="4" borderId="4" xfId="0" applyNumberFormat="1" applyFont="1" applyFill="1" applyBorder="1" applyAlignment="1" applyProtection="1">
      <alignment horizontal="center"/>
      <protection locked="0"/>
    </xf>
    <xf numFmtId="0" fontId="13" fillId="4" borderId="6" xfId="0" applyNumberFormat="1" applyFont="1" applyFill="1" applyBorder="1" applyAlignment="1" applyProtection="1">
      <alignment horizontal="center"/>
      <protection locked="0"/>
    </xf>
    <xf numFmtId="0" fontId="13" fillId="4" borderId="10" xfId="0" applyNumberFormat="1" applyFont="1" applyFill="1" applyBorder="1" applyAlignment="1" applyProtection="1">
      <alignment horizontal="center"/>
      <protection locked="0"/>
    </xf>
    <xf numFmtId="0" fontId="13" fillId="4" borderId="8" xfId="0" applyNumberFormat="1" applyFont="1" applyFill="1" applyBorder="1" applyAlignment="1" applyProtection="1">
      <alignment horizontal="center"/>
      <protection locked="0"/>
    </xf>
    <xf numFmtId="0" fontId="13" fillId="0" borderId="10" xfId="0" applyNumberFormat="1" applyFont="1" applyFill="1" applyBorder="1" applyAlignment="1">
      <alignment horizontal="center"/>
    </xf>
    <xf numFmtId="0" fontId="13" fillId="0" borderId="8" xfId="0" applyNumberFormat="1" applyFont="1" applyFill="1" applyBorder="1" applyAlignment="1">
      <alignment horizontal="center"/>
    </xf>
    <xf numFmtId="0" fontId="0" fillId="0" borderId="11" xfId="0" applyBorder="1" applyAlignment="1">
      <alignment horizontal="center"/>
    </xf>
    <xf numFmtId="0" fontId="13" fillId="0" borderId="1" xfId="0" applyNumberFormat="1" applyFont="1" applyFill="1" applyBorder="1" applyAlignment="1">
      <alignment horizontal="center"/>
    </xf>
    <xf numFmtId="0" fontId="13" fillId="0" borderId="11" xfId="0" applyNumberFormat="1" applyFont="1" applyFill="1" applyBorder="1" applyAlignment="1">
      <alignment horizontal="center"/>
    </xf>
    <xf numFmtId="0" fontId="0" fillId="0" borderId="8" xfId="0" applyBorder="1" applyAlignment="1" applyProtection="1">
      <alignment horizontal="center" vertical="top"/>
    </xf>
    <xf numFmtId="0" fontId="17" fillId="9" borderId="1" xfId="0" applyFont="1" applyFill="1" applyBorder="1" applyAlignment="1">
      <alignment horizontal="center"/>
    </xf>
    <xf numFmtId="0" fontId="13" fillId="2" borderId="13" xfId="0" applyFont="1" applyFill="1" applyBorder="1" applyAlignment="1" applyProtection="1">
      <alignment horizontal="center" vertical="center"/>
    </xf>
    <xf numFmtId="0" fontId="0" fillId="0" borderId="15" xfId="0" applyBorder="1" applyAlignment="1" applyProtection="1">
      <alignment horizontal="center" vertical="center"/>
    </xf>
    <xf numFmtId="0" fontId="0" fillId="0" borderId="14" xfId="0" applyBorder="1" applyAlignment="1" applyProtection="1">
      <alignment horizontal="center" vertical="center"/>
    </xf>
    <xf numFmtId="0" fontId="13" fillId="2" borderId="15" xfId="0" applyFont="1" applyFill="1" applyBorder="1" applyAlignment="1" applyProtection="1">
      <alignment horizontal="center" vertical="center"/>
    </xf>
    <xf numFmtId="0" fontId="0" fillId="0" borderId="14" xfId="0" applyBorder="1" applyAlignment="1" applyProtection="1"/>
    <xf numFmtId="0" fontId="13" fillId="3" borderId="11" xfId="0" applyFont="1" applyFill="1" applyBorder="1" applyAlignment="1">
      <alignment horizontal="left" vertical="top"/>
    </xf>
    <xf numFmtId="0" fontId="13" fillId="3" borderId="12" xfId="0" applyFont="1" applyFill="1" applyBorder="1" applyAlignment="1">
      <alignment horizontal="left" vertical="top"/>
    </xf>
    <xf numFmtId="0" fontId="14" fillId="3" borderId="10" xfId="0" applyFont="1" applyFill="1" applyBorder="1" applyAlignment="1">
      <alignment horizontal="center" vertical="top"/>
    </xf>
    <xf numFmtId="0" fontId="13" fillId="2" borderId="13"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14" xfId="0" applyFont="1" applyFill="1" applyBorder="1" applyAlignment="1">
      <alignment horizontal="center" vertical="center"/>
    </xf>
    <xf numFmtId="0" fontId="0" fillId="0" borderId="8" xfId="0" applyBorder="1" applyAlignment="1">
      <alignment horizontal="center" vertical="top"/>
    </xf>
    <xf numFmtId="0" fontId="13" fillId="3" borderId="11" xfId="0" applyFont="1" applyFill="1" applyBorder="1" applyAlignment="1" applyProtection="1"/>
    <xf numFmtId="0" fontId="13" fillId="3" borderId="7" xfId="0" applyFont="1" applyFill="1" applyBorder="1" applyAlignment="1" applyProtection="1"/>
    <xf numFmtId="0" fontId="13" fillId="3" borderId="12" xfId="0" applyFont="1" applyFill="1" applyBorder="1" applyAlignment="1" applyProtection="1"/>
    <xf numFmtId="17" fontId="13" fillId="2" borderId="13" xfId="0" applyNumberFormat="1" applyFont="1" applyFill="1" applyBorder="1" applyAlignment="1" applyProtection="1">
      <alignment horizontal="center" vertical="center"/>
    </xf>
    <xf numFmtId="17" fontId="13" fillId="2" borderId="15" xfId="0" applyNumberFormat="1"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5" xfId="0" applyFont="1" applyBorder="1" applyAlignment="1" applyProtection="1"/>
    <xf numFmtId="0" fontId="2" fillId="0" borderId="14" xfId="0" applyFont="1" applyBorder="1" applyAlignment="1" applyProtection="1"/>
    <xf numFmtId="0" fontId="13" fillId="2" borderId="14" xfId="0" applyFont="1" applyFill="1" applyBorder="1" applyAlignment="1" applyProtection="1">
      <alignment horizontal="center" vertical="center"/>
    </xf>
    <xf numFmtId="0" fontId="13" fillId="2" borderId="10" xfId="0" applyFont="1" applyFill="1" applyBorder="1" applyAlignment="1" applyProtection="1">
      <alignment horizontal="center" vertical="center"/>
    </xf>
    <xf numFmtId="0" fontId="0" fillId="0" borderId="8" xfId="0" applyBorder="1" applyAlignment="1" applyProtection="1">
      <alignment horizontal="center" vertical="center"/>
    </xf>
    <xf numFmtId="0" fontId="0" fillId="0" borderId="2" xfId="0" applyBorder="1" applyAlignment="1" applyProtection="1">
      <alignment horizontal="center" vertical="center"/>
    </xf>
    <xf numFmtId="0" fontId="0" fillId="0" borderId="3" xfId="0" applyBorder="1" applyAlignment="1" applyProtection="1">
      <alignment horizontal="center" vertical="center"/>
    </xf>
    <xf numFmtId="0" fontId="0" fillId="0" borderId="4" xfId="0" applyBorder="1" applyAlignment="1" applyProtection="1">
      <alignment horizontal="center" vertical="center"/>
    </xf>
    <xf numFmtId="0" fontId="0" fillId="0" borderId="6" xfId="0" applyBorder="1" applyAlignment="1" applyProtection="1">
      <alignment horizontal="center" vertical="center"/>
    </xf>
    <xf numFmtId="0" fontId="14" fillId="3" borderId="4" xfId="0" applyFont="1" applyFill="1" applyBorder="1" applyAlignment="1" applyProtection="1">
      <alignment horizontal="center" vertical="top"/>
    </xf>
    <xf numFmtId="0" fontId="0" fillId="0" borderId="5" xfId="0" applyBorder="1" applyAlignment="1" applyProtection="1">
      <alignment horizontal="center" vertical="top"/>
    </xf>
    <xf numFmtId="0" fontId="13" fillId="2" borderId="11" xfId="0" applyFont="1" applyFill="1" applyBorder="1" applyAlignment="1" applyProtection="1">
      <alignment horizontal="left" vertical="center"/>
    </xf>
    <xf numFmtId="0" fontId="0" fillId="0" borderId="7" xfId="0" applyBorder="1" applyAlignment="1">
      <alignment horizontal="left" vertical="center"/>
    </xf>
    <xf numFmtId="0" fontId="0" fillId="0" borderId="5" xfId="0" applyBorder="1" applyAlignment="1">
      <alignment horizontal="center" vertical="top"/>
    </xf>
    <xf numFmtId="0" fontId="0" fillId="0" borderId="6" xfId="0" applyBorder="1" applyAlignment="1">
      <alignment horizontal="center" vertical="top"/>
    </xf>
    <xf numFmtId="17" fontId="13" fillId="2" borderId="11" xfId="0" applyNumberFormat="1" applyFont="1" applyFill="1" applyBorder="1" applyAlignment="1" applyProtection="1">
      <alignment horizontal="center" vertical="center"/>
    </xf>
    <xf numFmtId="0" fontId="13" fillId="2" borderId="11" xfId="0" applyFont="1" applyFill="1" applyBorder="1" applyAlignment="1" applyProtection="1">
      <alignment horizontal="center" vertical="center"/>
    </xf>
    <xf numFmtId="0" fontId="41" fillId="0" borderId="1" xfId="0" applyFont="1" applyFill="1" applyBorder="1" applyAlignment="1" applyProtection="1">
      <alignment horizontal="center" vertical="top"/>
    </xf>
    <xf numFmtId="0" fontId="42" fillId="0" borderId="1" xfId="0" applyFont="1" applyFill="1" applyBorder="1" applyAlignment="1" applyProtection="1"/>
    <xf numFmtId="0" fontId="42" fillId="0" borderId="8" xfId="0" applyFont="1" applyFill="1" applyBorder="1" applyAlignment="1" applyProtection="1"/>
    <xf numFmtId="0" fontId="41" fillId="0" borderId="0" xfId="0" applyFont="1" applyFill="1" applyBorder="1" applyAlignment="1" applyProtection="1">
      <alignment horizontal="center"/>
    </xf>
    <xf numFmtId="0" fontId="42" fillId="0" borderId="0" xfId="0" applyFont="1" applyFill="1" applyBorder="1" applyAlignment="1" applyProtection="1"/>
    <xf numFmtId="0" fontId="41" fillId="0" borderId="0" xfId="0" applyFont="1" applyFill="1" applyBorder="1" applyAlignment="1" applyProtection="1">
      <alignment horizontal="center" vertical="top"/>
    </xf>
    <xf numFmtId="0" fontId="41" fillId="0" borderId="9" xfId="0" applyFont="1" applyFill="1" applyBorder="1" applyAlignment="1" applyProtection="1">
      <alignment horizontal="center" vertical="top"/>
    </xf>
    <xf numFmtId="0" fontId="42" fillId="0" borderId="9" xfId="0" applyFont="1" applyFill="1" applyBorder="1" applyAlignment="1" applyProtection="1"/>
    <xf numFmtId="0" fontId="42" fillId="0" borderId="11" xfId="0" applyFont="1" applyFill="1" applyBorder="1" applyAlignment="1" applyProtection="1"/>
    <xf numFmtId="0" fontId="42" fillId="0" borderId="13" xfId="0" applyFont="1" applyFill="1" applyBorder="1" applyAlignment="1" applyProtection="1"/>
    <xf numFmtId="0" fontId="42" fillId="0" borderId="10" xfId="0" applyFont="1" applyFill="1" applyBorder="1" applyAlignment="1" applyProtection="1"/>
    <xf numFmtId="0" fontId="13" fillId="6" borderId="1" xfId="0" applyFont="1" applyFill="1" applyBorder="1" applyAlignment="1" applyProtection="1">
      <alignment vertical="top"/>
      <protection locked="0"/>
    </xf>
    <xf numFmtId="0" fontId="13" fillId="6" borderId="8" xfId="0" applyFont="1" applyFill="1" applyBorder="1" applyAlignment="1" applyProtection="1">
      <alignment vertical="top"/>
      <protection locked="0"/>
    </xf>
    <xf numFmtId="0" fontId="13" fillId="6" borderId="4" xfId="0" applyFont="1" applyFill="1" applyBorder="1" applyAlignment="1" applyProtection="1">
      <alignment vertical="top"/>
      <protection locked="0"/>
    </xf>
    <xf numFmtId="0" fontId="13" fillId="6" borderId="5" xfId="0" applyFont="1" applyFill="1" applyBorder="1" applyAlignment="1" applyProtection="1">
      <alignment vertical="top"/>
      <protection locked="0"/>
    </xf>
    <xf numFmtId="0" fontId="13" fillId="6" borderId="6" xfId="0" applyFont="1" applyFill="1" applyBorder="1" applyAlignment="1" applyProtection="1">
      <alignment vertical="top"/>
      <protection locked="0"/>
    </xf>
    <xf numFmtId="0" fontId="13" fillId="4" borderId="10" xfId="0" applyFont="1" applyFill="1" applyBorder="1" applyAlignment="1" applyProtection="1">
      <alignment vertical="top" wrapText="1"/>
      <protection locked="0"/>
    </xf>
    <xf numFmtId="0" fontId="13" fillId="0" borderId="1" xfId="0" applyFont="1" applyBorder="1" applyAlignment="1" applyProtection="1">
      <alignment vertical="top"/>
      <protection locked="0"/>
    </xf>
    <xf numFmtId="0" fontId="13" fillId="0" borderId="8" xfId="0" applyFont="1" applyBorder="1" applyAlignment="1" applyProtection="1">
      <alignment vertical="top"/>
      <protection locked="0"/>
    </xf>
    <xf numFmtId="0" fontId="13" fillId="0" borderId="4" xfId="0" applyFont="1" applyBorder="1" applyAlignment="1" applyProtection="1">
      <alignment vertical="top"/>
      <protection locked="0"/>
    </xf>
    <xf numFmtId="0" fontId="13" fillId="0" borderId="5" xfId="0" applyFont="1" applyBorder="1" applyAlignment="1" applyProtection="1">
      <alignment vertical="top"/>
      <protection locked="0"/>
    </xf>
    <xf numFmtId="0" fontId="13" fillId="0" borderId="6" xfId="0" applyFont="1" applyBorder="1" applyAlignment="1" applyProtection="1">
      <alignment vertical="top"/>
      <protection locked="0"/>
    </xf>
    <xf numFmtId="0" fontId="36" fillId="0" borderId="4" xfId="0" applyFont="1" applyFill="1" applyBorder="1" applyAlignment="1" applyProtection="1">
      <alignment horizontal="center"/>
      <protection hidden="1"/>
    </xf>
    <xf numFmtId="0" fontId="36" fillId="0" borderId="6" xfId="0" applyFont="1" applyFill="1" applyBorder="1" applyAlignment="1" applyProtection="1">
      <alignment horizontal="center"/>
      <protection hidden="1"/>
    </xf>
    <xf numFmtId="0" fontId="16" fillId="3" borderId="58" xfId="0" applyFont="1" applyFill="1" applyBorder="1" applyAlignment="1">
      <alignment horizontal="center"/>
    </xf>
    <xf numFmtId="0" fontId="16" fillId="3" borderId="59" xfId="0" applyFont="1" applyFill="1" applyBorder="1" applyAlignment="1">
      <alignment horizontal="center"/>
    </xf>
    <xf numFmtId="0" fontId="16" fillId="3" borderId="60" xfId="0" applyFont="1" applyFill="1" applyBorder="1" applyAlignment="1">
      <alignment horizontal="center"/>
    </xf>
  </cellXfs>
  <cellStyles count="8">
    <cellStyle name="Komma_Action Plan Parts Sales v1 0 Unlocked" xfId="3"/>
    <cellStyle name="Lien hypertexte" xfId="1" builtinId="8"/>
    <cellStyle name="Millares_Potential model Spain hercas" xfId="4"/>
    <cellStyle name="Milliers" xfId="2" builtinId="3"/>
    <cellStyle name="Moneda_Potential model Spain hercas" xfId="5"/>
    <cellStyle name="Normal" xfId="0" builtinId="0"/>
    <cellStyle name="Pourcentage" xfId="6" builtinId="5"/>
    <cellStyle name="Valuta_Action Plan Parts Sales v1 0 Unlocked" xfId="7"/>
  </cellStyles>
  <dxfs count="5">
    <dxf>
      <fill>
        <patternFill patternType="gray125"/>
      </fill>
    </dxf>
    <dxf>
      <fill>
        <patternFill patternType="solid">
          <bgColor indexed="41"/>
        </patternFill>
      </fill>
    </dxf>
    <dxf>
      <fill>
        <patternFill patternType="gray125"/>
      </fill>
    </dxf>
    <dxf>
      <fill>
        <patternFill patternType="gray0625">
          <bgColor indexed="40"/>
        </patternFill>
      </fill>
    </dxf>
    <dxf>
      <fill>
        <patternFill patternType="gray0625">
          <bgColor indexed="4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75"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6324824223783289E-2"/>
          <c:y val="7.3529517362013672E-2"/>
          <c:w val="0.75961617715029162"/>
          <c:h val="0.79411878750974751"/>
        </c:manualLayout>
      </c:layout>
      <c:barChart>
        <c:barDir val="col"/>
        <c:grouping val="stacked"/>
        <c:varyColors val="0"/>
        <c:ser>
          <c:idx val="0"/>
          <c:order val="0"/>
          <c:tx>
            <c:strRef>
              <c:f>'5.1.1 NewTruck market-Country'!$A$8:$C$8</c:f>
              <c:strCache>
                <c:ptCount val="3"/>
                <c:pt idx="0">
                  <c:v>GVW between 6 - 15 ton</c:v>
                </c:pt>
              </c:strCache>
            </c:strRef>
          </c:tx>
          <c:spPr>
            <a:solidFill>
              <a:srgbClr val="8080FF"/>
            </a:solidFill>
            <a:ln w="12700">
              <a:solidFill>
                <a:srgbClr val="000000"/>
              </a:solidFill>
              <a:prstDash val="solid"/>
            </a:ln>
            <a:effectLst>
              <a:outerShdw dist="35921" dir="2700000" algn="br">
                <a:srgbClr val="000000"/>
              </a:outerShdw>
            </a:effectLst>
          </c:spPr>
          <c:invertIfNegative val="0"/>
          <c:dPt>
            <c:idx val="0"/>
            <c:invertIfNegative val="0"/>
            <c:bubble3D val="0"/>
            <c:spPr>
              <a:solidFill>
                <a:srgbClr val="69FFFF"/>
              </a:solidFill>
              <a:ln w="12700">
                <a:solidFill>
                  <a:srgbClr val="000000"/>
                </a:solidFill>
                <a:prstDash val="solid"/>
              </a:ln>
              <a:effectLst>
                <a:outerShdw dist="35921" dir="2700000" algn="br">
                  <a:srgbClr val="000000"/>
                </a:outerShdw>
              </a:effectLst>
            </c:spPr>
            <c:extLst xmlns:c16r2="http://schemas.microsoft.com/office/drawing/2015/06/chart">
              <c:ext xmlns:c16="http://schemas.microsoft.com/office/drawing/2014/chart" uri="{C3380CC4-5D6E-409C-BE32-E72D297353CC}">
                <c16:uniqueId val="{00000001-F64F-40AE-9CDC-4154371743FD}"/>
              </c:ext>
            </c:extLst>
          </c:dPt>
          <c:dPt>
            <c:idx val="1"/>
            <c:invertIfNegative val="0"/>
            <c:bubble3D val="0"/>
            <c:spPr>
              <a:solidFill>
                <a:srgbClr val="69FFFF"/>
              </a:solidFill>
              <a:ln w="12700">
                <a:solidFill>
                  <a:srgbClr val="000000"/>
                </a:solidFill>
                <a:prstDash val="solid"/>
              </a:ln>
              <a:effectLst>
                <a:outerShdw dist="35921" dir="2700000" algn="br">
                  <a:srgbClr val="000000"/>
                </a:outerShdw>
              </a:effectLst>
            </c:spPr>
            <c:extLst xmlns:c16r2="http://schemas.microsoft.com/office/drawing/2015/06/chart">
              <c:ext xmlns:c16="http://schemas.microsoft.com/office/drawing/2014/chart" uri="{C3380CC4-5D6E-409C-BE32-E72D297353CC}">
                <c16:uniqueId val="{00000003-F64F-40AE-9CDC-4154371743FD}"/>
              </c:ext>
            </c:extLst>
          </c:dPt>
          <c:dPt>
            <c:idx val="2"/>
            <c:invertIfNegative val="0"/>
            <c:bubble3D val="0"/>
            <c:spPr>
              <a:solidFill>
                <a:srgbClr val="69FFFF"/>
              </a:solidFill>
              <a:ln w="12700">
                <a:solidFill>
                  <a:srgbClr val="000000"/>
                </a:solidFill>
                <a:prstDash val="solid"/>
              </a:ln>
              <a:effectLst>
                <a:outerShdw dist="35921" dir="2700000" algn="br">
                  <a:srgbClr val="000000"/>
                </a:outerShdw>
              </a:effectLst>
            </c:spPr>
            <c:extLst xmlns:c16r2="http://schemas.microsoft.com/office/drawing/2015/06/chart">
              <c:ext xmlns:c16="http://schemas.microsoft.com/office/drawing/2014/chart" uri="{C3380CC4-5D6E-409C-BE32-E72D297353CC}">
                <c16:uniqueId val="{00000005-F64F-40AE-9CDC-4154371743FD}"/>
              </c:ext>
            </c:extLst>
          </c:dPt>
          <c:cat>
            <c:numRef>
              <c:f>'5.1.1 NewTruck market-Country'!$D$7:$K$7</c:f>
              <c:numCache>
                <c:formatCode>General</c:formatCode>
                <c:ptCount val="8"/>
                <c:pt idx="0">
                  <c:v>2016</c:v>
                </c:pt>
                <c:pt idx="1">
                  <c:v>2017</c:v>
                </c:pt>
                <c:pt idx="2">
                  <c:v>2018</c:v>
                </c:pt>
                <c:pt idx="3">
                  <c:v>2019</c:v>
                </c:pt>
                <c:pt idx="4">
                  <c:v>2020</c:v>
                </c:pt>
                <c:pt idx="5">
                  <c:v>2021</c:v>
                </c:pt>
                <c:pt idx="6">
                  <c:v>2022</c:v>
                </c:pt>
                <c:pt idx="7">
                  <c:v>2023</c:v>
                </c:pt>
              </c:numCache>
            </c:numRef>
          </c:cat>
          <c:val>
            <c:numRef>
              <c:f>'5.1.1 NewTruck market-Country'!$D$8:$K$8</c:f>
              <c:numCache>
                <c:formatCode>#,##0</c:formatCode>
                <c:ptCount val="8"/>
                <c:pt idx="0">
                  <c:v>607</c:v>
                </c:pt>
                <c:pt idx="1">
                  <c:v>820</c:v>
                </c:pt>
                <c:pt idx="2">
                  <c:v>600</c:v>
                </c:pt>
                <c:pt idx="3">
                  <c:v>420</c:v>
                </c:pt>
                <c:pt idx="4">
                  <c:v>500</c:v>
                </c:pt>
                <c:pt idx="5">
                  <c:v>600</c:v>
                </c:pt>
                <c:pt idx="6">
                  <c:v>700</c:v>
                </c:pt>
                <c:pt idx="7">
                  <c:v>800</c:v>
                </c:pt>
              </c:numCache>
            </c:numRef>
          </c:val>
          <c:extLst xmlns:c16r2="http://schemas.microsoft.com/office/drawing/2015/06/chart">
            <c:ext xmlns:c16="http://schemas.microsoft.com/office/drawing/2014/chart" uri="{C3380CC4-5D6E-409C-BE32-E72D297353CC}">
              <c16:uniqueId val="{00000006-F64F-40AE-9CDC-4154371743FD}"/>
            </c:ext>
          </c:extLst>
        </c:ser>
        <c:ser>
          <c:idx val="1"/>
          <c:order val="1"/>
          <c:tx>
            <c:strRef>
              <c:f>'5.1.1 NewTruck market-Country'!$A$9:$C$9</c:f>
              <c:strCache>
                <c:ptCount val="3"/>
                <c:pt idx="0">
                  <c:v>GVW over 15 ton</c:v>
                </c:pt>
              </c:strCache>
            </c:strRef>
          </c:tx>
          <c:spPr>
            <a:solidFill>
              <a:srgbClr val="800080"/>
            </a:solidFill>
            <a:ln w="12700">
              <a:solidFill>
                <a:srgbClr val="000000"/>
              </a:solidFill>
              <a:prstDash val="solid"/>
            </a:ln>
            <a:effectLst>
              <a:outerShdw dist="35921" dir="2700000" algn="br">
                <a:srgbClr val="000000"/>
              </a:outerShdw>
            </a:effectLst>
          </c:spPr>
          <c:invertIfNegative val="0"/>
          <c:cat>
            <c:numRef>
              <c:f>'5.1.1 NewTruck market-Country'!$D$7:$K$7</c:f>
              <c:numCache>
                <c:formatCode>General</c:formatCode>
                <c:ptCount val="8"/>
                <c:pt idx="0">
                  <c:v>2016</c:v>
                </c:pt>
                <c:pt idx="1">
                  <c:v>2017</c:v>
                </c:pt>
                <c:pt idx="2">
                  <c:v>2018</c:v>
                </c:pt>
                <c:pt idx="3">
                  <c:v>2019</c:v>
                </c:pt>
                <c:pt idx="4">
                  <c:v>2020</c:v>
                </c:pt>
                <c:pt idx="5">
                  <c:v>2021</c:v>
                </c:pt>
                <c:pt idx="6">
                  <c:v>2022</c:v>
                </c:pt>
                <c:pt idx="7">
                  <c:v>2023</c:v>
                </c:pt>
              </c:numCache>
            </c:numRef>
          </c:cat>
          <c:val>
            <c:numRef>
              <c:f>'5.1.1 NewTruck market-Country'!$D$9:$K$9</c:f>
              <c:numCache>
                <c:formatCode>#,##0</c:formatCode>
                <c:ptCount val="8"/>
                <c:pt idx="0">
                  <c:v>1325</c:v>
                </c:pt>
                <c:pt idx="1">
                  <c:v>1772</c:v>
                </c:pt>
                <c:pt idx="2">
                  <c:v>900</c:v>
                </c:pt>
                <c:pt idx="3">
                  <c:v>730</c:v>
                </c:pt>
                <c:pt idx="4">
                  <c:v>910</c:v>
                </c:pt>
                <c:pt idx="5">
                  <c:v>1250</c:v>
                </c:pt>
                <c:pt idx="6">
                  <c:v>1400</c:v>
                </c:pt>
                <c:pt idx="7">
                  <c:v>1535</c:v>
                </c:pt>
              </c:numCache>
            </c:numRef>
          </c:val>
          <c:extLst xmlns:c16r2="http://schemas.microsoft.com/office/drawing/2015/06/chart">
            <c:ext xmlns:c16="http://schemas.microsoft.com/office/drawing/2014/chart" uri="{C3380CC4-5D6E-409C-BE32-E72D297353CC}">
              <c16:uniqueId val="{00000007-F64F-40AE-9CDC-4154371743FD}"/>
            </c:ext>
          </c:extLst>
        </c:ser>
        <c:dLbls>
          <c:showLegendKey val="0"/>
          <c:showVal val="0"/>
          <c:showCatName val="0"/>
          <c:showSerName val="0"/>
          <c:showPercent val="0"/>
          <c:showBubbleSize val="0"/>
        </c:dLbls>
        <c:gapWidth val="150"/>
        <c:overlap val="100"/>
        <c:axId val="258367168"/>
        <c:axId val="258367712"/>
      </c:barChart>
      <c:catAx>
        <c:axId val="258367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lang="en-US" sz="1025" b="0" i="0" u="none" strike="noStrike" baseline="0">
                <a:solidFill>
                  <a:srgbClr val="000000"/>
                </a:solidFill>
                <a:latin typeface="Arial"/>
                <a:ea typeface="Arial"/>
                <a:cs typeface="Arial"/>
              </a:defRPr>
            </a:pPr>
            <a:endParaRPr lang="fr-FR"/>
          </a:p>
        </c:txPr>
        <c:crossAx val="258367712"/>
        <c:crosses val="autoZero"/>
        <c:auto val="0"/>
        <c:lblAlgn val="ctr"/>
        <c:lblOffset val="100"/>
        <c:tickLblSkip val="1"/>
        <c:tickMarkSkip val="1"/>
        <c:noMultiLvlLbl val="0"/>
      </c:catAx>
      <c:valAx>
        <c:axId val="25836771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lang="en-US" sz="1025" b="0" i="0" u="none" strike="noStrike" baseline="0">
                <a:solidFill>
                  <a:srgbClr val="000000"/>
                </a:solidFill>
                <a:latin typeface="Arial"/>
                <a:ea typeface="Arial"/>
                <a:cs typeface="Arial"/>
              </a:defRPr>
            </a:pPr>
            <a:endParaRPr lang="fr-FR"/>
          </a:p>
        </c:txPr>
        <c:crossAx val="258367168"/>
        <c:crosses val="autoZero"/>
        <c:crossBetween val="between"/>
      </c:valAx>
      <c:spPr>
        <a:solidFill>
          <a:srgbClr val="C0C0C0"/>
        </a:solidFill>
        <a:ln w="12700">
          <a:solidFill>
            <a:srgbClr val="808080"/>
          </a:solidFill>
          <a:prstDash val="solid"/>
        </a:ln>
      </c:spPr>
    </c:plotArea>
    <c:legend>
      <c:legendPos val="r"/>
      <c:layout>
        <c:manualLayout>
          <c:xMode val="edge"/>
          <c:yMode val="edge"/>
          <c:x val="0.80662482894766352"/>
          <c:y val="0.467647676393392"/>
          <c:w val="0.18910278843349768"/>
          <c:h val="0.13235324996140191"/>
        </c:manualLayout>
      </c:layout>
      <c:overlay val="0"/>
      <c:spPr>
        <a:solidFill>
          <a:srgbClr val="FFFFFF"/>
        </a:solidFill>
        <a:ln w="3175">
          <a:solidFill>
            <a:srgbClr val="000000"/>
          </a:solidFill>
          <a:prstDash val="solid"/>
        </a:ln>
      </c:spPr>
      <c:txPr>
        <a:bodyPr/>
        <a:lstStyle/>
        <a:p>
          <a:pPr>
            <a:defRPr lang="en-US" sz="86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fr-FR"/>
    </a:p>
  </c:txPr>
  <c:printSettings>
    <c:headerFooter alignWithMargins="0"/>
    <c:pageMargins b="1" l="0.75000000000000189" r="0.75000000000000189"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160922496971625E-2"/>
          <c:y val="7.1225269390105789E-2"/>
          <c:w val="0.78544134773234109"/>
          <c:h val="0.80342103872039361"/>
        </c:manualLayout>
      </c:layout>
      <c:barChart>
        <c:barDir val="col"/>
        <c:grouping val="clustered"/>
        <c:varyColors val="0"/>
        <c:ser>
          <c:idx val="0"/>
          <c:order val="0"/>
          <c:tx>
            <c:strRef>
              <c:f>'5.1.2 NT market-Dealer area'!$A$8:$C$8</c:f>
              <c:strCache>
                <c:ptCount val="3"/>
                <c:pt idx="0">
                  <c:v>GVW between 6 - 15 ton</c:v>
                </c:pt>
              </c:strCache>
            </c:strRef>
          </c:tx>
          <c:spPr>
            <a:solidFill>
              <a:srgbClr val="8080FF"/>
            </a:solidFill>
            <a:ln w="12700">
              <a:solidFill>
                <a:srgbClr val="000000"/>
              </a:solidFill>
              <a:prstDash val="solid"/>
            </a:ln>
          </c:spPr>
          <c:invertIfNegative val="0"/>
          <c:cat>
            <c:numRef>
              <c:f>'5.1.2 NT market-Dealer area'!$D$7:$K$7</c:f>
              <c:numCache>
                <c:formatCode>General</c:formatCode>
                <c:ptCount val="8"/>
                <c:pt idx="0">
                  <c:v>2016</c:v>
                </c:pt>
                <c:pt idx="1">
                  <c:v>2017</c:v>
                </c:pt>
                <c:pt idx="2">
                  <c:v>2018</c:v>
                </c:pt>
                <c:pt idx="3" formatCode="0">
                  <c:v>2019</c:v>
                </c:pt>
                <c:pt idx="4">
                  <c:v>2020</c:v>
                </c:pt>
                <c:pt idx="5">
                  <c:v>2021</c:v>
                </c:pt>
                <c:pt idx="6">
                  <c:v>2022</c:v>
                </c:pt>
                <c:pt idx="7">
                  <c:v>2023</c:v>
                </c:pt>
              </c:numCache>
            </c:numRef>
          </c:cat>
          <c:val>
            <c:numRef>
              <c:f>'5.1.2 NT market-Dealer area'!$D$8:$K$8</c:f>
              <c:numCache>
                <c:formatCode>#,##0</c:formatCode>
                <c:ptCount val="8"/>
                <c:pt idx="0">
                  <c:v>607</c:v>
                </c:pt>
                <c:pt idx="1">
                  <c:v>820</c:v>
                </c:pt>
                <c:pt idx="2">
                  <c:v>600</c:v>
                </c:pt>
                <c:pt idx="3">
                  <c:v>420</c:v>
                </c:pt>
                <c:pt idx="4">
                  <c:v>500</c:v>
                </c:pt>
                <c:pt idx="5">
                  <c:v>600</c:v>
                </c:pt>
                <c:pt idx="6">
                  <c:v>700</c:v>
                </c:pt>
                <c:pt idx="7">
                  <c:v>800</c:v>
                </c:pt>
              </c:numCache>
            </c:numRef>
          </c:val>
          <c:extLst xmlns:c16r2="http://schemas.microsoft.com/office/drawing/2015/06/chart">
            <c:ext xmlns:c16="http://schemas.microsoft.com/office/drawing/2014/chart" uri="{C3380CC4-5D6E-409C-BE32-E72D297353CC}">
              <c16:uniqueId val="{00000000-2401-4773-B444-3C8ADEA5F689}"/>
            </c:ext>
          </c:extLst>
        </c:ser>
        <c:ser>
          <c:idx val="1"/>
          <c:order val="1"/>
          <c:tx>
            <c:strRef>
              <c:f>'5.1.2 NT market-Dealer area'!$A$9</c:f>
              <c:strCache>
                <c:ptCount val="1"/>
                <c:pt idx="0">
                  <c:v>GVW over 15 ton</c:v>
                </c:pt>
              </c:strCache>
            </c:strRef>
          </c:tx>
          <c:spPr>
            <a:solidFill>
              <a:srgbClr val="802060"/>
            </a:solidFill>
            <a:ln w="12700">
              <a:solidFill>
                <a:srgbClr val="000000"/>
              </a:solidFill>
              <a:prstDash val="solid"/>
            </a:ln>
          </c:spPr>
          <c:invertIfNegative val="0"/>
          <c:cat>
            <c:numRef>
              <c:f>'5.1.2 NT market-Dealer area'!$D$7:$K$7</c:f>
              <c:numCache>
                <c:formatCode>General</c:formatCode>
                <c:ptCount val="8"/>
                <c:pt idx="0">
                  <c:v>2016</c:v>
                </c:pt>
                <c:pt idx="1">
                  <c:v>2017</c:v>
                </c:pt>
                <c:pt idx="2">
                  <c:v>2018</c:v>
                </c:pt>
                <c:pt idx="3" formatCode="0">
                  <c:v>2019</c:v>
                </c:pt>
                <c:pt idx="4">
                  <c:v>2020</c:v>
                </c:pt>
                <c:pt idx="5">
                  <c:v>2021</c:v>
                </c:pt>
                <c:pt idx="6">
                  <c:v>2022</c:v>
                </c:pt>
                <c:pt idx="7">
                  <c:v>2023</c:v>
                </c:pt>
              </c:numCache>
            </c:numRef>
          </c:cat>
          <c:val>
            <c:numRef>
              <c:f>'5.1.2 NT market-Dealer area'!$D$9:$K$9</c:f>
              <c:numCache>
                <c:formatCode>#,##0</c:formatCode>
                <c:ptCount val="8"/>
                <c:pt idx="0">
                  <c:v>1325</c:v>
                </c:pt>
                <c:pt idx="1">
                  <c:v>1772</c:v>
                </c:pt>
                <c:pt idx="2">
                  <c:v>900</c:v>
                </c:pt>
                <c:pt idx="3">
                  <c:v>730</c:v>
                </c:pt>
                <c:pt idx="4">
                  <c:v>910</c:v>
                </c:pt>
                <c:pt idx="5">
                  <c:v>1250</c:v>
                </c:pt>
                <c:pt idx="6">
                  <c:v>1400</c:v>
                </c:pt>
                <c:pt idx="7">
                  <c:v>1535</c:v>
                </c:pt>
              </c:numCache>
            </c:numRef>
          </c:val>
          <c:extLst xmlns:c16r2="http://schemas.microsoft.com/office/drawing/2015/06/chart">
            <c:ext xmlns:c16="http://schemas.microsoft.com/office/drawing/2014/chart" uri="{C3380CC4-5D6E-409C-BE32-E72D297353CC}">
              <c16:uniqueId val="{00000001-2401-4773-B444-3C8ADEA5F689}"/>
            </c:ext>
          </c:extLst>
        </c:ser>
        <c:ser>
          <c:idx val="2"/>
          <c:order val="2"/>
          <c:tx>
            <c:strRef>
              <c:f>'5.1.2 NT market-Dealer area'!$A$10</c:f>
              <c:strCache>
                <c:ptCount val="1"/>
                <c:pt idx="0">
                  <c:v>Total</c:v>
                </c:pt>
              </c:strCache>
            </c:strRef>
          </c:tx>
          <c:spPr>
            <a:solidFill>
              <a:srgbClr val="FFFFC0"/>
            </a:solidFill>
            <a:ln w="12700">
              <a:solidFill>
                <a:srgbClr val="000000"/>
              </a:solidFill>
              <a:prstDash val="solid"/>
            </a:ln>
          </c:spPr>
          <c:invertIfNegative val="0"/>
          <c:cat>
            <c:numRef>
              <c:f>'5.1.2 NT market-Dealer area'!$D$7:$K$7</c:f>
              <c:numCache>
                <c:formatCode>General</c:formatCode>
                <c:ptCount val="8"/>
                <c:pt idx="0">
                  <c:v>2016</c:v>
                </c:pt>
                <c:pt idx="1">
                  <c:v>2017</c:v>
                </c:pt>
                <c:pt idx="2">
                  <c:v>2018</c:v>
                </c:pt>
                <c:pt idx="3" formatCode="0">
                  <c:v>2019</c:v>
                </c:pt>
                <c:pt idx="4">
                  <c:v>2020</c:v>
                </c:pt>
                <c:pt idx="5">
                  <c:v>2021</c:v>
                </c:pt>
                <c:pt idx="6">
                  <c:v>2022</c:v>
                </c:pt>
                <c:pt idx="7">
                  <c:v>2023</c:v>
                </c:pt>
              </c:numCache>
            </c:numRef>
          </c:cat>
          <c:val>
            <c:numRef>
              <c:f>'5.1.2 NT market-Dealer area'!$D$10:$K$10</c:f>
              <c:numCache>
                <c:formatCode>#,##0</c:formatCode>
                <c:ptCount val="8"/>
                <c:pt idx="0">
                  <c:v>1932</c:v>
                </c:pt>
                <c:pt idx="1">
                  <c:v>2592</c:v>
                </c:pt>
                <c:pt idx="2">
                  <c:v>1500</c:v>
                </c:pt>
                <c:pt idx="3">
                  <c:v>1150</c:v>
                </c:pt>
                <c:pt idx="4">
                  <c:v>1410</c:v>
                </c:pt>
                <c:pt idx="5">
                  <c:v>1850</c:v>
                </c:pt>
                <c:pt idx="6">
                  <c:v>2100</c:v>
                </c:pt>
                <c:pt idx="7">
                  <c:v>2335</c:v>
                </c:pt>
              </c:numCache>
            </c:numRef>
          </c:val>
          <c:extLst xmlns:c16r2="http://schemas.microsoft.com/office/drawing/2015/06/chart">
            <c:ext xmlns:c16="http://schemas.microsoft.com/office/drawing/2014/chart" uri="{C3380CC4-5D6E-409C-BE32-E72D297353CC}">
              <c16:uniqueId val="{00000002-2401-4773-B444-3C8ADEA5F689}"/>
            </c:ext>
          </c:extLst>
        </c:ser>
        <c:dLbls>
          <c:showLegendKey val="0"/>
          <c:showVal val="0"/>
          <c:showCatName val="0"/>
          <c:showSerName val="0"/>
          <c:showPercent val="0"/>
          <c:showBubbleSize val="0"/>
        </c:dLbls>
        <c:gapWidth val="150"/>
        <c:axId val="258369888"/>
        <c:axId val="258378048"/>
      </c:barChart>
      <c:catAx>
        <c:axId val="258369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fr-FR"/>
          </a:p>
        </c:txPr>
        <c:crossAx val="258378048"/>
        <c:crosses val="autoZero"/>
        <c:auto val="0"/>
        <c:lblAlgn val="ctr"/>
        <c:lblOffset val="100"/>
        <c:tickLblSkip val="1"/>
        <c:tickMarkSkip val="1"/>
        <c:noMultiLvlLbl val="0"/>
      </c:catAx>
      <c:valAx>
        <c:axId val="25837804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fr-FR"/>
          </a:p>
        </c:txPr>
        <c:crossAx val="258369888"/>
        <c:crosses val="autoZero"/>
        <c:crossBetween val="between"/>
      </c:valAx>
      <c:spPr>
        <a:solidFill>
          <a:srgbClr val="C0C0C0"/>
        </a:solidFill>
        <a:ln w="12700">
          <a:solidFill>
            <a:srgbClr val="808080"/>
          </a:solidFill>
          <a:prstDash val="solid"/>
        </a:ln>
      </c:spPr>
    </c:plotArea>
    <c:legend>
      <c:legendPos val="r"/>
      <c:layout>
        <c:manualLayout>
          <c:xMode val="edge"/>
          <c:yMode val="edge"/>
          <c:x val="0.83142937132858663"/>
          <c:y val="0.40171059814104432"/>
          <c:w val="0.15523819522559731"/>
          <c:h val="0.18233678055200458"/>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1" l="0.75000000000000189" r="0.75000000000000189"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1718075319243595E-2"/>
          <c:y val="8.2018927444794915E-2"/>
          <c:w val="0.82819418889135821"/>
          <c:h val="0.79179810725552269"/>
        </c:manualLayout>
      </c:layout>
      <c:barChart>
        <c:barDir val="col"/>
        <c:grouping val="stacked"/>
        <c:varyColors val="0"/>
        <c:ser>
          <c:idx val="0"/>
          <c:order val="0"/>
          <c:tx>
            <c:strRef>
              <c:f>'5.2 UT market-Dealer area'!$A$8:$C$8</c:f>
              <c:strCache>
                <c:ptCount val="3"/>
                <c:pt idx="0">
                  <c:v>GVW between 6 - 15 ton</c:v>
                </c:pt>
              </c:strCache>
            </c:strRef>
          </c:tx>
          <c:spPr>
            <a:solidFill>
              <a:srgbClr val="8080FF"/>
            </a:solidFill>
            <a:ln w="12700">
              <a:solidFill>
                <a:srgbClr val="000000"/>
              </a:solidFill>
              <a:prstDash val="solid"/>
            </a:ln>
          </c:spPr>
          <c:invertIfNegative val="0"/>
          <c:cat>
            <c:numRef>
              <c:f>'5.2 UT market-Dealer area'!$D$7:$K$7</c:f>
              <c:numCache>
                <c:formatCode>General</c:formatCode>
                <c:ptCount val="8"/>
                <c:pt idx="0">
                  <c:v>2016</c:v>
                </c:pt>
                <c:pt idx="1">
                  <c:v>2017</c:v>
                </c:pt>
                <c:pt idx="2">
                  <c:v>2018</c:v>
                </c:pt>
                <c:pt idx="3">
                  <c:v>2019</c:v>
                </c:pt>
                <c:pt idx="4">
                  <c:v>2020</c:v>
                </c:pt>
                <c:pt idx="5">
                  <c:v>2021</c:v>
                </c:pt>
                <c:pt idx="6">
                  <c:v>2022</c:v>
                </c:pt>
                <c:pt idx="7">
                  <c:v>2023</c:v>
                </c:pt>
              </c:numCache>
            </c:numRef>
          </c:cat>
          <c:val>
            <c:numRef>
              <c:f>'5.2 UT market-Dealer area'!$D$8:$K$8</c:f>
              <c:numCache>
                <c:formatCode>#,##0</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CC69-4A4A-B09D-3ED2DA4ACF99}"/>
            </c:ext>
          </c:extLst>
        </c:ser>
        <c:ser>
          <c:idx val="1"/>
          <c:order val="1"/>
          <c:tx>
            <c:strRef>
              <c:f>'5.2 UT market-Dealer area'!$A$9:$C$9</c:f>
              <c:strCache>
                <c:ptCount val="3"/>
                <c:pt idx="0">
                  <c:v>GVW over 15 ton</c:v>
                </c:pt>
              </c:strCache>
            </c:strRef>
          </c:tx>
          <c:spPr>
            <a:solidFill>
              <a:srgbClr val="802060"/>
            </a:solidFill>
            <a:ln w="12700">
              <a:solidFill>
                <a:srgbClr val="000000"/>
              </a:solidFill>
              <a:prstDash val="solid"/>
            </a:ln>
          </c:spPr>
          <c:invertIfNegative val="0"/>
          <c:cat>
            <c:numRef>
              <c:f>'5.2 UT market-Dealer area'!$D$7:$K$7</c:f>
              <c:numCache>
                <c:formatCode>General</c:formatCode>
                <c:ptCount val="8"/>
                <c:pt idx="0">
                  <c:v>2016</c:v>
                </c:pt>
                <c:pt idx="1">
                  <c:v>2017</c:v>
                </c:pt>
                <c:pt idx="2">
                  <c:v>2018</c:v>
                </c:pt>
                <c:pt idx="3">
                  <c:v>2019</c:v>
                </c:pt>
                <c:pt idx="4">
                  <c:v>2020</c:v>
                </c:pt>
                <c:pt idx="5">
                  <c:v>2021</c:v>
                </c:pt>
                <c:pt idx="6">
                  <c:v>2022</c:v>
                </c:pt>
                <c:pt idx="7">
                  <c:v>2023</c:v>
                </c:pt>
              </c:numCache>
            </c:numRef>
          </c:cat>
          <c:val>
            <c:numRef>
              <c:f>'5.2 UT market-Dealer area'!$D$9:$K$9</c:f>
              <c:numCache>
                <c:formatCode>#,##0</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CC69-4A4A-B09D-3ED2DA4ACF99}"/>
            </c:ext>
          </c:extLst>
        </c:ser>
        <c:dLbls>
          <c:showLegendKey val="0"/>
          <c:showVal val="0"/>
          <c:showCatName val="0"/>
          <c:showSerName val="0"/>
          <c:showPercent val="0"/>
          <c:showBubbleSize val="0"/>
        </c:dLbls>
        <c:gapWidth val="150"/>
        <c:overlap val="100"/>
        <c:axId val="258376416"/>
        <c:axId val="258370432"/>
      </c:barChart>
      <c:catAx>
        <c:axId val="2583764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fr-FR"/>
          </a:p>
        </c:txPr>
        <c:crossAx val="258370432"/>
        <c:crosses val="autoZero"/>
        <c:auto val="0"/>
        <c:lblAlgn val="ctr"/>
        <c:lblOffset val="100"/>
        <c:tickLblSkip val="1"/>
        <c:tickMarkSkip val="1"/>
        <c:noMultiLvlLbl val="0"/>
      </c:catAx>
      <c:valAx>
        <c:axId val="25837043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fr-FR"/>
          </a:p>
        </c:txPr>
        <c:crossAx val="258376416"/>
        <c:crosses val="autoZero"/>
        <c:crossBetween val="between"/>
      </c:valAx>
      <c:spPr>
        <a:solidFill>
          <a:srgbClr val="C0C0C0"/>
        </a:solidFill>
        <a:ln w="12700">
          <a:solidFill>
            <a:srgbClr val="808080"/>
          </a:solidFill>
          <a:prstDash val="solid"/>
        </a:ln>
      </c:spPr>
    </c:plotArea>
    <c:legend>
      <c:legendPos val="r"/>
      <c:layout>
        <c:manualLayout>
          <c:xMode val="edge"/>
          <c:yMode val="edge"/>
          <c:x val="0.87136600876432257"/>
          <c:y val="0.47949526813880217"/>
          <c:w val="0.12246705285187366"/>
          <c:h val="0.12618296529968379"/>
        </c:manualLayout>
      </c:layout>
      <c:overlay val="0"/>
      <c:spPr>
        <a:solidFill>
          <a:srgbClr val="FFFFFF"/>
        </a:solidFill>
        <a:ln w="3175">
          <a:solidFill>
            <a:srgbClr val="000000"/>
          </a:solidFill>
          <a:prstDash val="solid"/>
        </a:ln>
      </c:spPr>
      <c:txPr>
        <a:bodyPr/>
        <a:lstStyle/>
        <a:p>
          <a:pPr>
            <a:defRPr lang="en-US" sz="67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1" l="0.75000000000000189" r="0.75000000000000189"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81357124502254E-2"/>
          <c:y val="9.0361445783132974E-2"/>
          <c:w val="0.84237322992801167"/>
          <c:h val="0.75602409638554613"/>
        </c:manualLayout>
      </c:layout>
      <c:barChart>
        <c:barDir val="col"/>
        <c:grouping val="clustered"/>
        <c:varyColors val="0"/>
        <c:ser>
          <c:idx val="0"/>
          <c:order val="0"/>
          <c:tx>
            <c:strRef>
              <c:f>'5.3 Running Parc - Dealer Area'!$A$20:$B$20</c:f>
              <c:strCache>
                <c:ptCount val="2"/>
                <c:pt idx="0">
                  <c:v>7 years</c:v>
                </c:pt>
                <c:pt idx="1">
                  <c:v>DAF</c:v>
                </c:pt>
              </c:strCache>
            </c:strRef>
          </c:tx>
          <c:spPr>
            <a:solidFill>
              <a:srgbClr val="A6CAF0"/>
            </a:solidFill>
            <a:ln w="12700">
              <a:solidFill>
                <a:srgbClr val="000000"/>
              </a:solidFill>
              <a:prstDash val="solid"/>
            </a:ln>
          </c:spPr>
          <c:invertIfNegative val="0"/>
          <c:cat>
            <c:numRef>
              <c:f>'5.3 Running Parc - Dealer Area'!$D$19:$G$19</c:f>
              <c:numCache>
                <c:formatCode>General</c:formatCode>
                <c:ptCount val="4"/>
                <c:pt idx="0">
                  <c:v>2015</c:v>
                </c:pt>
                <c:pt idx="1">
                  <c:v>2016</c:v>
                </c:pt>
                <c:pt idx="2">
                  <c:v>2017</c:v>
                </c:pt>
                <c:pt idx="3">
                  <c:v>2018</c:v>
                </c:pt>
              </c:numCache>
            </c:numRef>
          </c:cat>
          <c:val>
            <c:numRef>
              <c:f>'5.3 Running Parc - Dealer Area'!$D$20:$G$20</c:f>
              <c:numCache>
                <c:formatCode>#,##0</c:formatCode>
                <c:ptCount val="4"/>
                <c:pt idx="0">
                  <c:v>95</c:v>
                </c:pt>
                <c:pt idx="1">
                  <c:v>102</c:v>
                </c:pt>
                <c:pt idx="2">
                  <c:v>111</c:v>
                </c:pt>
                <c:pt idx="3">
                  <c:v>113</c:v>
                </c:pt>
              </c:numCache>
            </c:numRef>
          </c:val>
          <c:extLst xmlns:c16r2="http://schemas.microsoft.com/office/drawing/2015/06/chart">
            <c:ext xmlns:c16="http://schemas.microsoft.com/office/drawing/2014/chart" uri="{C3380CC4-5D6E-409C-BE32-E72D297353CC}">
              <c16:uniqueId val="{00000000-B684-4D92-82EB-D78DB1DDE046}"/>
            </c:ext>
          </c:extLst>
        </c:ser>
        <c:ser>
          <c:idx val="3"/>
          <c:order val="1"/>
          <c:tx>
            <c:strRef>
              <c:f>'5.3 Running Parc - Dealer Area'!$A$21:$B$21</c:f>
              <c:strCache>
                <c:ptCount val="2"/>
                <c:pt idx="0">
                  <c:v>10 years</c:v>
                </c:pt>
                <c:pt idx="1">
                  <c:v>DAF</c:v>
                </c:pt>
              </c:strCache>
            </c:strRef>
          </c:tx>
          <c:spPr>
            <a:solidFill>
              <a:srgbClr val="0000FF"/>
            </a:solidFill>
            <a:ln w="12700">
              <a:solidFill>
                <a:srgbClr val="000000"/>
              </a:solidFill>
              <a:prstDash val="solid"/>
            </a:ln>
          </c:spPr>
          <c:invertIfNegative val="0"/>
          <c:cat>
            <c:numRef>
              <c:f>'5.3 Running Parc - Dealer Area'!$D$19:$G$19</c:f>
              <c:numCache>
                <c:formatCode>General</c:formatCode>
                <c:ptCount val="4"/>
                <c:pt idx="0">
                  <c:v>2015</c:v>
                </c:pt>
                <c:pt idx="1">
                  <c:v>2016</c:v>
                </c:pt>
                <c:pt idx="2">
                  <c:v>2017</c:v>
                </c:pt>
                <c:pt idx="3">
                  <c:v>2018</c:v>
                </c:pt>
              </c:numCache>
            </c:numRef>
          </c:cat>
          <c:val>
            <c:numRef>
              <c:f>'5.3 Running Parc - Dealer Area'!$D$21:$G$21</c:f>
              <c:numCache>
                <c:formatCode>#,##0</c:formatCode>
                <c:ptCount val="4"/>
                <c:pt idx="0">
                  <c:v>155</c:v>
                </c:pt>
                <c:pt idx="1">
                  <c:v>177</c:v>
                </c:pt>
                <c:pt idx="2">
                  <c:v>196</c:v>
                </c:pt>
                <c:pt idx="3">
                  <c:v>153</c:v>
                </c:pt>
              </c:numCache>
            </c:numRef>
          </c:val>
          <c:extLst xmlns:c16r2="http://schemas.microsoft.com/office/drawing/2015/06/chart">
            <c:ext xmlns:c16="http://schemas.microsoft.com/office/drawing/2014/chart" uri="{C3380CC4-5D6E-409C-BE32-E72D297353CC}">
              <c16:uniqueId val="{00000001-B684-4D92-82EB-D78DB1DDE046}"/>
            </c:ext>
          </c:extLst>
        </c:ser>
        <c:dLbls>
          <c:showLegendKey val="0"/>
          <c:showVal val="0"/>
          <c:showCatName val="0"/>
          <c:showSerName val="0"/>
          <c:showPercent val="0"/>
          <c:showBubbleSize val="0"/>
        </c:dLbls>
        <c:gapWidth val="150"/>
        <c:axId val="258374784"/>
        <c:axId val="258371520"/>
      </c:barChart>
      <c:catAx>
        <c:axId val="258374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Trebuchet MS"/>
                <a:ea typeface="Trebuchet MS"/>
                <a:cs typeface="Trebuchet MS"/>
              </a:defRPr>
            </a:pPr>
            <a:endParaRPr lang="fr-FR"/>
          </a:p>
        </c:txPr>
        <c:crossAx val="258371520"/>
        <c:crosses val="autoZero"/>
        <c:auto val="0"/>
        <c:lblAlgn val="ctr"/>
        <c:lblOffset val="100"/>
        <c:tickLblSkip val="1"/>
        <c:tickMarkSkip val="1"/>
        <c:noMultiLvlLbl val="0"/>
      </c:catAx>
      <c:valAx>
        <c:axId val="25837152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Trebuchet MS"/>
                <a:ea typeface="Trebuchet MS"/>
                <a:cs typeface="Trebuchet MS"/>
              </a:defRPr>
            </a:pPr>
            <a:endParaRPr lang="fr-FR"/>
          </a:p>
        </c:txPr>
        <c:crossAx val="258374784"/>
        <c:crosses val="autoZero"/>
        <c:crossBetween val="between"/>
      </c:valAx>
      <c:spPr>
        <a:solidFill>
          <a:srgbClr val="C0C0C0"/>
        </a:solidFill>
        <a:ln w="12700">
          <a:solidFill>
            <a:srgbClr val="808080"/>
          </a:solidFill>
          <a:prstDash val="solid"/>
        </a:ln>
      </c:spPr>
    </c:plotArea>
    <c:legend>
      <c:legendPos val="r"/>
      <c:layout>
        <c:manualLayout>
          <c:xMode val="edge"/>
          <c:yMode val="edge"/>
          <c:x val="0.88305084745762707"/>
          <c:y val="0.32831325301204994"/>
          <c:w val="0.11101694915254234"/>
          <c:h val="0.28012048192771244"/>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Trebuchet MS"/>
              <a:ea typeface="Trebuchet MS"/>
              <a:cs typeface="Trebuchet MS"/>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1" l="0.75000000000000189" r="0.75000000000000189"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nl-NL"/>
              <a:t>Market shares % 6-15 ton</a:t>
            </a:r>
          </a:p>
        </c:rich>
      </c:tx>
      <c:layout>
        <c:manualLayout>
          <c:xMode val="edge"/>
          <c:yMode val="edge"/>
          <c:x val="0.43071491615181035"/>
          <c:y val="4.0540540540540543E-2"/>
        </c:manualLayout>
      </c:layout>
      <c:overlay val="0"/>
      <c:spPr>
        <a:noFill/>
        <a:ln w="25400">
          <a:noFill/>
        </a:ln>
      </c:spPr>
    </c:title>
    <c:autoTitleDeleted val="0"/>
    <c:plotArea>
      <c:layout>
        <c:manualLayout>
          <c:layoutTarget val="inner"/>
          <c:xMode val="edge"/>
          <c:yMode val="edge"/>
          <c:x val="5.6487202118270081E-2"/>
          <c:y val="0.1621628755053294"/>
          <c:w val="0.87290379523389472"/>
          <c:h val="0.59459721018620748"/>
        </c:manualLayout>
      </c:layout>
      <c:barChart>
        <c:barDir val="col"/>
        <c:grouping val="clustered"/>
        <c:varyColors val="0"/>
        <c:ser>
          <c:idx val="0"/>
          <c:order val="0"/>
          <c:tx>
            <c:strRef>
              <c:f>'5.4.1 Competition in Area'!$A$34</c:f>
              <c:strCache>
                <c:ptCount val="1"/>
                <c:pt idx="0">
                  <c:v>DAF</c:v>
                </c:pt>
              </c:strCache>
            </c:strRef>
          </c:tx>
          <c:spPr>
            <a:solidFill>
              <a:srgbClr val="8080FF"/>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Area'!$C$34,'5.4.1 Competition in Area'!$F$34,'5.4.1 Competition in Area'!$I$34)</c:f>
              <c:numCache>
                <c:formatCode>0.0%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B7AE-4897-BC88-3D159824DFD6}"/>
            </c:ext>
          </c:extLst>
        </c:ser>
        <c:ser>
          <c:idx val="1"/>
          <c:order val="1"/>
          <c:tx>
            <c:strRef>
              <c:f>'5.4.1 Competition in Area'!$A$35</c:f>
              <c:strCache>
                <c:ptCount val="1"/>
                <c:pt idx="0">
                  <c:v>Mercedes</c:v>
                </c:pt>
              </c:strCache>
            </c:strRef>
          </c:tx>
          <c:spPr>
            <a:solidFill>
              <a:srgbClr val="80206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Area'!$C$35,'5.4.1 Competition in Area'!$F$35,'5.4.1 Competition in Area'!$I$35)</c:f>
              <c:numCache>
                <c:formatCode>0.0%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B7AE-4897-BC88-3D159824DFD6}"/>
            </c:ext>
          </c:extLst>
        </c:ser>
        <c:ser>
          <c:idx val="2"/>
          <c:order val="2"/>
          <c:tx>
            <c:strRef>
              <c:f>'5.4.1 Competition in Area'!$A$36</c:f>
              <c:strCache>
                <c:ptCount val="1"/>
                <c:pt idx="0">
                  <c:v>Volvo</c:v>
                </c:pt>
              </c:strCache>
            </c:strRef>
          </c:tx>
          <c:spPr>
            <a:solidFill>
              <a:srgbClr val="FFFFC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Area'!$C$36,'5.4.1 Competition in Area'!$F$36,'5.4.1 Competition in Area'!$I$36)</c:f>
              <c:numCache>
                <c:formatCode>0.0%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B7AE-4897-BC88-3D159824DFD6}"/>
            </c:ext>
          </c:extLst>
        </c:ser>
        <c:ser>
          <c:idx val="3"/>
          <c:order val="3"/>
          <c:tx>
            <c:strRef>
              <c:f>'5.4.1 Competition in Area'!$A$37</c:f>
              <c:strCache>
                <c:ptCount val="1"/>
                <c:pt idx="0">
                  <c:v>Scania</c:v>
                </c:pt>
              </c:strCache>
            </c:strRef>
          </c:tx>
          <c:spPr>
            <a:solidFill>
              <a:srgbClr val="A0E0E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Area'!$C$37,'5.4.1 Competition in Area'!$F$37,'5.4.1 Competition in Area'!$I$37)</c:f>
              <c:numCache>
                <c:formatCode>0.0%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B7AE-4897-BC88-3D159824DFD6}"/>
            </c:ext>
          </c:extLst>
        </c:ser>
        <c:ser>
          <c:idx val="4"/>
          <c:order val="4"/>
          <c:tx>
            <c:strRef>
              <c:f>'5.4.1 Competition in Area'!$A$38</c:f>
              <c:strCache>
                <c:ptCount val="1"/>
                <c:pt idx="0">
                  <c:v>Man</c:v>
                </c:pt>
              </c:strCache>
            </c:strRef>
          </c:tx>
          <c:spPr>
            <a:solidFill>
              <a:srgbClr val="60008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Area'!$C$38,'5.4.1 Competition in Area'!$F$38,'5.4.1 Competition in Area'!$I$38)</c:f>
              <c:numCache>
                <c:formatCode>0.0%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B7AE-4897-BC88-3D159824DFD6}"/>
            </c:ext>
          </c:extLst>
        </c:ser>
        <c:ser>
          <c:idx val="5"/>
          <c:order val="5"/>
          <c:tx>
            <c:strRef>
              <c:f>'5.4.1 Competition in Area'!$A$39</c:f>
              <c:strCache>
                <c:ptCount val="1"/>
                <c:pt idx="0">
                  <c:v>Iveco</c:v>
                </c:pt>
              </c:strCache>
            </c:strRef>
          </c:tx>
          <c:spPr>
            <a:solidFill>
              <a:srgbClr val="FF808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Area'!$C$39,'5.4.1 Competition in Area'!$F$39,'5.4.1 Competition in Area'!$I$39)</c:f>
              <c:numCache>
                <c:formatCode>0.0%</c:formatCode>
                <c:ptCount val="3"/>
                <c:pt idx="0">
                  <c:v>0.48</c:v>
                </c:pt>
                <c:pt idx="1">
                  <c:v>0.31</c:v>
                </c:pt>
                <c:pt idx="2">
                  <c:v>0.4</c:v>
                </c:pt>
              </c:numCache>
            </c:numRef>
          </c:val>
          <c:extLst xmlns:c16r2="http://schemas.microsoft.com/office/drawing/2015/06/chart">
            <c:ext xmlns:c16="http://schemas.microsoft.com/office/drawing/2014/chart" uri="{C3380CC4-5D6E-409C-BE32-E72D297353CC}">
              <c16:uniqueId val="{00000005-B7AE-4897-BC88-3D159824DFD6}"/>
            </c:ext>
          </c:extLst>
        </c:ser>
        <c:ser>
          <c:idx val="6"/>
          <c:order val="6"/>
          <c:tx>
            <c:strRef>
              <c:f>'5.4.1 Competition in Area'!$A$40</c:f>
              <c:strCache>
                <c:ptCount val="1"/>
                <c:pt idx="0">
                  <c:v>Renault</c:v>
                </c:pt>
              </c:strCache>
            </c:strRef>
          </c:tx>
          <c:spPr>
            <a:solidFill>
              <a:srgbClr val="0080C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Area'!$C$40,'5.4.1 Competition in Area'!$F$40,'5.4.1 Competition in Area'!$I$40)</c:f>
              <c:numCache>
                <c:formatCode>0.0%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B7AE-4897-BC88-3D159824DFD6}"/>
            </c:ext>
          </c:extLst>
        </c:ser>
        <c:ser>
          <c:idx val="7"/>
          <c:order val="7"/>
          <c:tx>
            <c:strRef>
              <c:f>'5.4.1 Competition in Area'!$A$41</c:f>
              <c:strCache>
                <c:ptCount val="1"/>
                <c:pt idx="0">
                  <c:v>Others</c:v>
                </c:pt>
              </c:strCache>
            </c:strRef>
          </c:tx>
          <c:spPr>
            <a:solidFill>
              <a:srgbClr val="C0C0FF"/>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Area'!$C$41,'5.4.1 Competition in Area'!$F$41,'5.4.1 Competition in Area'!$I$41)</c:f>
              <c:numCache>
                <c:formatCode>0.0%</c:formatCode>
                <c:ptCount val="3"/>
                <c:pt idx="0">
                  <c:v>0.52</c:v>
                </c:pt>
                <c:pt idx="1">
                  <c:v>0.69</c:v>
                </c:pt>
                <c:pt idx="2">
                  <c:v>0.6</c:v>
                </c:pt>
              </c:numCache>
            </c:numRef>
          </c:val>
          <c:extLst xmlns:c16r2="http://schemas.microsoft.com/office/drawing/2015/06/chart">
            <c:ext xmlns:c16="http://schemas.microsoft.com/office/drawing/2014/chart" uri="{C3380CC4-5D6E-409C-BE32-E72D297353CC}">
              <c16:uniqueId val="{00000007-B7AE-4897-BC88-3D159824DFD6}"/>
            </c:ext>
          </c:extLst>
        </c:ser>
        <c:dLbls>
          <c:showLegendKey val="0"/>
          <c:showVal val="0"/>
          <c:showCatName val="0"/>
          <c:showSerName val="0"/>
          <c:showPercent val="0"/>
          <c:showBubbleSize val="0"/>
        </c:dLbls>
        <c:gapWidth val="150"/>
        <c:axId val="258372064"/>
        <c:axId val="258373152"/>
      </c:barChart>
      <c:catAx>
        <c:axId val="2583720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Trebuchet MS"/>
                <a:ea typeface="Trebuchet MS"/>
                <a:cs typeface="Trebuchet MS"/>
              </a:defRPr>
            </a:pPr>
            <a:endParaRPr lang="fr-FR"/>
          </a:p>
        </c:txPr>
        <c:crossAx val="258373152"/>
        <c:crosses val="autoZero"/>
        <c:auto val="0"/>
        <c:lblAlgn val="ctr"/>
        <c:lblOffset val="100"/>
        <c:tickLblSkip val="1"/>
        <c:tickMarkSkip val="1"/>
        <c:noMultiLvlLbl val="0"/>
      </c:catAx>
      <c:valAx>
        <c:axId val="258373152"/>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Trebuchet MS"/>
                <a:ea typeface="Trebuchet MS"/>
                <a:cs typeface="Trebuchet MS"/>
              </a:defRPr>
            </a:pPr>
            <a:endParaRPr lang="fr-FR"/>
          </a:p>
        </c:txPr>
        <c:crossAx val="258372064"/>
        <c:crosses val="autoZero"/>
        <c:crossBetween val="between"/>
      </c:valAx>
      <c:spPr>
        <a:solidFill>
          <a:srgbClr val="C0C0C0"/>
        </a:solidFill>
        <a:ln w="12700">
          <a:solidFill>
            <a:srgbClr val="808080"/>
          </a:solidFill>
          <a:prstDash val="solid"/>
        </a:ln>
      </c:spPr>
    </c:plotArea>
    <c:legend>
      <c:legendPos val="r"/>
      <c:layout>
        <c:manualLayout>
          <c:xMode val="edge"/>
          <c:yMode val="edge"/>
          <c:x val="0.9373345101500441"/>
          <c:y val="0.18919013501690729"/>
          <c:w val="5.5604589585172066E-2"/>
          <c:h val="0.54504740961433873"/>
        </c:manualLayout>
      </c:layout>
      <c:overlay val="0"/>
      <c:spPr>
        <a:solidFill>
          <a:srgbClr val="FFFFFF"/>
        </a:solidFill>
        <a:ln w="3175">
          <a:solidFill>
            <a:srgbClr val="000000"/>
          </a:solidFill>
          <a:prstDash val="solid"/>
        </a:ln>
      </c:spPr>
      <c:txPr>
        <a:bodyPr/>
        <a:lstStyle/>
        <a:p>
          <a:pPr>
            <a:defRPr lang="en-US" sz="675" b="0" i="0" u="none" strike="noStrike" baseline="0">
              <a:solidFill>
                <a:srgbClr val="000000"/>
              </a:solidFill>
              <a:latin typeface="Trebuchet MS"/>
              <a:ea typeface="Trebuchet MS"/>
              <a:cs typeface="Trebuchet MS"/>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1" l="0.75000000000000189" r="0.75000000000000189"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nl-NL"/>
              <a:t>Market shares % &gt; 15 ton</a:t>
            </a:r>
          </a:p>
        </c:rich>
      </c:tx>
      <c:layout>
        <c:manualLayout>
          <c:xMode val="edge"/>
          <c:yMode val="edge"/>
          <c:x val="0.42945363311067714"/>
          <c:y val="4.0358744394618833E-2"/>
        </c:manualLayout>
      </c:layout>
      <c:overlay val="0"/>
      <c:spPr>
        <a:noFill/>
        <a:ln w="25400">
          <a:noFill/>
        </a:ln>
      </c:spPr>
    </c:title>
    <c:autoTitleDeleted val="0"/>
    <c:plotArea>
      <c:layout>
        <c:manualLayout>
          <c:layoutTarget val="inner"/>
          <c:xMode val="edge"/>
          <c:yMode val="edge"/>
          <c:x val="5.6437438372738923E-2"/>
          <c:y val="0.13004512779640223"/>
          <c:w val="0.87301662482830489"/>
          <c:h val="0.65022563898201025"/>
        </c:manualLayout>
      </c:layout>
      <c:barChart>
        <c:barDir val="col"/>
        <c:grouping val="clustered"/>
        <c:varyColors val="0"/>
        <c:ser>
          <c:idx val="0"/>
          <c:order val="0"/>
          <c:tx>
            <c:strRef>
              <c:f>'5.4.1 Competition in Area'!$A$34</c:f>
              <c:strCache>
                <c:ptCount val="1"/>
                <c:pt idx="0">
                  <c:v>DAF</c:v>
                </c:pt>
              </c:strCache>
            </c:strRef>
          </c:tx>
          <c:spPr>
            <a:solidFill>
              <a:srgbClr val="8080FF"/>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Area'!$D$34,'5.4.1 Competition in Area'!$G$34,'5.4.1 Competition in Area'!$J$34)</c:f>
              <c:numCache>
                <c:formatCode>0.0%</c:formatCode>
                <c:ptCount val="3"/>
                <c:pt idx="0">
                  <c:v>0.01</c:v>
                </c:pt>
                <c:pt idx="1">
                  <c:v>0.01</c:v>
                </c:pt>
                <c:pt idx="2">
                  <c:v>0.08</c:v>
                </c:pt>
              </c:numCache>
            </c:numRef>
          </c:val>
          <c:extLst xmlns:c16r2="http://schemas.microsoft.com/office/drawing/2015/06/chart">
            <c:ext xmlns:c16="http://schemas.microsoft.com/office/drawing/2014/chart" uri="{C3380CC4-5D6E-409C-BE32-E72D297353CC}">
              <c16:uniqueId val="{00000000-9DC7-4927-9D04-10A9E57B1326}"/>
            </c:ext>
          </c:extLst>
        </c:ser>
        <c:ser>
          <c:idx val="1"/>
          <c:order val="1"/>
          <c:tx>
            <c:strRef>
              <c:f>'5.4.1 Competition in Area'!$A$35</c:f>
              <c:strCache>
                <c:ptCount val="1"/>
                <c:pt idx="0">
                  <c:v>Mercedes</c:v>
                </c:pt>
              </c:strCache>
            </c:strRef>
          </c:tx>
          <c:spPr>
            <a:solidFill>
              <a:srgbClr val="80206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Area'!$D$35,'5.4.1 Competition in Area'!$G$35,'5.4.1 Competition in Area'!$J$35)</c:f>
              <c:numCache>
                <c:formatCode>0.0%</c:formatCode>
                <c:ptCount val="3"/>
                <c:pt idx="0">
                  <c:v>0.16</c:v>
                </c:pt>
                <c:pt idx="1">
                  <c:v>0.12</c:v>
                </c:pt>
                <c:pt idx="2">
                  <c:v>0.11</c:v>
                </c:pt>
              </c:numCache>
            </c:numRef>
          </c:val>
          <c:extLst xmlns:c16r2="http://schemas.microsoft.com/office/drawing/2015/06/chart">
            <c:ext xmlns:c16="http://schemas.microsoft.com/office/drawing/2014/chart" uri="{C3380CC4-5D6E-409C-BE32-E72D297353CC}">
              <c16:uniqueId val="{00000001-9DC7-4927-9D04-10A9E57B1326}"/>
            </c:ext>
          </c:extLst>
        </c:ser>
        <c:ser>
          <c:idx val="2"/>
          <c:order val="2"/>
          <c:tx>
            <c:strRef>
              <c:f>'5.4.1 Competition in Area'!$A$36</c:f>
              <c:strCache>
                <c:ptCount val="1"/>
                <c:pt idx="0">
                  <c:v>Volvo</c:v>
                </c:pt>
              </c:strCache>
            </c:strRef>
          </c:tx>
          <c:spPr>
            <a:solidFill>
              <a:srgbClr val="FFFFC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Area'!$D$36,'5.4.1 Competition in Area'!$G$36,'5.4.1 Competition in Area'!$J$36)</c:f>
              <c:numCache>
                <c:formatCode>0.0%</c:formatCode>
                <c:ptCount val="3"/>
                <c:pt idx="0">
                  <c:v>0.05</c:v>
                </c:pt>
                <c:pt idx="1">
                  <c:v>0.08</c:v>
                </c:pt>
                <c:pt idx="2">
                  <c:v>7.0000000000000007E-2</c:v>
                </c:pt>
              </c:numCache>
            </c:numRef>
          </c:val>
          <c:extLst xmlns:c16r2="http://schemas.microsoft.com/office/drawing/2015/06/chart">
            <c:ext xmlns:c16="http://schemas.microsoft.com/office/drawing/2014/chart" uri="{C3380CC4-5D6E-409C-BE32-E72D297353CC}">
              <c16:uniqueId val="{00000002-9DC7-4927-9D04-10A9E57B1326}"/>
            </c:ext>
          </c:extLst>
        </c:ser>
        <c:ser>
          <c:idx val="3"/>
          <c:order val="3"/>
          <c:tx>
            <c:strRef>
              <c:f>'5.4.1 Competition in Area'!$A$37</c:f>
              <c:strCache>
                <c:ptCount val="1"/>
                <c:pt idx="0">
                  <c:v>Scania</c:v>
                </c:pt>
              </c:strCache>
            </c:strRef>
          </c:tx>
          <c:spPr>
            <a:solidFill>
              <a:srgbClr val="A0E0E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Area'!$D$37,'5.4.1 Competition in Area'!$G$37,'5.4.1 Competition in Area'!$J$37)</c:f>
              <c:numCache>
                <c:formatCode>0.0%</c:formatCode>
                <c:ptCount val="3"/>
                <c:pt idx="0">
                  <c:v>0.11</c:v>
                </c:pt>
                <c:pt idx="1">
                  <c:v>0.15</c:v>
                </c:pt>
                <c:pt idx="2">
                  <c:v>0.15</c:v>
                </c:pt>
              </c:numCache>
            </c:numRef>
          </c:val>
          <c:extLst xmlns:c16r2="http://schemas.microsoft.com/office/drawing/2015/06/chart">
            <c:ext xmlns:c16="http://schemas.microsoft.com/office/drawing/2014/chart" uri="{C3380CC4-5D6E-409C-BE32-E72D297353CC}">
              <c16:uniqueId val="{00000003-9DC7-4927-9D04-10A9E57B1326}"/>
            </c:ext>
          </c:extLst>
        </c:ser>
        <c:ser>
          <c:idx val="4"/>
          <c:order val="4"/>
          <c:tx>
            <c:strRef>
              <c:f>'5.4.1 Competition in Area'!$A$38</c:f>
              <c:strCache>
                <c:ptCount val="1"/>
                <c:pt idx="0">
                  <c:v>Man</c:v>
                </c:pt>
              </c:strCache>
            </c:strRef>
          </c:tx>
          <c:spPr>
            <a:solidFill>
              <a:srgbClr val="60008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Area'!$D$38,'5.4.1 Competition in Area'!$G$38,'5.4.1 Competition in Area'!$J$38)</c:f>
              <c:numCache>
                <c:formatCode>0.0%</c:formatCode>
                <c:ptCount val="3"/>
                <c:pt idx="0">
                  <c:v>0.14000000000000001</c:v>
                </c:pt>
                <c:pt idx="1">
                  <c:v>0.12</c:v>
                </c:pt>
                <c:pt idx="2">
                  <c:v>0.11</c:v>
                </c:pt>
              </c:numCache>
            </c:numRef>
          </c:val>
          <c:extLst xmlns:c16r2="http://schemas.microsoft.com/office/drawing/2015/06/chart">
            <c:ext xmlns:c16="http://schemas.microsoft.com/office/drawing/2014/chart" uri="{C3380CC4-5D6E-409C-BE32-E72D297353CC}">
              <c16:uniqueId val="{00000004-9DC7-4927-9D04-10A9E57B1326}"/>
            </c:ext>
          </c:extLst>
        </c:ser>
        <c:ser>
          <c:idx val="5"/>
          <c:order val="5"/>
          <c:tx>
            <c:strRef>
              <c:f>'5.4.1 Competition in Area'!$A$39</c:f>
              <c:strCache>
                <c:ptCount val="1"/>
                <c:pt idx="0">
                  <c:v>Iveco</c:v>
                </c:pt>
              </c:strCache>
            </c:strRef>
          </c:tx>
          <c:spPr>
            <a:solidFill>
              <a:srgbClr val="FF808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Area'!$D$39,'5.4.1 Competition in Area'!$G$39,'5.4.1 Competition in Area'!$J$39)</c:f>
              <c:numCache>
                <c:formatCode>0.0%</c:formatCode>
                <c:ptCount val="3"/>
                <c:pt idx="0">
                  <c:v>0.25</c:v>
                </c:pt>
                <c:pt idx="1">
                  <c:v>0.22</c:v>
                </c:pt>
                <c:pt idx="2">
                  <c:v>0.22</c:v>
                </c:pt>
              </c:numCache>
            </c:numRef>
          </c:val>
          <c:extLst xmlns:c16r2="http://schemas.microsoft.com/office/drawing/2015/06/chart">
            <c:ext xmlns:c16="http://schemas.microsoft.com/office/drawing/2014/chart" uri="{C3380CC4-5D6E-409C-BE32-E72D297353CC}">
              <c16:uniqueId val="{00000005-9DC7-4927-9D04-10A9E57B1326}"/>
            </c:ext>
          </c:extLst>
        </c:ser>
        <c:ser>
          <c:idx val="6"/>
          <c:order val="6"/>
          <c:tx>
            <c:strRef>
              <c:f>'5.4.1 Competition in Area'!$A$40</c:f>
              <c:strCache>
                <c:ptCount val="1"/>
                <c:pt idx="0">
                  <c:v>Renault</c:v>
                </c:pt>
              </c:strCache>
            </c:strRef>
          </c:tx>
          <c:spPr>
            <a:solidFill>
              <a:srgbClr val="0080C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Area'!$D$40,'5.4.1 Competition in Area'!$G$40,'5.4.1 Competition in Area'!$J$40)</c:f>
              <c:numCache>
                <c:formatCode>0.0%</c:formatCode>
                <c:ptCount val="3"/>
                <c:pt idx="0">
                  <c:v>0.21</c:v>
                </c:pt>
                <c:pt idx="1">
                  <c:v>0.25</c:v>
                </c:pt>
                <c:pt idx="2">
                  <c:v>0.25</c:v>
                </c:pt>
              </c:numCache>
            </c:numRef>
          </c:val>
          <c:extLst xmlns:c16r2="http://schemas.microsoft.com/office/drawing/2015/06/chart">
            <c:ext xmlns:c16="http://schemas.microsoft.com/office/drawing/2014/chart" uri="{C3380CC4-5D6E-409C-BE32-E72D297353CC}">
              <c16:uniqueId val="{00000006-9DC7-4927-9D04-10A9E57B1326}"/>
            </c:ext>
          </c:extLst>
        </c:ser>
        <c:ser>
          <c:idx val="7"/>
          <c:order val="7"/>
          <c:tx>
            <c:strRef>
              <c:f>'5.4.1 Competition in Area'!$A$41</c:f>
              <c:strCache>
                <c:ptCount val="1"/>
                <c:pt idx="0">
                  <c:v>Others</c:v>
                </c:pt>
              </c:strCache>
            </c:strRef>
          </c:tx>
          <c:spPr>
            <a:solidFill>
              <a:srgbClr val="C0C0FF"/>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Area'!$D$41,'5.4.1 Competition in Area'!$G$41,'5.4.1 Competition in Area'!$J$41)</c:f>
              <c:numCache>
                <c:formatCode>0.0%</c:formatCode>
                <c:ptCount val="3"/>
                <c:pt idx="0">
                  <c:v>7.0000000000000007E-2</c:v>
                </c:pt>
                <c:pt idx="1">
                  <c:v>0.05</c:v>
                </c:pt>
                <c:pt idx="2">
                  <c:v>0.01</c:v>
                </c:pt>
              </c:numCache>
            </c:numRef>
          </c:val>
          <c:extLst xmlns:c16r2="http://schemas.microsoft.com/office/drawing/2015/06/chart">
            <c:ext xmlns:c16="http://schemas.microsoft.com/office/drawing/2014/chart" uri="{C3380CC4-5D6E-409C-BE32-E72D297353CC}">
              <c16:uniqueId val="{00000007-9DC7-4927-9D04-10A9E57B1326}"/>
            </c:ext>
          </c:extLst>
        </c:ser>
        <c:dLbls>
          <c:showLegendKey val="0"/>
          <c:showVal val="0"/>
          <c:showCatName val="0"/>
          <c:showSerName val="0"/>
          <c:showPercent val="0"/>
          <c:showBubbleSize val="0"/>
        </c:dLbls>
        <c:gapWidth val="150"/>
        <c:axId val="258374240"/>
        <c:axId val="258375328"/>
      </c:barChart>
      <c:catAx>
        <c:axId val="25837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Trebuchet MS"/>
                <a:ea typeface="Trebuchet MS"/>
                <a:cs typeface="Trebuchet MS"/>
              </a:defRPr>
            </a:pPr>
            <a:endParaRPr lang="fr-FR"/>
          </a:p>
        </c:txPr>
        <c:crossAx val="258375328"/>
        <c:crosses val="autoZero"/>
        <c:auto val="0"/>
        <c:lblAlgn val="ctr"/>
        <c:lblOffset val="100"/>
        <c:tickLblSkip val="1"/>
        <c:tickMarkSkip val="1"/>
        <c:noMultiLvlLbl val="0"/>
      </c:catAx>
      <c:valAx>
        <c:axId val="258375328"/>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Trebuchet MS"/>
                <a:ea typeface="Trebuchet MS"/>
                <a:cs typeface="Trebuchet MS"/>
              </a:defRPr>
            </a:pPr>
            <a:endParaRPr lang="fr-FR"/>
          </a:p>
        </c:txPr>
        <c:crossAx val="258374240"/>
        <c:crosses val="autoZero"/>
        <c:crossBetween val="between"/>
      </c:valAx>
      <c:spPr>
        <a:solidFill>
          <a:srgbClr val="C0C0C0"/>
        </a:solidFill>
        <a:ln w="12700">
          <a:solidFill>
            <a:srgbClr val="808080"/>
          </a:solidFill>
          <a:prstDash val="solid"/>
        </a:ln>
      </c:spPr>
    </c:plotArea>
    <c:legend>
      <c:legendPos val="r"/>
      <c:layout>
        <c:manualLayout>
          <c:xMode val="edge"/>
          <c:yMode val="edge"/>
          <c:x val="0.93739060395228369"/>
          <c:y val="0.18385697303532172"/>
          <c:w val="5.5555648136575542E-2"/>
          <c:h val="0.54260230924049302"/>
        </c:manualLayout>
      </c:layout>
      <c:overlay val="0"/>
      <c:spPr>
        <a:solidFill>
          <a:srgbClr val="FFFFFF"/>
        </a:solidFill>
        <a:ln w="3175">
          <a:solidFill>
            <a:srgbClr val="000000"/>
          </a:solidFill>
          <a:prstDash val="solid"/>
        </a:ln>
      </c:spPr>
      <c:txPr>
        <a:bodyPr/>
        <a:lstStyle/>
        <a:p>
          <a:pPr>
            <a:defRPr lang="en-US" sz="675" b="0" i="0" u="none" strike="noStrike" baseline="0">
              <a:solidFill>
                <a:srgbClr val="000000"/>
              </a:solidFill>
              <a:latin typeface="Trebuchet MS"/>
              <a:ea typeface="Trebuchet MS"/>
              <a:cs typeface="Trebuchet MS"/>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1" l="0.75000000000000189" r="0.75000000000000189"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nl-NL"/>
              <a:t>Market shares % Total</a:t>
            </a:r>
          </a:p>
        </c:rich>
      </c:tx>
      <c:layout>
        <c:manualLayout>
          <c:xMode val="edge"/>
          <c:yMode val="edge"/>
          <c:x val="0.43788564755396897"/>
          <c:y val="4.0178571428571425E-2"/>
        </c:manualLayout>
      </c:layout>
      <c:overlay val="0"/>
      <c:spPr>
        <a:noFill/>
        <a:ln w="25400">
          <a:noFill/>
        </a:ln>
      </c:spPr>
    </c:title>
    <c:autoTitleDeleted val="0"/>
    <c:plotArea>
      <c:layout>
        <c:manualLayout>
          <c:layoutTarget val="inner"/>
          <c:xMode val="edge"/>
          <c:yMode val="edge"/>
          <c:x val="5.6387689456433375E-2"/>
          <c:y val="0.12946428571428617"/>
          <c:w val="0.87312812892695457"/>
          <c:h val="0.65178571428571752"/>
        </c:manualLayout>
      </c:layout>
      <c:barChart>
        <c:barDir val="col"/>
        <c:grouping val="clustered"/>
        <c:varyColors val="0"/>
        <c:ser>
          <c:idx val="0"/>
          <c:order val="0"/>
          <c:tx>
            <c:strRef>
              <c:f>'5.4.1 Competition in Area'!$A$34</c:f>
              <c:strCache>
                <c:ptCount val="1"/>
                <c:pt idx="0">
                  <c:v>DAF</c:v>
                </c:pt>
              </c:strCache>
            </c:strRef>
          </c:tx>
          <c:spPr>
            <a:solidFill>
              <a:srgbClr val="8080FF"/>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Area'!$E$34,'5.4.1 Competition in Area'!$H$34,'5.4.1 Competition in Area'!$K$34)</c:f>
              <c:numCache>
                <c:formatCode>0.0%</c:formatCode>
                <c:ptCount val="3"/>
                <c:pt idx="0">
                  <c:v>0.01</c:v>
                </c:pt>
                <c:pt idx="1">
                  <c:v>0.01</c:v>
                </c:pt>
                <c:pt idx="2">
                  <c:v>0.05</c:v>
                </c:pt>
              </c:numCache>
            </c:numRef>
          </c:val>
          <c:extLst xmlns:c16r2="http://schemas.microsoft.com/office/drawing/2015/06/chart">
            <c:ext xmlns:c16="http://schemas.microsoft.com/office/drawing/2014/chart" uri="{C3380CC4-5D6E-409C-BE32-E72D297353CC}">
              <c16:uniqueId val="{00000000-5763-49AA-AFAE-85DD90E56B08}"/>
            </c:ext>
          </c:extLst>
        </c:ser>
        <c:ser>
          <c:idx val="1"/>
          <c:order val="1"/>
          <c:tx>
            <c:strRef>
              <c:f>'5.4.1 Competition in Area'!$A$35</c:f>
              <c:strCache>
                <c:ptCount val="1"/>
                <c:pt idx="0">
                  <c:v>Mercedes</c:v>
                </c:pt>
              </c:strCache>
            </c:strRef>
          </c:tx>
          <c:spPr>
            <a:solidFill>
              <a:srgbClr val="80206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Area'!$E$35,'5.4.1 Competition in Area'!$H$35,'5.4.1 Competition in Area'!$K$35)</c:f>
              <c:numCache>
                <c:formatCode>0.0%</c:formatCode>
                <c:ptCount val="3"/>
                <c:pt idx="0">
                  <c:v>0.11</c:v>
                </c:pt>
                <c:pt idx="1">
                  <c:v>0.08</c:v>
                </c:pt>
                <c:pt idx="2">
                  <c:v>0.08</c:v>
                </c:pt>
              </c:numCache>
            </c:numRef>
          </c:val>
          <c:extLst xmlns:c16r2="http://schemas.microsoft.com/office/drawing/2015/06/chart">
            <c:ext xmlns:c16="http://schemas.microsoft.com/office/drawing/2014/chart" uri="{C3380CC4-5D6E-409C-BE32-E72D297353CC}">
              <c16:uniqueId val="{00000001-5763-49AA-AFAE-85DD90E56B08}"/>
            </c:ext>
          </c:extLst>
        </c:ser>
        <c:ser>
          <c:idx val="2"/>
          <c:order val="2"/>
          <c:tx>
            <c:strRef>
              <c:f>'5.4.1 Competition in Area'!$A$36</c:f>
              <c:strCache>
                <c:ptCount val="1"/>
                <c:pt idx="0">
                  <c:v>Volvo</c:v>
                </c:pt>
              </c:strCache>
            </c:strRef>
          </c:tx>
          <c:spPr>
            <a:solidFill>
              <a:srgbClr val="FFFFC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Area'!$E$36,'5.4.1 Competition in Area'!$H$36,'5.4.1 Competition in Area'!$K$36)</c:f>
              <c:numCache>
                <c:formatCode>0.0%</c:formatCode>
                <c:ptCount val="3"/>
                <c:pt idx="0">
                  <c:v>0.04</c:v>
                </c:pt>
                <c:pt idx="1">
                  <c:v>0.05</c:v>
                </c:pt>
                <c:pt idx="2">
                  <c:v>0.05</c:v>
                </c:pt>
              </c:numCache>
            </c:numRef>
          </c:val>
          <c:extLst xmlns:c16r2="http://schemas.microsoft.com/office/drawing/2015/06/chart">
            <c:ext xmlns:c16="http://schemas.microsoft.com/office/drawing/2014/chart" uri="{C3380CC4-5D6E-409C-BE32-E72D297353CC}">
              <c16:uniqueId val="{00000002-5763-49AA-AFAE-85DD90E56B08}"/>
            </c:ext>
          </c:extLst>
        </c:ser>
        <c:ser>
          <c:idx val="3"/>
          <c:order val="3"/>
          <c:tx>
            <c:strRef>
              <c:f>'5.4.1 Competition in Area'!$A$37</c:f>
              <c:strCache>
                <c:ptCount val="1"/>
                <c:pt idx="0">
                  <c:v>Scania</c:v>
                </c:pt>
              </c:strCache>
            </c:strRef>
          </c:tx>
          <c:spPr>
            <a:solidFill>
              <a:srgbClr val="A0E0E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Area'!$E$37,'5.4.1 Competition in Area'!$H$37,'5.4.1 Competition in Area'!$K$37)</c:f>
              <c:numCache>
                <c:formatCode>0.0%</c:formatCode>
                <c:ptCount val="3"/>
                <c:pt idx="0">
                  <c:v>0.08</c:v>
                </c:pt>
                <c:pt idx="1">
                  <c:v>0.09</c:v>
                </c:pt>
                <c:pt idx="2">
                  <c:v>0.09</c:v>
                </c:pt>
              </c:numCache>
            </c:numRef>
          </c:val>
          <c:extLst xmlns:c16r2="http://schemas.microsoft.com/office/drawing/2015/06/chart">
            <c:ext xmlns:c16="http://schemas.microsoft.com/office/drawing/2014/chart" uri="{C3380CC4-5D6E-409C-BE32-E72D297353CC}">
              <c16:uniqueId val="{00000003-5763-49AA-AFAE-85DD90E56B08}"/>
            </c:ext>
          </c:extLst>
        </c:ser>
        <c:ser>
          <c:idx val="4"/>
          <c:order val="4"/>
          <c:tx>
            <c:strRef>
              <c:f>'5.4.1 Competition in Area'!$A$38</c:f>
              <c:strCache>
                <c:ptCount val="1"/>
                <c:pt idx="0">
                  <c:v>Man</c:v>
                </c:pt>
              </c:strCache>
            </c:strRef>
          </c:tx>
          <c:spPr>
            <a:solidFill>
              <a:srgbClr val="60008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Area'!$E$38,'5.4.1 Competition in Area'!$H$38,'5.4.1 Competition in Area'!$K$38)</c:f>
              <c:numCache>
                <c:formatCode>0.0%</c:formatCode>
                <c:ptCount val="3"/>
                <c:pt idx="0">
                  <c:v>0.09</c:v>
                </c:pt>
                <c:pt idx="1">
                  <c:v>7.0000000000000007E-2</c:v>
                </c:pt>
                <c:pt idx="2">
                  <c:v>7.0000000000000007E-2</c:v>
                </c:pt>
              </c:numCache>
            </c:numRef>
          </c:val>
          <c:extLst xmlns:c16r2="http://schemas.microsoft.com/office/drawing/2015/06/chart">
            <c:ext xmlns:c16="http://schemas.microsoft.com/office/drawing/2014/chart" uri="{C3380CC4-5D6E-409C-BE32-E72D297353CC}">
              <c16:uniqueId val="{00000004-5763-49AA-AFAE-85DD90E56B08}"/>
            </c:ext>
          </c:extLst>
        </c:ser>
        <c:ser>
          <c:idx val="5"/>
          <c:order val="5"/>
          <c:tx>
            <c:strRef>
              <c:f>'5.4.1 Competition in Area'!$A$39</c:f>
              <c:strCache>
                <c:ptCount val="1"/>
                <c:pt idx="0">
                  <c:v>Iveco</c:v>
                </c:pt>
              </c:strCache>
            </c:strRef>
          </c:tx>
          <c:spPr>
            <a:solidFill>
              <a:srgbClr val="FF808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Area'!$E$39,'5.4.1 Competition in Area'!$H$39,'5.4.1 Competition in Area'!$K$39)</c:f>
              <c:numCache>
                <c:formatCode>0.0%</c:formatCode>
                <c:ptCount val="3"/>
                <c:pt idx="0">
                  <c:v>0.32</c:v>
                </c:pt>
                <c:pt idx="1">
                  <c:v>0.26</c:v>
                </c:pt>
                <c:pt idx="2">
                  <c:v>0.26</c:v>
                </c:pt>
              </c:numCache>
            </c:numRef>
          </c:val>
          <c:extLst xmlns:c16r2="http://schemas.microsoft.com/office/drawing/2015/06/chart">
            <c:ext xmlns:c16="http://schemas.microsoft.com/office/drawing/2014/chart" uri="{C3380CC4-5D6E-409C-BE32-E72D297353CC}">
              <c16:uniqueId val="{00000005-5763-49AA-AFAE-85DD90E56B08}"/>
            </c:ext>
          </c:extLst>
        </c:ser>
        <c:ser>
          <c:idx val="6"/>
          <c:order val="6"/>
          <c:tx>
            <c:strRef>
              <c:f>'5.4.1 Competition in Area'!$A$40</c:f>
              <c:strCache>
                <c:ptCount val="1"/>
                <c:pt idx="0">
                  <c:v>Renault</c:v>
                </c:pt>
              </c:strCache>
            </c:strRef>
          </c:tx>
          <c:spPr>
            <a:solidFill>
              <a:srgbClr val="0080C0"/>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Area'!$E$40,'5.4.1 Competition in Area'!$H$40,'5.4.1 Competition in Area'!$K$40)</c:f>
              <c:numCache>
                <c:formatCode>0.0%</c:formatCode>
                <c:ptCount val="3"/>
                <c:pt idx="0">
                  <c:v>0.15</c:v>
                </c:pt>
                <c:pt idx="1">
                  <c:v>0.16</c:v>
                </c:pt>
                <c:pt idx="2">
                  <c:v>0.16</c:v>
                </c:pt>
              </c:numCache>
            </c:numRef>
          </c:val>
          <c:extLst xmlns:c16r2="http://schemas.microsoft.com/office/drawing/2015/06/chart">
            <c:ext xmlns:c16="http://schemas.microsoft.com/office/drawing/2014/chart" uri="{C3380CC4-5D6E-409C-BE32-E72D297353CC}">
              <c16:uniqueId val="{00000006-5763-49AA-AFAE-85DD90E56B08}"/>
            </c:ext>
          </c:extLst>
        </c:ser>
        <c:ser>
          <c:idx val="7"/>
          <c:order val="7"/>
          <c:tx>
            <c:strRef>
              <c:f>'5.4.1 Competition in Area'!$A$41</c:f>
              <c:strCache>
                <c:ptCount val="1"/>
                <c:pt idx="0">
                  <c:v>Others</c:v>
                </c:pt>
              </c:strCache>
            </c:strRef>
          </c:tx>
          <c:spPr>
            <a:solidFill>
              <a:srgbClr val="C0C0FF"/>
            </a:solidFill>
            <a:ln w="12700">
              <a:solidFill>
                <a:srgbClr val="000000"/>
              </a:solidFill>
              <a:prstDash val="solid"/>
            </a:ln>
          </c:spPr>
          <c:invertIfNegative val="0"/>
          <c:cat>
            <c:numRef>
              <c:f>('5.4.1 Competition in Area'!$C$32,'5.4.1 Competition in Area'!$F$32,'5.4.1 Competition in Area'!$I$32)</c:f>
              <c:numCache>
                <c:formatCode>General</c:formatCode>
                <c:ptCount val="3"/>
                <c:pt idx="0">
                  <c:v>2017</c:v>
                </c:pt>
                <c:pt idx="1">
                  <c:v>2018</c:v>
                </c:pt>
                <c:pt idx="2" formatCode="0">
                  <c:v>2019</c:v>
                </c:pt>
              </c:numCache>
            </c:numRef>
          </c:cat>
          <c:val>
            <c:numRef>
              <c:f>('5.4.1 Competition in Area'!$E$41,'5.4.1 Competition in Area'!$H$41,'5.4.1 Competition in Area'!$K$41)</c:f>
              <c:numCache>
                <c:formatCode>0.0%</c:formatCode>
                <c:ptCount val="3"/>
                <c:pt idx="0">
                  <c:v>0.2</c:v>
                </c:pt>
                <c:pt idx="1">
                  <c:v>0.28000000000000003</c:v>
                </c:pt>
                <c:pt idx="2">
                  <c:v>0.24</c:v>
                </c:pt>
              </c:numCache>
            </c:numRef>
          </c:val>
          <c:extLst xmlns:c16r2="http://schemas.microsoft.com/office/drawing/2015/06/chart">
            <c:ext xmlns:c16="http://schemas.microsoft.com/office/drawing/2014/chart" uri="{C3380CC4-5D6E-409C-BE32-E72D297353CC}">
              <c16:uniqueId val="{00000007-5763-49AA-AFAE-85DD90E56B08}"/>
            </c:ext>
          </c:extLst>
        </c:ser>
        <c:dLbls>
          <c:showLegendKey val="0"/>
          <c:showVal val="0"/>
          <c:showCatName val="0"/>
          <c:showSerName val="0"/>
          <c:showPercent val="0"/>
          <c:showBubbleSize val="0"/>
        </c:dLbls>
        <c:gapWidth val="150"/>
        <c:axId val="470104368"/>
        <c:axId val="470109264"/>
      </c:barChart>
      <c:catAx>
        <c:axId val="470104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Trebuchet MS"/>
                <a:ea typeface="Trebuchet MS"/>
                <a:cs typeface="Trebuchet MS"/>
              </a:defRPr>
            </a:pPr>
            <a:endParaRPr lang="fr-FR"/>
          </a:p>
        </c:txPr>
        <c:crossAx val="470109264"/>
        <c:crosses val="autoZero"/>
        <c:auto val="0"/>
        <c:lblAlgn val="ctr"/>
        <c:lblOffset val="100"/>
        <c:tickLblSkip val="1"/>
        <c:tickMarkSkip val="1"/>
        <c:noMultiLvlLbl val="0"/>
      </c:catAx>
      <c:valAx>
        <c:axId val="47010926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Trebuchet MS"/>
                <a:ea typeface="Trebuchet MS"/>
                <a:cs typeface="Trebuchet MS"/>
              </a:defRPr>
            </a:pPr>
            <a:endParaRPr lang="fr-FR"/>
          </a:p>
        </c:txPr>
        <c:crossAx val="470104368"/>
        <c:crosses val="autoZero"/>
        <c:crossBetween val="between"/>
      </c:valAx>
      <c:spPr>
        <a:solidFill>
          <a:srgbClr val="C0C0C0"/>
        </a:solidFill>
        <a:ln w="12700">
          <a:solidFill>
            <a:srgbClr val="808080"/>
          </a:solidFill>
          <a:prstDash val="solid"/>
        </a:ln>
      </c:spPr>
    </c:plotArea>
    <c:legend>
      <c:legendPos val="r"/>
      <c:layout>
        <c:manualLayout>
          <c:xMode val="edge"/>
          <c:yMode val="edge"/>
          <c:x val="0.93744530391850978"/>
          <c:y val="0.18750000000000044"/>
          <c:w val="5.5506607929515804E-2"/>
          <c:h val="0.54017857142857395"/>
        </c:manualLayout>
      </c:layout>
      <c:overlay val="0"/>
      <c:spPr>
        <a:solidFill>
          <a:srgbClr val="FFFFFF"/>
        </a:solidFill>
        <a:ln w="3175">
          <a:solidFill>
            <a:srgbClr val="000000"/>
          </a:solidFill>
          <a:prstDash val="solid"/>
        </a:ln>
      </c:spPr>
      <c:txPr>
        <a:bodyPr/>
        <a:lstStyle/>
        <a:p>
          <a:pPr>
            <a:defRPr lang="en-US" sz="675" b="0" i="0" u="none" strike="noStrike" baseline="0">
              <a:solidFill>
                <a:srgbClr val="000000"/>
              </a:solidFill>
              <a:latin typeface="Trebuchet MS"/>
              <a:ea typeface="Trebuchet MS"/>
              <a:cs typeface="Trebuchet MS"/>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1" l="0.75000000000000189" r="0.75000000000000189" t="1" header="0.5" footer="0.5"/>
    <c:pageSetup orientation="landscape"/>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4" Type="http://schemas.openxmlformats.org/officeDocument/2006/relationships/image" Target="../media/image4.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2.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3.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4.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5.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6.emf"/></Relationships>
</file>

<file path=xl/drawings/_rels/drawing15.xml.rels><?xml version="1.0" encoding="UTF-8" standalone="yes"?>
<Relationships xmlns="http://schemas.openxmlformats.org/package/2006/relationships"><Relationship Id="rId2" Type="http://schemas.openxmlformats.org/officeDocument/2006/relationships/image" Target="../media/image17.emf"/><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chart" Target="../charts/chart1.xml"/></Relationships>
</file>

<file path=xl/drawings/_rels/drawing17.xml.rels><?xml version="1.0" encoding="UTF-8" standalone="yes"?>
<Relationships xmlns="http://schemas.openxmlformats.org/package/2006/relationships"><Relationship Id="rId2" Type="http://schemas.openxmlformats.org/officeDocument/2006/relationships/image" Target="../media/image19.emf"/><Relationship Id="rId1" Type="http://schemas.openxmlformats.org/officeDocument/2006/relationships/chart" Target="../charts/chart2.xml"/></Relationships>
</file>

<file path=xl/drawings/_rels/drawing18.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chart" Target="../charts/chart3.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1.emf"/><Relationship Id="rId1"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22.emf"/></Relationships>
</file>

<file path=xl/drawings/_rels/drawing21.xml.rels><?xml version="1.0" encoding="UTF-8" standalone="yes"?>
<Relationships xmlns="http://schemas.openxmlformats.org/package/2006/relationships"><Relationship Id="rId1" Type="http://schemas.openxmlformats.org/officeDocument/2006/relationships/image" Target="../media/image23.emf"/></Relationships>
</file>

<file path=xl/drawings/_rels/drawing22.xml.rels><?xml version="1.0" encoding="UTF-8" standalone="yes"?>
<Relationships xmlns="http://schemas.openxmlformats.org/package/2006/relationships"><Relationship Id="rId1" Type="http://schemas.openxmlformats.org/officeDocument/2006/relationships/image" Target="../media/image24.emf"/></Relationships>
</file>

<file path=xl/drawings/_rels/drawing23.xml.rels><?xml version="1.0" encoding="UTF-8" standalone="yes"?>
<Relationships xmlns="http://schemas.openxmlformats.org/package/2006/relationships"><Relationship Id="rId1" Type="http://schemas.openxmlformats.org/officeDocument/2006/relationships/image" Target="../media/image25.emf"/></Relationships>
</file>

<file path=xl/drawings/_rels/drawing24.xml.rels><?xml version="1.0" encoding="UTF-8" standalone="yes"?>
<Relationships xmlns="http://schemas.openxmlformats.org/package/2006/relationships"><Relationship Id="rId1" Type="http://schemas.openxmlformats.org/officeDocument/2006/relationships/image" Target="../media/image26.emf"/></Relationships>
</file>

<file path=xl/drawings/_rels/drawing25.xml.rels><?xml version="1.0" encoding="UTF-8" standalone="yes"?>
<Relationships xmlns="http://schemas.openxmlformats.org/package/2006/relationships"><Relationship Id="rId1" Type="http://schemas.openxmlformats.org/officeDocument/2006/relationships/image" Target="../media/image27.emf"/></Relationships>
</file>

<file path=xl/drawings/_rels/drawing26.xml.rels><?xml version="1.0" encoding="UTF-8" standalone="yes"?>
<Relationships xmlns="http://schemas.openxmlformats.org/package/2006/relationships"><Relationship Id="rId1" Type="http://schemas.openxmlformats.org/officeDocument/2006/relationships/image" Target="../media/image28.emf"/></Relationships>
</file>

<file path=xl/drawings/_rels/drawing27.xml.rels><?xml version="1.0" encoding="UTF-8" standalone="yes"?>
<Relationships xmlns="http://schemas.openxmlformats.org/package/2006/relationships"><Relationship Id="rId1" Type="http://schemas.openxmlformats.org/officeDocument/2006/relationships/image" Target="../media/image29.emf"/></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30.emf"/></Relationships>
</file>

<file path=xl/drawings/_rels/drawing37.xml.rels><?xml version="1.0" encoding="UTF-8" standalone="yes"?>
<Relationships xmlns="http://schemas.openxmlformats.org/package/2006/relationships"><Relationship Id="rId1" Type="http://schemas.openxmlformats.org/officeDocument/2006/relationships/image" Target="../media/image31.emf"/></Relationships>
</file>

<file path=xl/drawings/_rels/drawing38.xml.rels><?xml version="1.0" encoding="UTF-8" standalone="yes"?>
<Relationships xmlns="http://schemas.openxmlformats.org/package/2006/relationships"><Relationship Id="rId1" Type="http://schemas.openxmlformats.org/officeDocument/2006/relationships/image" Target="../media/image32.emf"/></Relationships>
</file>

<file path=xl/drawings/_rels/drawing39.xml.rels><?xml version="1.0" encoding="UTF-8" standalone="yes"?>
<Relationships xmlns="http://schemas.openxmlformats.org/package/2006/relationships"><Relationship Id="rId1" Type="http://schemas.openxmlformats.org/officeDocument/2006/relationships/image" Target="../media/image33.emf"/></Relationships>
</file>

<file path=xl/drawings/_rels/drawing4.xml.rels><?xml version="1.0" encoding="UTF-8" standalone="yes"?>
<Relationships xmlns="http://schemas.openxmlformats.org/package/2006/relationships"><Relationship Id="rId1" Type="http://schemas.openxmlformats.org/officeDocument/2006/relationships/image" Target="../media/image6.emf"/></Relationships>
</file>

<file path=xl/drawings/_rels/drawing40.xml.rels><?xml version="1.0" encoding="UTF-8" standalone="yes"?>
<Relationships xmlns="http://schemas.openxmlformats.org/package/2006/relationships"><Relationship Id="rId1" Type="http://schemas.openxmlformats.org/officeDocument/2006/relationships/image" Target="../media/image34.emf"/></Relationships>
</file>

<file path=xl/drawings/_rels/drawing41.xml.rels><?xml version="1.0" encoding="UTF-8" standalone="yes"?>
<Relationships xmlns="http://schemas.openxmlformats.org/package/2006/relationships"><Relationship Id="rId1" Type="http://schemas.openxmlformats.org/officeDocument/2006/relationships/image" Target="../media/image35.emf"/></Relationships>
</file>

<file path=xl/drawings/_rels/drawing42.xml.rels><?xml version="1.0" encoding="UTF-8" standalone="yes"?>
<Relationships xmlns="http://schemas.openxmlformats.org/package/2006/relationships"><Relationship Id="rId1" Type="http://schemas.openxmlformats.org/officeDocument/2006/relationships/image" Target="../media/image36.emf"/></Relationships>
</file>

<file path=xl/drawings/_rels/drawing43.xml.rels><?xml version="1.0" encoding="UTF-8" standalone="yes"?>
<Relationships xmlns="http://schemas.openxmlformats.org/package/2006/relationships"><Relationship Id="rId1" Type="http://schemas.openxmlformats.org/officeDocument/2006/relationships/image" Target="../media/image37.emf"/></Relationships>
</file>

<file path=xl/drawings/_rels/drawing44.xml.rels><?xml version="1.0" encoding="UTF-8" standalone="yes"?>
<Relationships xmlns="http://schemas.openxmlformats.org/package/2006/relationships"><Relationship Id="rId1" Type="http://schemas.openxmlformats.org/officeDocument/2006/relationships/image" Target="../media/image38.emf"/></Relationships>
</file>

<file path=xl/drawings/_rels/drawing45.xml.rels><?xml version="1.0" encoding="UTF-8" standalone="yes"?>
<Relationships xmlns="http://schemas.openxmlformats.org/package/2006/relationships"><Relationship Id="rId1" Type="http://schemas.openxmlformats.org/officeDocument/2006/relationships/image" Target="../media/image39.emf"/></Relationships>
</file>

<file path=xl/drawings/_rels/drawing46.xml.rels><?xml version="1.0" encoding="UTF-8" standalone="yes"?>
<Relationships xmlns="http://schemas.openxmlformats.org/package/2006/relationships"><Relationship Id="rId1" Type="http://schemas.openxmlformats.org/officeDocument/2006/relationships/image" Target="../media/image40.emf"/></Relationships>
</file>

<file path=xl/drawings/_rels/drawing47.xml.rels><?xml version="1.0" encoding="UTF-8" standalone="yes"?>
<Relationships xmlns="http://schemas.openxmlformats.org/package/2006/relationships"><Relationship Id="rId1" Type="http://schemas.openxmlformats.org/officeDocument/2006/relationships/image" Target="../media/image41.emf"/></Relationships>
</file>

<file path=xl/drawings/_rels/drawing48.xml.rels><?xml version="1.0" encoding="UTF-8" standalone="yes"?>
<Relationships xmlns="http://schemas.openxmlformats.org/package/2006/relationships"><Relationship Id="rId1" Type="http://schemas.openxmlformats.org/officeDocument/2006/relationships/image" Target="../media/image42.emf"/></Relationships>
</file>

<file path=xl/drawings/_rels/drawing49.xml.rels><?xml version="1.0" encoding="UTF-8" standalone="yes"?>
<Relationships xmlns="http://schemas.openxmlformats.org/package/2006/relationships"><Relationship Id="rId1" Type="http://schemas.openxmlformats.org/officeDocument/2006/relationships/image" Target="../media/image43.emf"/></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_rels/drawing50.xml.rels><?xml version="1.0" encoding="UTF-8" standalone="yes"?>
<Relationships xmlns="http://schemas.openxmlformats.org/package/2006/relationships"><Relationship Id="rId1" Type="http://schemas.openxmlformats.org/officeDocument/2006/relationships/image" Target="../media/image44.emf"/></Relationships>
</file>

<file path=xl/drawings/_rels/drawing51.xml.rels><?xml version="1.0" encoding="UTF-8" standalone="yes"?>
<Relationships xmlns="http://schemas.openxmlformats.org/package/2006/relationships"><Relationship Id="rId1" Type="http://schemas.openxmlformats.org/officeDocument/2006/relationships/image" Target="../media/image45.emf"/></Relationships>
</file>

<file path=xl/drawings/_rels/drawing52.xml.rels><?xml version="1.0" encoding="UTF-8" standalone="yes"?>
<Relationships xmlns="http://schemas.openxmlformats.org/package/2006/relationships"><Relationship Id="rId1" Type="http://schemas.openxmlformats.org/officeDocument/2006/relationships/image" Target="../media/image46.emf"/></Relationships>
</file>

<file path=xl/drawings/_rels/drawing53.xml.rels><?xml version="1.0" encoding="UTF-8" standalone="yes"?>
<Relationships xmlns="http://schemas.openxmlformats.org/package/2006/relationships"><Relationship Id="rId1" Type="http://schemas.openxmlformats.org/officeDocument/2006/relationships/image" Target="../media/image47.emf"/></Relationships>
</file>

<file path=xl/drawings/_rels/drawing54.xml.rels><?xml version="1.0" encoding="UTF-8" standalone="yes"?>
<Relationships xmlns="http://schemas.openxmlformats.org/package/2006/relationships"><Relationship Id="rId1" Type="http://schemas.openxmlformats.org/officeDocument/2006/relationships/image" Target="../media/image48.emf"/></Relationships>
</file>

<file path=xl/drawings/_rels/drawing55.xml.rels><?xml version="1.0" encoding="UTF-8" standalone="yes"?>
<Relationships xmlns="http://schemas.openxmlformats.org/package/2006/relationships"><Relationship Id="rId1" Type="http://schemas.openxmlformats.org/officeDocument/2006/relationships/image" Target="../media/image49.emf"/></Relationships>
</file>

<file path=xl/drawings/_rels/drawing56.xml.rels><?xml version="1.0" encoding="UTF-8" standalone="yes"?>
<Relationships xmlns="http://schemas.openxmlformats.org/package/2006/relationships"><Relationship Id="rId1" Type="http://schemas.openxmlformats.org/officeDocument/2006/relationships/image" Target="../media/image50.emf"/></Relationships>
</file>

<file path=xl/drawings/_rels/drawing57.xml.rels><?xml version="1.0" encoding="UTF-8" standalone="yes"?>
<Relationships xmlns="http://schemas.openxmlformats.org/package/2006/relationships"><Relationship Id="rId1" Type="http://schemas.openxmlformats.org/officeDocument/2006/relationships/image" Target="../media/image51.emf"/></Relationships>
</file>

<file path=xl/drawings/_rels/drawing58.xml.rels><?xml version="1.0" encoding="UTF-8" standalone="yes"?>
<Relationships xmlns="http://schemas.openxmlformats.org/package/2006/relationships"><Relationship Id="rId1" Type="http://schemas.openxmlformats.org/officeDocument/2006/relationships/image" Target="../media/image52.emf"/></Relationships>
</file>

<file path=xl/drawings/_rels/drawing6.xml.rels><?xml version="1.0" encoding="UTF-8" standalone="yes"?>
<Relationships xmlns="http://schemas.openxmlformats.org/package/2006/relationships"><Relationship Id="rId1" Type="http://schemas.openxmlformats.org/officeDocument/2006/relationships/image" Target="../media/image8.emf"/></Relationships>
</file>

<file path=xl/drawings/_rels/drawing7.xml.rels><?xml version="1.0" encoding="UTF-8" standalone="yes"?>
<Relationships xmlns="http://schemas.openxmlformats.org/package/2006/relationships"><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1" Type="http://schemas.openxmlformats.org/officeDocument/2006/relationships/image" Target="../media/image10.emf"/></Relationships>
</file>

<file path=xl/drawings/_rels/drawing9.x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1</xdr:col>
      <xdr:colOff>295275</xdr:colOff>
      <xdr:row>28</xdr:row>
      <xdr:rowOff>219075</xdr:rowOff>
    </xdr:from>
    <xdr:to>
      <xdr:col>9</xdr:col>
      <xdr:colOff>742950</xdr:colOff>
      <xdr:row>34</xdr:row>
      <xdr:rowOff>161925</xdr:rowOff>
    </xdr:to>
    <xdr:sp macro="" textlink="">
      <xdr:nvSpPr>
        <xdr:cNvPr id="1128" name="MyHelpTekst1">
          <a:extLst>
            <a:ext uri="{FF2B5EF4-FFF2-40B4-BE49-F238E27FC236}">
              <a16:creationId xmlns:a16="http://schemas.microsoft.com/office/drawing/2014/main" xmlns="" id="{00000000-0008-0000-0000-000068040000}"/>
            </a:ext>
          </a:extLst>
        </xdr:cNvPr>
        <xdr:cNvSpPr>
          <a:spLocks noChangeArrowheads="1"/>
        </xdr:cNvSpPr>
      </xdr:nvSpPr>
      <xdr:spPr bwMode="auto">
        <a:xfrm>
          <a:off x="1076325" y="6638925"/>
          <a:ext cx="6524625" cy="1285875"/>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ctr" rtl="0">
            <a:defRPr sz="1000"/>
          </a:pPr>
          <a:r>
            <a:rPr lang="nl-NL" sz="1200" b="1" i="0" u="none" strike="noStrike" baseline="0">
              <a:solidFill>
                <a:srgbClr val="FF0000"/>
              </a:solidFill>
              <a:latin typeface="Trebuchet MS"/>
            </a:rPr>
            <a:t>Warning! Before starting filling in the DAF Dealer Business Plan </a:t>
          </a:r>
        </a:p>
        <a:p>
          <a:pPr algn="ctr" rtl="0">
            <a:defRPr sz="1000"/>
          </a:pPr>
          <a:r>
            <a:rPr lang="nl-NL" sz="1200" b="1" i="0" u="none" strike="noStrike" baseline="0">
              <a:solidFill>
                <a:srgbClr val="FF0000"/>
              </a:solidFill>
              <a:latin typeface="Trebuchet MS"/>
            </a:rPr>
            <a:t>please check your computer settings:   </a:t>
          </a:r>
          <a:r>
            <a:rPr lang="nl-NL" sz="1600" b="1" i="0" u="none" strike="noStrike" baseline="0">
              <a:solidFill>
                <a:srgbClr val="FF0000"/>
              </a:solidFill>
              <a:latin typeface="Trebuchet MS"/>
            </a:rPr>
            <a:t>  </a:t>
          </a:r>
          <a:endParaRPr lang="nl-NL" sz="1200" b="1" i="0" u="none" strike="noStrike" baseline="0">
            <a:solidFill>
              <a:srgbClr val="FF0000"/>
            </a:solidFill>
            <a:latin typeface="Trebuchet MS"/>
          </a:endParaRPr>
        </a:p>
        <a:p>
          <a:pPr algn="ctr" rtl="0">
            <a:defRPr sz="1000"/>
          </a:pPr>
          <a:r>
            <a:rPr lang="nl-NL" sz="1000" b="1" i="0" u="none" strike="noStrike" baseline="0">
              <a:solidFill>
                <a:srgbClr val="FF0000"/>
              </a:solidFill>
              <a:latin typeface="Trebuchet MS"/>
            </a:rPr>
            <a:t>1. Iteration at least 1000 (go to Tools&gt;Options&gt;Calculations&gt;select Iteration&gt;change 100 into 1000)     </a:t>
          </a:r>
        </a:p>
        <a:p>
          <a:pPr algn="ctr" rtl="0">
            <a:defRPr sz="1000"/>
          </a:pPr>
          <a:r>
            <a:rPr lang="nl-NL" sz="1000" b="1" i="0" u="none" strike="noStrike" baseline="0">
              <a:solidFill>
                <a:srgbClr val="FF0000"/>
              </a:solidFill>
              <a:latin typeface="Trebuchet MS"/>
            </a:rPr>
            <a:t>2. Macro at average security level (go to Tools&gt;Macro&gt;Security&gt;Average)     </a:t>
          </a:r>
        </a:p>
        <a:p>
          <a:pPr algn="ctr" rtl="0">
            <a:defRPr sz="1000"/>
          </a:pPr>
          <a:r>
            <a:rPr lang="nl-NL" sz="1000" b="1" i="0" u="none" strike="noStrike" baseline="0">
              <a:solidFill>
                <a:srgbClr val="FF0000"/>
              </a:solidFill>
              <a:latin typeface="Trebuchet MS"/>
            </a:rPr>
            <a:t>3. If Microsoft Excel version 2007 is used, please enable Macro's </a:t>
          </a:r>
          <a:endParaRPr lang="nl-NL"/>
        </a:p>
      </xdr:txBody>
    </xdr:sp>
    <xdr:clientData/>
  </xdr:twoCellAnchor>
  <xdr:twoCellAnchor editAs="oneCell">
    <xdr:from>
      <xdr:col>3</xdr:col>
      <xdr:colOff>19050</xdr:colOff>
      <xdr:row>2</xdr:row>
      <xdr:rowOff>114300</xdr:rowOff>
    </xdr:from>
    <xdr:to>
      <xdr:col>7</xdr:col>
      <xdr:colOff>314325</xdr:colOff>
      <xdr:row>7</xdr:row>
      <xdr:rowOff>142875</xdr:rowOff>
    </xdr:to>
    <xdr:pic>
      <xdr:nvPicPr>
        <xdr:cNvPr id="1192" name="Picture 88" descr="DAF Logo">
          <a:extLst>
            <a:ext uri="{FF2B5EF4-FFF2-40B4-BE49-F238E27FC236}">
              <a16:creationId xmlns:a16="http://schemas.microsoft.com/office/drawing/2014/main" xmlns="" id="{00000000-0008-0000-0000-0000A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2300" y="676275"/>
          <a:ext cx="255270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390525</xdr:colOff>
      <xdr:row>2</xdr:row>
      <xdr:rowOff>9525</xdr:rowOff>
    </xdr:from>
    <xdr:to>
      <xdr:col>10</xdr:col>
      <xdr:colOff>238125</xdr:colOff>
      <xdr:row>30</xdr:row>
      <xdr:rowOff>76200</xdr:rowOff>
    </xdr:to>
    <xdr:sp macro="" textlink="">
      <xdr:nvSpPr>
        <xdr:cNvPr id="1117" name="MyHelpTekst" hidden="1">
          <a:extLst>
            <a:ext uri="{FF2B5EF4-FFF2-40B4-BE49-F238E27FC236}">
              <a16:creationId xmlns:a16="http://schemas.microsoft.com/office/drawing/2014/main" xmlns="" id="{00000000-0008-0000-0000-00005D040000}"/>
            </a:ext>
          </a:extLst>
        </xdr:cNvPr>
        <xdr:cNvSpPr>
          <a:spLocks noChangeArrowheads="1"/>
        </xdr:cNvSpPr>
      </xdr:nvSpPr>
      <xdr:spPr bwMode="auto">
        <a:xfrm>
          <a:off x="390525" y="571500"/>
          <a:ext cx="7829550" cy="6381750"/>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1000" b="1" i="0" u="none" strike="noStrike" baseline="0">
              <a:solidFill>
                <a:srgbClr val="000000"/>
              </a:solidFill>
              <a:latin typeface="Trebuchet MS"/>
            </a:rPr>
            <a:t>Country:</a:t>
          </a:r>
          <a:r>
            <a:rPr lang="nl-NL" sz="1000" b="0" i="0" u="none" strike="noStrike" baseline="0">
              <a:solidFill>
                <a:srgbClr val="000000"/>
              </a:solidFill>
              <a:latin typeface="Trebuchet MS"/>
            </a:rPr>
            <a:t> Choose country. When your country is not in the list, choose option “other”. By selecting the country name the data for calculating the after sales potential will automatically adjusted.</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Dealer name</a:t>
          </a:r>
          <a:r>
            <a:rPr lang="nl-NL" sz="1000" b="0" i="0" u="none" strike="noStrike" baseline="0">
              <a:solidFill>
                <a:srgbClr val="000000"/>
              </a:solidFill>
              <a:latin typeface="Trebuchet MS"/>
            </a:rPr>
            <a:t>: Enter here the name of your company (contract partner). This dealer name is now printed on top of every sheet automatically.</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Dealer location</a:t>
          </a:r>
          <a:r>
            <a:rPr lang="nl-NL" sz="1000" b="0" i="0" u="none" strike="noStrike" baseline="0">
              <a:solidFill>
                <a:srgbClr val="000000"/>
              </a:solidFill>
              <a:latin typeface="Trebuchet MS"/>
            </a:rPr>
            <a:t>: Fill in the name of the city or village of the dealer location. </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Version</a:t>
          </a:r>
          <a:r>
            <a:rPr lang="nl-NL" sz="1000" b="0" i="0" u="none" strike="noStrike" baseline="0">
              <a:solidFill>
                <a:srgbClr val="000000"/>
              </a:solidFill>
              <a:latin typeface="Trebuchet MS"/>
            </a:rPr>
            <a:t>: Enter here the version number (in case of different scenarios). This name/number is printed on top of every sheet automatically.</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Date</a:t>
          </a:r>
          <a:r>
            <a:rPr lang="nl-NL" sz="1000" b="0" i="0" u="none" strike="noStrike" baseline="0">
              <a:solidFill>
                <a:srgbClr val="000000"/>
              </a:solidFill>
              <a:latin typeface="Trebuchet MS"/>
            </a:rPr>
            <a:t>: Fill in the date on which the specific version is finished. This date is printed on top of every sheet automatically.</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Basis year (Important: Starting year of forecast in business plan) </a:t>
          </a:r>
          <a:r>
            <a:rPr lang="nl-NL" sz="1000" b="0" i="0" u="none" strike="noStrike" baseline="0">
              <a:solidFill>
                <a:srgbClr val="000000"/>
              </a:solidFill>
              <a:latin typeface="Trebuchet MS"/>
            </a:rPr>
            <a:t>: </a:t>
          </a:r>
        </a:p>
        <a:p>
          <a:pPr algn="l" rtl="0">
            <a:defRPr sz="1000"/>
          </a:pPr>
          <a:r>
            <a:rPr lang="nl-NL" sz="1000" b="0" i="0" u="none" strike="noStrike" baseline="0">
              <a:solidFill>
                <a:srgbClr val="000000"/>
              </a:solidFill>
              <a:latin typeface="Trebuchet MS"/>
            </a:rPr>
            <a:t>A distinction should be made between an existing and a new dealership;</a:t>
          </a:r>
        </a:p>
        <a:p>
          <a:pPr algn="l" rtl="0">
            <a:defRPr sz="1000"/>
          </a:pPr>
          <a:r>
            <a:rPr lang="nl-NL" sz="1000" b="0" i="0" u="none" strike="noStrike" baseline="0">
              <a:solidFill>
                <a:srgbClr val="000000"/>
              </a:solidFill>
              <a:latin typeface="Trebuchet MS"/>
            </a:rPr>
            <a:t>- New dealership : first year of the forecast</a:t>
          </a:r>
        </a:p>
        <a:p>
          <a:pPr algn="l" rtl="0">
            <a:defRPr sz="1000"/>
          </a:pPr>
          <a:r>
            <a:rPr lang="nl-NL" sz="1000" b="0" i="0" u="none" strike="noStrike" baseline="0">
              <a:solidFill>
                <a:srgbClr val="000000"/>
              </a:solidFill>
              <a:latin typeface="Trebuchet MS"/>
            </a:rPr>
            <a:t>- Existing dealership : forecast running year or previous fiscal year if this is the last year before the planning period  </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Planning period</a:t>
          </a:r>
          <a:r>
            <a:rPr lang="nl-NL" sz="1000" b="0" i="0" u="none" strike="noStrike" baseline="0">
              <a:solidFill>
                <a:srgbClr val="000000"/>
              </a:solidFill>
              <a:latin typeface="Trebuchet MS"/>
            </a:rPr>
            <a:t>: Enter the 3, 4 or 5 years following upon the basis year, depending on the duration of the planning period.</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Currency</a:t>
          </a:r>
          <a:r>
            <a:rPr lang="nl-NL" sz="1000" b="0" i="0" u="none" strike="noStrike" baseline="0">
              <a:solidFill>
                <a:srgbClr val="000000"/>
              </a:solidFill>
              <a:latin typeface="Trebuchet MS"/>
            </a:rPr>
            <a:t>: Fill in the currency used in this Business Plan. The currency is only used as information. It does not convert automatically from one currency to another. </a:t>
          </a:r>
        </a:p>
        <a:p>
          <a:pPr algn="l" rtl="0">
            <a:defRPr sz="1000"/>
          </a:pPr>
          <a:endParaRPr lang="nl-NL" sz="1000" b="0" i="0" u="none" strike="noStrike" baseline="0">
            <a:solidFill>
              <a:srgbClr val="000000"/>
            </a:solidFill>
            <a:latin typeface="Trebuchet MS"/>
          </a:endParaRPr>
        </a:p>
        <a:p>
          <a:pPr algn="l" rtl="0">
            <a:defRPr sz="1000"/>
          </a:pPr>
          <a:r>
            <a:rPr lang="nl-NL" sz="1200" b="1" i="0" u="sng" strike="noStrike" baseline="0">
              <a:solidFill>
                <a:srgbClr val="000000"/>
              </a:solidFill>
              <a:latin typeface="Trebuchet MS"/>
            </a:rPr>
            <a:t>Print options buttons</a:t>
          </a:r>
        </a:p>
        <a:p>
          <a:pPr algn="l" rtl="0">
            <a:defRPr sz="1000"/>
          </a:pPr>
          <a:endParaRPr lang="nl-NL" sz="1200" b="1" i="0" u="sng"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Print Entire Business Plan: </a:t>
          </a:r>
          <a:r>
            <a:rPr lang="nl-NL" sz="1000" b="0" i="0" u="none" strike="noStrike" baseline="0">
              <a:solidFill>
                <a:srgbClr val="000000"/>
              </a:solidFill>
              <a:latin typeface="Trebuchet MS"/>
            </a:rPr>
            <a:t>All worksheets will be printed out</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Print Financial Business Plan: </a:t>
          </a:r>
          <a:r>
            <a:rPr lang="nl-NL" sz="1000" b="0" i="0" u="none" strike="noStrike" baseline="0">
              <a:solidFill>
                <a:srgbClr val="000000"/>
              </a:solidFill>
              <a:latin typeface="Trebuchet MS"/>
            </a:rPr>
            <a:t>The worksheets </a:t>
          </a:r>
          <a:r>
            <a:rPr lang="nl-NL" sz="1000" b="1" i="0" u="none" strike="noStrike" baseline="0">
              <a:solidFill>
                <a:srgbClr val="000000"/>
              </a:solidFill>
              <a:latin typeface="Trebuchet MS"/>
            </a:rPr>
            <a:t>"</a:t>
          </a:r>
          <a:r>
            <a:rPr lang="nl-NL" sz="1000" b="0" i="0" u="none" strike="noStrike" baseline="0">
              <a:solidFill>
                <a:srgbClr val="000000"/>
              </a:solidFill>
              <a:latin typeface="Trebuchet MS"/>
            </a:rPr>
            <a:t>Reference sheet", "Contents", "5.1 DAF Vehicle Parc Input" and all worksheets of Chapter 7 (Quantitative Business Plan) will be printed out.</a:t>
          </a:r>
          <a:endParaRPr lang="nl-NL"/>
        </a:p>
      </xdr:txBody>
    </xdr:sp>
    <xdr:clientData/>
  </xdr:twoCellAnchor>
  <xdr:twoCellAnchor editAs="oneCell">
    <xdr:from>
      <xdr:col>9</xdr:col>
      <xdr:colOff>0</xdr:colOff>
      <xdr:row>0</xdr:row>
      <xdr:rowOff>177800</xdr:rowOff>
    </xdr:from>
    <xdr:to>
      <xdr:col>10</xdr:col>
      <xdr:colOff>0</xdr:colOff>
      <xdr:row>2</xdr:row>
      <xdr:rowOff>38100</xdr:rowOff>
    </xdr:to>
    <xdr:pic>
      <xdr:nvPicPr>
        <xdr:cNvPr id="1101" name="CommandButton1">
          <a:extLst>
            <a:ext uri="{FF2B5EF4-FFF2-40B4-BE49-F238E27FC236}">
              <a16:creationId xmlns:a16="http://schemas.microsoft.com/office/drawing/2014/main" xmlns="" id="{00000000-0008-0000-0000-00004D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35900" y="177800"/>
          <a:ext cx="1282700" cy="393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0</xdr:colOff>
      <xdr:row>36</xdr:row>
      <xdr:rowOff>0</xdr:rowOff>
    </xdr:from>
    <xdr:to>
      <xdr:col>7</xdr:col>
      <xdr:colOff>0</xdr:colOff>
      <xdr:row>45</xdr:row>
      <xdr:rowOff>177800</xdr:rowOff>
    </xdr:to>
    <xdr:pic>
      <xdr:nvPicPr>
        <xdr:cNvPr id="1129" name="btn_PrintAll">
          <a:extLst>
            <a:ext uri="{FF2B5EF4-FFF2-40B4-BE49-F238E27FC236}">
              <a16:creationId xmlns:a16="http://schemas.microsoft.com/office/drawing/2014/main" xmlns="" id="{00000000-0008-0000-0000-000069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7500" y="7391400"/>
          <a:ext cx="4584700" cy="1955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7</xdr:col>
      <xdr:colOff>0</xdr:colOff>
      <xdr:row>36</xdr:row>
      <xdr:rowOff>0</xdr:rowOff>
    </xdr:from>
    <xdr:to>
      <xdr:col>12</xdr:col>
      <xdr:colOff>0</xdr:colOff>
      <xdr:row>45</xdr:row>
      <xdr:rowOff>177800</xdr:rowOff>
    </xdr:to>
    <xdr:pic>
      <xdr:nvPicPr>
        <xdr:cNvPr id="1131" name="btn_PrintFinancial">
          <a:extLst>
            <a:ext uri="{FF2B5EF4-FFF2-40B4-BE49-F238E27FC236}">
              <a16:creationId xmlns:a16="http://schemas.microsoft.com/office/drawing/2014/main" xmlns="" id="{00000000-0008-0000-0000-00006B04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72200" y="7391400"/>
          <a:ext cx="4127500" cy="1955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28</xdr:row>
      <xdr:rowOff>0</xdr:rowOff>
    </xdr:from>
    <xdr:to>
      <xdr:col>10</xdr:col>
      <xdr:colOff>942975</xdr:colOff>
      <xdr:row>32</xdr:row>
      <xdr:rowOff>9525</xdr:rowOff>
    </xdr:to>
    <xdr:sp macro="" textlink="" fLocksText="0">
      <xdr:nvSpPr>
        <xdr:cNvPr id="73749" name="Rectangle 12">
          <a:extLst>
            <a:ext uri="{FF2B5EF4-FFF2-40B4-BE49-F238E27FC236}">
              <a16:creationId xmlns:a16="http://schemas.microsoft.com/office/drawing/2014/main" xmlns="" id="{00000000-0008-0000-0A00-000015200100}"/>
            </a:ext>
          </a:extLst>
        </xdr:cNvPr>
        <xdr:cNvSpPr>
          <a:spLocks noChangeArrowheads="1"/>
        </xdr:cNvSpPr>
      </xdr:nvSpPr>
      <xdr:spPr bwMode="auto">
        <a:xfrm>
          <a:off x="9525" y="5362575"/>
          <a:ext cx="10458450" cy="771525"/>
        </a:xfrm>
        <a:prstGeom prst="rect">
          <a:avLst/>
        </a:prstGeom>
        <a:solidFill>
          <a:srgbClr val="FFFFC0"/>
        </a:solidFill>
        <a:ln w="9525" algn="ctr">
          <a:solidFill>
            <a:srgbClr val="000000"/>
          </a:solidFill>
          <a:miter lim="800000"/>
          <a:headEnd/>
          <a:tailEnd/>
        </a:ln>
      </xdr:spPr>
      <xdr:txBody>
        <a:bodyPr/>
        <a:lstStyle/>
        <a:p>
          <a:r>
            <a:rPr lang="en-GB"/>
            <a:t>Group</a:t>
          </a:r>
          <a:r>
            <a:rPr lang="en-GB" baseline="0"/>
            <a:t> collateral, reinvestment of  retained earnings, no dividends distribution for the first 4 years   </a:t>
          </a:r>
          <a:endParaRPr lang="en-GB"/>
        </a:p>
      </xdr:txBody>
    </xdr:sp>
    <xdr:clientData/>
  </xdr:twoCellAnchor>
  <xdr:twoCellAnchor>
    <xdr:from>
      <xdr:col>0</xdr:col>
      <xdr:colOff>9525</xdr:colOff>
      <xdr:row>41</xdr:row>
      <xdr:rowOff>0</xdr:rowOff>
    </xdr:from>
    <xdr:to>
      <xdr:col>10</xdr:col>
      <xdr:colOff>942975</xdr:colOff>
      <xdr:row>45</xdr:row>
      <xdr:rowOff>0</xdr:rowOff>
    </xdr:to>
    <xdr:sp macro="" textlink="" fLocksText="0">
      <xdr:nvSpPr>
        <xdr:cNvPr id="73750" name="Rectangle 13">
          <a:extLst>
            <a:ext uri="{FF2B5EF4-FFF2-40B4-BE49-F238E27FC236}">
              <a16:creationId xmlns:a16="http://schemas.microsoft.com/office/drawing/2014/main" xmlns="" id="{00000000-0008-0000-0A00-000016200100}"/>
            </a:ext>
          </a:extLst>
        </xdr:cNvPr>
        <xdr:cNvSpPr>
          <a:spLocks noChangeArrowheads="1"/>
        </xdr:cNvSpPr>
      </xdr:nvSpPr>
      <xdr:spPr bwMode="auto">
        <a:xfrm>
          <a:off x="9525" y="7839075"/>
          <a:ext cx="10458450" cy="762000"/>
        </a:xfrm>
        <a:prstGeom prst="rect">
          <a:avLst/>
        </a:prstGeom>
        <a:solidFill>
          <a:srgbClr val="FFFFC0"/>
        </a:solidFill>
        <a:ln w="9525" algn="ctr">
          <a:solidFill>
            <a:srgbClr val="000000"/>
          </a:solidFill>
          <a:miter lim="800000"/>
          <a:headEnd/>
          <a:tailEnd/>
        </a:ln>
      </xdr:spPr>
      <xdr:txBody>
        <a:bodyPr/>
        <a:lstStyle/>
        <a:p>
          <a:r>
            <a:rPr lang="en-GB"/>
            <a:t>70%</a:t>
          </a:r>
          <a:r>
            <a:rPr lang="en-GB" baseline="0"/>
            <a:t> through leasing , 30% bank loans and company financing                                                                                                                                                                                                                                                             </a:t>
          </a:r>
          <a:r>
            <a:rPr lang="en-GB"/>
            <a:t>Spare parts: large </a:t>
          </a:r>
          <a:r>
            <a:rPr lang="en-GB" baseline="0"/>
            <a:t>and recurring customers enjoy favorable credit and payment terms upon decision of the credit committee  </a:t>
          </a:r>
          <a:endParaRPr lang="en-GB"/>
        </a:p>
      </xdr:txBody>
    </xdr:sp>
    <xdr:clientData/>
  </xdr:twoCellAnchor>
  <xdr:twoCellAnchor>
    <xdr:from>
      <xdr:col>0</xdr:col>
      <xdr:colOff>9525</xdr:colOff>
      <xdr:row>47</xdr:row>
      <xdr:rowOff>0</xdr:rowOff>
    </xdr:from>
    <xdr:to>
      <xdr:col>10</xdr:col>
      <xdr:colOff>942975</xdr:colOff>
      <xdr:row>50</xdr:row>
      <xdr:rowOff>180975</xdr:rowOff>
    </xdr:to>
    <xdr:sp macro="" textlink="" fLocksText="0">
      <xdr:nvSpPr>
        <xdr:cNvPr id="73751" name="Rectangle 14">
          <a:extLst>
            <a:ext uri="{FF2B5EF4-FFF2-40B4-BE49-F238E27FC236}">
              <a16:creationId xmlns:a16="http://schemas.microsoft.com/office/drawing/2014/main" xmlns="" id="{00000000-0008-0000-0A00-000017200100}"/>
            </a:ext>
          </a:extLst>
        </xdr:cNvPr>
        <xdr:cNvSpPr>
          <a:spLocks noChangeArrowheads="1"/>
        </xdr:cNvSpPr>
      </xdr:nvSpPr>
      <xdr:spPr bwMode="auto">
        <a:xfrm>
          <a:off x="9525" y="8982075"/>
          <a:ext cx="10458450" cy="752475"/>
        </a:xfrm>
        <a:prstGeom prst="rect">
          <a:avLst/>
        </a:prstGeom>
        <a:solidFill>
          <a:srgbClr val="FFFFC0"/>
        </a:solidFill>
        <a:ln w="9525" algn="ctr">
          <a:solidFill>
            <a:srgbClr val="000000"/>
          </a:solidFill>
          <a:miter lim="800000"/>
          <a:headEnd/>
          <a:tailEnd/>
        </a:ln>
      </xdr:spPr>
      <xdr:txBody>
        <a:bodyPr/>
        <a:lstStyle/>
        <a:p>
          <a:r>
            <a:rPr lang="en-GB"/>
            <a:t>Capital funding represents 62,5%</a:t>
          </a:r>
          <a:r>
            <a:rPr lang="en-GB" baseline="0"/>
            <a:t> of the total funding needs                                                                                                                                                                                                                                                        </a:t>
          </a:r>
          <a:r>
            <a:rPr lang="en-GB"/>
            <a:t> Competitive and favorable credit terms</a:t>
          </a:r>
          <a:r>
            <a:rPr lang="en-GB" baseline="0"/>
            <a:t> </a:t>
          </a:r>
          <a:endParaRPr lang="en-GB"/>
        </a:p>
      </xdr:txBody>
    </xdr:sp>
    <xdr:clientData/>
  </xdr:twoCellAnchor>
  <xdr:twoCellAnchor>
    <xdr:from>
      <xdr:col>0</xdr:col>
      <xdr:colOff>9525</xdr:colOff>
      <xdr:row>53</xdr:row>
      <xdr:rowOff>0</xdr:rowOff>
    </xdr:from>
    <xdr:to>
      <xdr:col>10</xdr:col>
      <xdr:colOff>942975</xdr:colOff>
      <xdr:row>57</xdr:row>
      <xdr:rowOff>0</xdr:rowOff>
    </xdr:to>
    <xdr:sp macro="" textlink="" fLocksText="0">
      <xdr:nvSpPr>
        <xdr:cNvPr id="73752" name="Rectangle 15">
          <a:extLst>
            <a:ext uri="{FF2B5EF4-FFF2-40B4-BE49-F238E27FC236}">
              <a16:creationId xmlns:a16="http://schemas.microsoft.com/office/drawing/2014/main" xmlns="" id="{00000000-0008-0000-0A00-000018200100}"/>
            </a:ext>
          </a:extLst>
        </xdr:cNvPr>
        <xdr:cNvSpPr>
          <a:spLocks noChangeArrowheads="1"/>
        </xdr:cNvSpPr>
      </xdr:nvSpPr>
      <xdr:spPr bwMode="auto">
        <a:xfrm>
          <a:off x="9525" y="10125075"/>
          <a:ext cx="10458450" cy="762000"/>
        </a:xfrm>
        <a:prstGeom prst="rect">
          <a:avLst/>
        </a:prstGeom>
        <a:solidFill>
          <a:srgbClr val="FFFFC0"/>
        </a:solidFill>
        <a:ln w="9525" algn="ctr">
          <a:solidFill>
            <a:srgbClr val="000000"/>
          </a:solidFill>
          <a:miter lim="800000"/>
          <a:headEnd/>
          <a:tailEnd/>
        </a:ln>
      </xdr:spPr>
      <xdr:txBody>
        <a:bodyPr/>
        <a:lstStyle/>
        <a:p>
          <a:endParaRPr lang="en-GB"/>
        </a:p>
      </xdr:txBody>
    </xdr:sp>
    <xdr:clientData/>
  </xdr:twoCellAnchor>
  <xdr:twoCellAnchor>
    <xdr:from>
      <xdr:col>0</xdr:col>
      <xdr:colOff>19050</xdr:colOff>
      <xdr:row>59</xdr:row>
      <xdr:rowOff>0</xdr:rowOff>
    </xdr:from>
    <xdr:to>
      <xdr:col>10</xdr:col>
      <xdr:colOff>942975</xdr:colOff>
      <xdr:row>60</xdr:row>
      <xdr:rowOff>180975</xdr:rowOff>
    </xdr:to>
    <xdr:sp macro="" textlink="" fLocksText="0">
      <xdr:nvSpPr>
        <xdr:cNvPr id="73753" name="Rectangle 16">
          <a:extLst>
            <a:ext uri="{FF2B5EF4-FFF2-40B4-BE49-F238E27FC236}">
              <a16:creationId xmlns:a16="http://schemas.microsoft.com/office/drawing/2014/main" xmlns="" id="{00000000-0008-0000-0A00-000019200100}"/>
            </a:ext>
          </a:extLst>
        </xdr:cNvPr>
        <xdr:cNvSpPr>
          <a:spLocks noChangeArrowheads="1"/>
        </xdr:cNvSpPr>
      </xdr:nvSpPr>
      <xdr:spPr bwMode="auto">
        <a:xfrm>
          <a:off x="19050" y="11268075"/>
          <a:ext cx="10448925" cy="371475"/>
        </a:xfrm>
        <a:prstGeom prst="rect">
          <a:avLst/>
        </a:prstGeom>
        <a:solidFill>
          <a:srgbClr val="FFFFC0"/>
        </a:solidFill>
        <a:ln w="9525" algn="ctr">
          <a:solidFill>
            <a:srgbClr val="000000"/>
          </a:solidFill>
          <a:miter lim="800000"/>
          <a:headEnd/>
          <a:tailEnd/>
        </a:ln>
      </xdr:spPr>
      <xdr:txBody>
        <a:bodyPr/>
        <a:lstStyle/>
        <a:p>
          <a:r>
            <a:rPr lang="en-GB"/>
            <a:t>Increase</a:t>
          </a:r>
          <a:r>
            <a:rPr lang="en-GB" baseline="0"/>
            <a:t> equity to reduce the cost of short term financing. </a:t>
          </a:r>
          <a:endParaRPr lang="en-GB"/>
        </a:p>
      </xdr:txBody>
    </xdr:sp>
    <xdr:clientData/>
  </xdr:twoCellAnchor>
  <xdr:twoCellAnchor>
    <xdr:from>
      <xdr:col>5</xdr:col>
      <xdr:colOff>704850</xdr:colOff>
      <xdr:row>2</xdr:row>
      <xdr:rowOff>95250</xdr:rowOff>
    </xdr:from>
    <xdr:to>
      <xdr:col>10</xdr:col>
      <xdr:colOff>942975</xdr:colOff>
      <xdr:row>31</xdr:row>
      <xdr:rowOff>85725</xdr:rowOff>
    </xdr:to>
    <xdr:sp macro="" textlink="">
      <xdr:nvSpPr>
        <xdr:cNvPr id="73745" name="MyHelpTekst" hidden="1">
          <a:extLst>
            <a:ext uri="{FF2B5EF4-FFF2-40B4-BE49-F238E27FC236}">
              <a16:creationId xmlns:a16="http://schemas.microsoft.com/office/drawing/2014/main" xmlns="" id="{00000000-0008-0000-0A00-000011200100}"/>
            </a:ext>
          </a:extLst>
        </xdr:cNvPr>
        <xdr:cNvSpPr>
          <a:spLocks noChangeArrowheads="1"/>
        </xdr:cNvSpPr>
      </xdr:nvSpPr>
      <xdr:spPr bwMode="auto">
        <a:xfrm>
          <a:off x="5467350" y="619125"/>
          <a:ext cx="5000625" cy="540067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3.2 Funding</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Sources of funding</a:t>
          </a:r>
        </a:p>
        <a:p>
          <a:pPr algn="l" rtl="0">
            <a:defRPr sz="1000"/>
          </a:pPr>
          <a:r>
            <a:rPr lang="nl-NL" sz="800" b="1" i="0" u="none" strike="noStrike" baseline="0">
              <a:solidFill>
                <a:srgbClr val="000000"/>
              </a:solidFill>
              <a:latin typeface="Trebuchet MS"/>
            </a:rPr>
            <a:t>Fill in the amounts concerning the category stated as was reported in the latest annual account. The percentages are calculated automatically and should add up to 100%. </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2.1 Loan Guarantee details</a:t>
          </a:r>
        </a:p>
        <a:p>
          <a:pPr algn="l" rtl="0">
            <a:defRPr sz="1000"/>
          </a:pPr>
          <a:r>
            <a:rPr lang="nl-NL" sz="800" b="1" i="0" u="none" strike="noStrike" baseline="0">
              <a:solidFill>
                <a:srgbClr val="000000"/>
              </a:solidFill>
              <a:latin typeface="Trebuchet MS"/>
            </a:rPr>
            <a:t>Indicate the provider and the conditions of the loan(s): amount, term and rate.</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2.2 Remarks to funding of the company</a:t>
          </a:r>
        </a:p>
        <a:p>
          <a:pPr algn="l" rtl="0">
            <a:defRPr sz="1000"/>
          </a:pPr>
          <a:r>
            <a:rPr lang="nl-NL" sz="800" b="1" i="0" u="none" strike="noStrike" baseline="0">
              <a:solidFill>
                <a:srgbClr val="000000"/>
              </a:solidFill>
              <a:latin typeface="Trebuchet MS"/>
            </a:rPr>
            <a:t>Indicate the conditions of the loans, the guarantees given, the approach towards equity and dividends etc.</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Approach towards receivables and payables</a:t>
          </a:r>
        </a:p>
        <a:p>
          <a:pPr algn="l" rtl="0">
            <a:defRPr sz="1000"/>
          </a:pPr>
          <a:r>
            <a:rPr lang="nl-NL" sz="800" b="1" i="0" u="none" strike="noStrike" baseline="0">
              <a:solidFill>
                <a:srgbClr val="000000"/>
              </a:solidFill>
              <a:latin typeface="Trebuchet MS"/>
            </a:rPr>
            <a:t>Fill in the actual performance and the normative performance as laid down in the company its policy.</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Policy and actual performance concerning credit management</a:t>
          </a:r>
        </a:p>
        <a:p>
          <a:pPr algn="l" rtl="0">
            <a:defRPr sz="1000"/>
          </a:pPr>
          <a:r>
            <a:rPr lang="nl-NL" sz="800" b="1" i="0" u="none" strike="noStrike" baseline="0">
              <a:solidFill>
                <a:srgbClr val="000000"/>
              </a:solidFill>
              <a:latin typeface="Trebuchet MS"/>
            </a:rPr>
            <a:t>Describe the present and normative performance and comment this.</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Strengths of the funding</a:t>
          </a:r>
        </a:p>
        <a:p>
          <a:pPr algn="l" rtl="0">
            <a:defRPr sz="1000"/>
          </a:pPr>
          <a:r>
            <a:rPr lang="nl-NL" sz="800" b="1" i="0" u="none" strike="noStrike" baseline="0">
              <a:solidFill>
                <a:srgbClr val="000000"/>
              </a:solidFill>
              <a:latin typeface="Trebuchet MS"/>
            </a:rPr>
            <a:t>Indicate the main strengths of how the dealer is funded. </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6. Weaknesses of the funding</a:t>
          </a:r>
        </a:p>
        <a:p>
          <a:pPr algn="l" rtl="0">
            <a:defRPr sz="1000"/>
          </a:pPr>
          <a:r>
            <a:rPr lang="nl-NL" sz="800" b="1" i="0" u="none" strike="noStrike" baseline="0">
              <a:solidFill>
                <a:srgbClr val="000000"/>
              </a:solidFill>
              <a:latin typeface="Trebuchet MS"/>
            </a:rPr>
            <a:t>Indicate the main weaknesses of the dealer funding.</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7. Key issue</a:t>
          </a:r>
        </a:p>
        <a:p>
          <a:pPr algn="l" rtl="0">
            <a:defRPr sz="1000"/>
          </a:pPr>
          <a:r>
            <a:rPr lang="nl-NL" sz="800" b="1" i="0" u="none" strike="noStrike" baseline="0">
              <a:solidFill>
                <a:srgbClr val="000000"/>
              </a:solidFill>
              <a:latin typeface="Trebuchet MS"/>
            </a:rPr>
            <a:t>Indicate the main issues for the coming planning period.</a:t>
          </a:r>
        </a:p>
        <a:p>
          <a:pPr algn="l" rtl="0">
            <a:defRPr sz="1000"/>
          </a:pPr>
          <a:endParaRPr lang="nl-NL" sz="800" b="1" i="0" u="none" strike="noStrike" baseline="0">
            <a:solidFill>
              <a:srgbClr val="000000"/>
            </a:solidFill>
            <a:latin typeface="Trebuchet MS"/>
          </a:endParaRPr>
        </a:p>
      </xdr:txBody>
    </xdr:sp>
    <xdr:clientData/>
  </xdr:twoCellAnchor>
  <xdr:twoCellAnchor editAs="oneCell">
    <xdr:from>
      <xdr:col>6</xdr:col>
      <xdr:colOff>508000</xdr:colOff>
      <xdr:row>0</xdr:row>
      <xdr:rowOff>177800</xdr:rowOff>
    </xdr:from>
    <xdr:to>
      <xdr:col>7</xdr:col>
      <xdr:colOff>127000</xdr:colOff>
      <xdr:row>2</xdr:row>
      <xdr:rowOff>63500</xdr:rowOff>
    </xdr:to>
    <xdr:pic>
      <xdr:nvPicPr>
        <xdr:cNvPr id="73735" name="CommandButton1">
          <a:extLst>
            <a:ext uri="{FF2B5EF4-FFF2-40B4-BE49-F238E27FC236}">
              <a16:creationId xmlns:a16="http://schemas.microsoft.com/office/drawing/2014/main" xmlns="" id="{00000000-0008-0000-0A00-00000720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1200" y="177800"/>
          <a:ext cx="711200" cy="406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60</xdr:row>
      <xdr:rowOff>0</xdr:rowOff>
    </xdr:from>
    <xdr:to>
      <xdr:col>11</xdr:col>
      <xdr:colOff>0</xdr:colOff>
      <xdr:row>61</xdr:row>
      <xdr:rowOff>180975</xdr:rowOff>
    </xdr:to>
    <xdr:sp macro="" textlink="" fLocksText="0">
      <xdr:nvSpPr>
        <xdr:cNvPr id="74767" name="Rectangle 9">
          <a:extLst>
            <a:ext uri="{FF2B5EF4-FFF2-40B4-BE49-F238E27FC236}">
              <a16:creationId xmlns:a16="http://schemas.microsoft.com/office/drawing/2014/main" xmlns="" id="{00000000-0008-0000-0B00-00000F240100}"/>
            </a:ext>
          </a:extLst>
        </xdr:cNvPr>
        <xdr:cNvSpPr>
          <a:spLocks noChangeArrowheads="1"/>
        </xdr:cNvSpPr>
      </xdr:nvSpPr>
      <xdr:spPr bwMode="auto">
        <a:xfrm>
          <a:off x="28575" y="11477625"/>
          <a:ext cx="10972800" cy="371475"/>
        </a:xfrm>
        <a:prstGeom prst="rect">
          <a:avLst/>
        </a:prstGeom>
        <a:solidFill>
          <a:srgbClr val="FFFFC0"/>
        </a:solidFill>
        <a:ln w="9525" algn="ctr">
          <a:solidFill>
            <a:srgbClr val="000000"/>
          </a:solidFill>
          <a:miter lim="800000"/>
          <a:headEnd/>
          <a:tailEnd/>
        </a:ln>
      </xdr:spPr>
      <xdr:txBody>
        <a:bodyPr/>
        <a:lstStyle/>
        <a:p>
          <a:r>
            <a:rPr lang="en-GB"/>
            <a:t>Determining the right</a:t>
          </a:r>
          <a:r>
            <a:rPr lang="en-GB" baseline="0"/>
            <a:t> policies and structure to combine foreign HR methodologies with local cultures. </a:t>
          </a:r>
          <a:endParaRPr lang="en-GB"/>
        </a:p>
      </xdr:txBody>
    </xdr:sp>
    <xdr:clientData/>
  </xdr:twoCellAnchor>
  <xdr:twoCellAnchor>
    <xdr:from>
      <xdr:col>0</xdr:col>
      <xdr:colOff>9525</xdr:colOff>
      <xdr:row>54</xdr:row>
      <xdr:rowOff>9525</xdr:rowOff>
    </xdr:from>
    <xdr:to>
      <xdr:col>11</xdr:col>
      <xdr:colOff>0</xdr:colOff>
      <xdr:row>58</xdr:row>
      <xdr:rowOff>0</xdr:rowOff>
    </xdr:to>
    <xdr:sp macro="" textlink="" fLocksText="0">
      <xdr:nvSpPr>
        <xdr:cNvPr id="74768" name="Rectangle 10">
          <a:extLst>
            <a:ext uri="{FF2B5EF4-FFF2-40B4-BE49-F238E27FC236}">
              <a16:creationId xmlns:a16="http://schemas.microsoft.com/office/drawing/2014/main" xmlns="" id="{00000000-0008-0000-0B00-000010240100}"/>
            </a:ext>
          </a:extLst>
        </xdr:cNvPr>
        <xdr:cNvSpPr>
          <a:spLocks noChangeArrowheads="1"/>
        </xdr:cNvSpPr>
      </xdr:nvSpPr>
      <xdr:spPr bwMode="auto">
        <a:xfrm>
          <a:off x="9525" y="10344150"/>
          <a:ext cx="10991850" cy="752475"/>
        </a:xfrm>
        <a:prstGeom prst="rect">
          <a:avLst/>
        </a:prstGeom>
        <a:solidFill>
          <a:srgbClr val="FFFFC0"/>
        </a:solidFill>
        <a:ln w="9525" algn="ctr">
          <a:solidFill>
            <a:srgbClr val="000000"/>
          </a:solidFill>
          <a:miter lim="800000"/>
          <a:headEnd/>
          <a:tailEnd/>
        </a:ln>
      </xdr:spPr>
      <xdr:txBody>
        <a:bodyPr/>
        <a:lstStyle/>
        <a:p>
          <a:r>
            <a:rPr lang="en-GB"/>
            <a:t>1.) Often</a:t>
          </a:r>
          <a:r>
            <a:rPr lang="en-GB" baseline="0"/>
            <a:t> strikes 2.) Steep learning curve 3.) New company culture </a:t>
          </a:r>
          <a:endParaRPr lang="en-GB"/>
        </a:p>
      </xdr:txBody>
    </xdr:sp>
    <xdr:clientData/>
  </xdr:twoCellAnchor>
  <xdr:twoCellAnchor>
    <xdr:from>
      <xdr:col>0</xdr:col>
      <xdr:colOff>9525</xdr:colOff>
      <xdr:row>48</xdr:row>
      <xdr:rowOff>9525</xdr:rowOff>
    </xdr:from>
    <xdr:to>
      <xdr:col>11</xdr:col>
      <xdr:colOff>0</xdr:colOff>
      <xdr:row>51</xdr:row>
      <xdr:rowOff>180975</xdr:rowOff>
    </xdr:to>
    <xdr:sp macro="" textlink="" fLocksText="0">
      <xdr:nvSpPr>
        <xdr:cNvPr id="74769" name="Rectangle 11">
          <a:extLst>
            <a:ext uri="{FF2B5EF4-FFF2-40B4-BE49-F238E27FC236}">
              <a16:creationId xmlns:a16="http://schemas.microsoft.com/office/drawing/2014/main" xmlns="" id="{00000000-0008-0000-0B00-000011240100}"/>
            </a:ext>
          </a:extLst>
        </xdr:cNvPr>
        <xdr:cNvSpPr>
          <a:spLocks noChangeArrowheads="1"/>
        </xdr:cNvSpPr>
      </xdr:nvSpPr>
      <xdr:spPr bwMode="auto">
        <a:xfrm>
          <a:off x="9525" y="9201150"/>
          <a:ext cx="10991850" cy="742950"/>
        </a:xfrm>
        <a:prstGeom prst="rect">
          <a:avLst/>
        </a:prstGeom>
        <a:solidFill>
          <a:srgbClr val="FFFFC0"/>
        </a:solidFill>
        <a:ln w="9525" algn="ctr">
          <a:solidFill>
            <a:srgbClr val="000000"/>
          </a:solidFill>
          <a:miter lim="800000"/>
          <a:headEnd/>
          <a:tailEnd/>
        </a:ln>
      </xdr:spPr>
      <xdr:txBody>
        <a:bodyPr/>
        <a:lstStyle/>
        <a:p>
          <a:r>
            <a:rPr lang="en-GB"/>
            <a:t>1.)</a:t>
          </a:r>
          <a:r>
            <a:rPr lang="en-GB" baseline="0"/>
            <a:t> Competent leadership that drives the company culture 2.) The possibility to work for a foreign company with strong values that are not always found in local companies 3.) High attention to employee satisfaction which will be mirrored in customer satisfaction 4.) Extensive training programmess and career guidance 5.) Knowledge exchanges across functions 6.) Mentoring for students and traineeships 7.) Competitive salary (above market average) to enhance employee retention</a:t>
          </a:r>
          <a:endParaRPr lang="en-GB"/>
        </a:p>
      </xdr:txBody>
    </xdr:sp>
    <xdr:clientData/>
  </xdr:twoCellAnchor>
  <xdr:twoCellAnchor>
    <xdr:from>
      <xdr:col>0</xdr:col>
      <xdr:colOff>9525</xdr:colOff>
      <xdr:row>8</xdr:row>
      <xdr:rowOff>9525</xdr:rowOff>
    </xdr:from>
    <xdr:to>
      <xdr:col>11</xdr:col>
      <xdr:colOff>0</xdr:colOff>
      <xdr:row>30</xdr:row>
      <xdr:rowOff>0</xdr:rowOff>
    </xdr:to>
    <xdr:sp macro="" textlink="" fLocksText="0">
      <xdr:nvSpPr>
        <xdr:cNvPr id="74770" name="Rectangle 12">
          <a:extLst>
            <a:ext uri="{FF2B5EF4-FFF2-40B4-BE49-F238E27FC236}">
              <a16:creationId xmlns:a16="http://schemas.microsoft.com/office/drawing/2014/main" xmlns="" id="{00000000-0008-0000-0B00-000012240100}"/>
            </a:ext>
          </a:extLst>
        </xdr:cNvPr>
        <xdr:cNvSpPr>
          <a:spLocks noChangeArrowheads="1"/>
        </xdr:cNvSpPr>
      </xdr:nvSpPr>
      <xdr:spPr bwMode="auto">
        <a:xfrm>
          <a:off x="9525" y="1647825"/>
          <a:ext cx="10991850" cy="4038600"/>
        </a:xfrm>
        <a:prstGeom prst="rect">
          <a:avLst/>
        </a:prstGeom>
        <a:solidFill>
          <a:srgbClr val="FFFFC0"/>
        </a:solidFill>
        <a:ln w="9525" algn="ctr">
          <a:solidFill>
            <a:srgbClr val="000000"/>
          </a:solidFill>
          <a:miter lim="800000"/>
          <a:headEnd/>
          <a:tailEnd/>
        </a:ln>
      </xdr:spPr>
      <xdr:txBody>
        <a:bodyPr/>
        <a:lstStyle/>
        <a:p>
          <a:r>
            <a:rPr lang="en-GB"/>
            <a:t>APPENDIX XX</a:t>
          </a:r>
        </a:p>
      </xdr:txBody>
    </xdr:sp>
    <xdr:clientData/>
  </xdr:twoCellAnchor>
  <xdr:twoCellAnchor>
    <xdr:from>
      <xdr:col>5</xdr:col>
      <xdr:colOff>304800</xdr:colOff>
      <xdr:row>9</xdr:row>
      <xdr:rowOff>123825</xdr:rowOff>
    </xdr:from>
    <xdr:to>
      <xdr:col>10</xdr:col>
      <xdr:colOff>742950</xdr:colOff>
      <xdr:row>30</xdr:row>
      <xdr:rowOff>95250</xdr:rowOff>
    </xdr:to>
    <xdr:sp macro="" textlink="">
      <xdr:nvSpPr>
        <xdr:cNvPr id="74765" name="MyHelpTekst" hidden="1">
          <a:extLst>
            <a:ext uri="{FF2B5EF4-FFF2-40B4-BE49-F238E27FC236}">
              <a16:creationId xmlns:a16="http://schemas.microsoft.com/office/drawing/2014/main" xmlns="" id="{00000000-0008-0000-0B00-00000D240100}"/>
            </a:ext>
          </a:extLst>
        </xdr:cNvPr>
        <xdr:cNvSpPr>
          <a:spLocks noChangeArrowheads="1"/>
        </xdr:cNvSpPr>
      </xdr:nvSpPr>
      <xdr:spPr bwMode="auto">
        <a:xfrm>
          <a:off x="5305425" y="1952625"/>
          <a:ext cx="5438775" cy="382905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4.0 Organization &amp; Human Resources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Organization chart</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Show a chart of the organization in which the reporting lines are visible and all functions of the dealership are included with the number of people who fulfil that function. Also names may be added.</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Human resources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policy and strategy regarding human resources. What is the turnover of personnel, is there an employee specific training program in place,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Strengths of the organization and human resources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strengths.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Weaknesses of the organization and human resources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weaknesses.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Key success factor</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issues for the coming planning period.</a:t>
          </a:r>
          <a:endParaRPr lang="nl-NL" sz="1000" b="1" i="0" u="sng" strike="noStrike" baseline="0">
            <a:solidFill>
              <a:srgbClr val="000000"/>
            </a:solidFill>
            <a:latin typeface="Trebuchet MS"/>
          </a:endParaRPr>
        </a:p>
        <a:p>
          <a:pPr algn="l" rtl="0">
            <a:defRPr sz="1000"/>
          </a:pPr>
          <a:endParaRPr lang="nl-NL" sz="1000" b="1" i="0" u="sng" strike="noStrike" baseline="0">
            <a:solidFill>
              <a:srgbClr val="000000"/>
            </a:solidFill>
            <a:latin typeface="Trebuchet MS"/>
          </a:endParaRPr>
        </a:p>
      </xdr:txBody>
    </xdr:sp>
    <xdr:clientData/>
  </xdr:twoCellAnchor>
  <xdr:twoCellAnchor editAs="oneCell">
    <xdr:from>
      <xdr:col>5</xdr:col>
      <xdr:colOff>508000</xdr:colOff>
      <xdr:row>0</xdr:row>
      <xdr:rowOff>25400</xdr:rowOff>
    </xdr:from>
    <xdr:to>
      <xdr:col>6</xdr:col>
      <xdr:colOff>203200</xdr:colOff>
      <xdr:row>2</xdr:row>
      <xdr:rowOff>139700</xdr:rowOff>
    </xdr:to>
    <xdr:pic>
      <xdr:nvPicPr>
        <xdr:cNvPr id="74754" name="CommandButton1">
          <a:extLst>
            <a:ext uri="{FF2B5EF4-FFF2-40B4-BE49-F238E27FC236}">
              <a16:creationId xmlns:a16="http://schemas.microsoft.com/office/drawing/2014/main" xmlns="" id="{00000000-0008-0000-0B00-00000224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23000" y="25400"/>
          <a:ext cx="838200" cy="6350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fLocksWithSheet="0"/>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24</xdr:row>
      <xdr:rowOff>0</xdr:rowOff>
    </xdr:from>
    <xdr:to>
      <xdr:col>10</xdr:col>
      <xdr:colOff>828675</xdr:colOff>
      <xdr:row>28</xdr:row>
      <xdr:rowOff>28575</xdr:rowOff>
    </xdr:to>
    <xdr:sp macro="" textlink="">
      <xdr:nvSpPr>
        <xdr:cNvPr id="22697" name="Rectangle 49">
          <a:extLst>
            <a:ext uri="{FF2B5EF4-FFF2-40B4-BE49-F238E27FC236}">
              <a16:creationId xmlns:a16="http://schemas.microsoft.com/office/drawing/2014/main" xmlns="" id="{00000000-0008-0000-0C00-0000A9580000}"/>
            </a:ext>
          </a:extLst>
        </xdr:cNvPr>
        <xdr:cNvSpPr>
          <a:spLocks noChangeArrowheads="1"/>
        </xdr:cNvSpPr>
      </xdr:nvSpPr>
      <xdr:spPr bwMode="auto">
        <a:xfrm>
          <a:off x="0" y="4800600"/>
          <a:ext cx="9982200" cy="942975"/>
        </a:xfrm>
        <a:prstGeom prst="rect">
          <a:avLst/>
        </a:prstGeom>
        <a:solidFill>
          <a:srgbClr val="FFFFC0"/>
        </a:solidFill>
        <a:ln w="9525" algn="ctr">
          <a:solidFill>
            <a:srgbClr val="000000"/>
          </a:solidFill>
          <a:miter lim="800000"/>
          <a:headEnd/>
          <a:tailEnd/>
        </a:ln>
      </xdr:spPr>
    </xdr:sp>
    <xdr:clientData/>
  </xdr:twoCellAnchor>
  <xdr:twoCellAnchor>
    <xdr:from>
      <xdr:col>0</xdr:col>
      <xdr:colOff>9525</xdr:colOff>
      <xdr:row>18</xdr:row>
      <xdr:rowOff>9525</xdr:rowOff>
    </xdr:from>
    <xdr:to>
      <xdr:col>10</xdr:col>
      <xdr:colOff>828675</xdr:colOff>
      <xdr:row>21</xdr:row>
      <xdr:rowOff>219075</xdr:rowOff>
    </xdr:to>
    <xdr:sp macro="" textlink="" fLocksText="0">
      <xdr:nvSpPr>
        <xdr:cNvPr id="22584" name="Rectangle 50">
          <a:extLst>
            <a:ext uri="{FF2B5EF4-FFF2-40B4-BE49-F238E27FC236}">
              <a16:creationId xmlns:a16="http://schemas.microsoft.com/office/drawing/2014/main" xmlns="" id="{00000000-0008-0000-0C00-000038580000}"/>
            </a:ext>
          </a:extLst>
        </xdr:cNvPr>
        <xdr:cNvSpPr>
          <a:spLocks noChangeArrowheads="1"/>
        </xdr:cNvSpPr>
      </xdr:nvSpPr>
      <xdr:spPr bwMode="auto">
        <a:xfrm>
          <a:off x="9525" y="3514725"/>
          <a:ext cx="9972675" cy="895350"/>
        </a:xfrm>
        <a:prstGeom prst="rect">
          <a:avLst/>
        </a:prstGeom>
        <a:solidFill>
          <a:srgbClr val="FFFFC0"/>
        </a:solidFill>
        <a:ln w="9525" algn="ctr">
          <a:solidFill>
            <a:srgbClr val="000000"/>
          </a:solidFill>
          <a:miter lim="800000"/>
          <a:headEnd/>
          <a:tailEnd/>
        </a:ln>
      </xdr:spPr>
      <xdr:txBody>
        <a:bodyPr/>
        <a:lstStyle/>
        <a:p>
          <a:r>
            <a:rPr lang="en-GB"/>
            <a:t>1979 - MSc in Economics,</a:t>
          </a:r>
          <a:r>
            <a:rPr lang="en-GB" baseline="0"/>
            <a:t> Paris Sorbonne, Paris, France</a:t>
          </a:r>
          <a:endParaRPr lang="en-GB"/>
        </a:p>
      </xdr:txBody>
    </xdr:sp>
    <xdr:clientData/>
  </xdr:twoCellAnchor>
  <xdr:twoCellAnchor>
    <xdr:from>
      <xdr:col>0</xdr:col>
      <xdr:colOff>9525</xdr:colOff>
      <xdr:row>30</xdr:row>
      <xdr:rowOff>0</xdr:rowOff>
    </xdr:from>
    <xdr:to>
      <xdr:col>10</xdr:col>
      <xdr:colOff>828675</xdr:colOff>
      <xdr:row>32</xdr:row>
      <xdr:rowOff>219075</xdr:rowOff>
    </xdr:to>
    <xdr:sp macro="" textlink="" fLocksText="0">
      <xdr:nvSpPr>
        <xdr:cNvPr id="22585" name="Rectangle 51">
          <a:extLst>
            <a:ext uri="{FF2B5EF4-FFF2-40B4-BE49-F238E27FC236}">
              <a16:creationId xmlns:a16="http://schemas.microsoft.com/office/drawing/2014/main" xmlns="" id="{00000000-0008-0000-0C00-000039580000}"/>
            </a:ext>
          </a:extLst>
        </xdr:cNvPr>
        <xdr:cNvSpPr>
          <a:spLocks noChangeArrowheads="1"/>
        </xdr:cNvSpPr>
      </xdr:nvSpPr>
      <xdr:spPr bwMode="auto">
        <a:xfrm>
          <a:off x="9525" y="6096000"/>
          <a:ext cx="9972675" cy="676275"/>
        </a:xfrm>
        <a:prstGeom prst="rect">
          <a:avLst/>
        </a:prstGeom>
        <a:solidFill>
          <a:srgbClr val="FFFFC0"/>
        </a:solidFill>
        <a:ln w="9525" algn="ctr">
          <a:solidFill>
            <a:srgbClr val="000000"/>
          </a:solidFill>
          <a:miter lim="800000"/>
          <a:headEnd/>
          <a:tailEnd/>
        </a:ln>
      </xdr:spPr>
      <xdr:txBody>
        <a:bodyPr/>
        <a:lstStyle/>
        <a:p>
          <a:r>
            <a:rPr lang="en-GB"/>
            <a:t>Strong relationships</a:t>
          </a:r>
          <a:r>
            <a:rPr lang="en-GB" baseline="0"/>
            <a:t> with multinational transport companies</a:t>
          </a:r>
          <a:endParaRPr lang="en-GB"/>
        </a:p>
      </xdr:txBody>
    </xdr:sp>
    <xdr:clientData/>
  </xdr:twoCellAnchor>
  <xdr:twoCellAnchor>
    <xdr:from>
      <xdr:col>0</xdr:col>
      <xdr:colOff>9525</xdr:colOff>
      <xdr:row>35</xdr:row>
      <xdr:rowOff>9525</xdr:rowOff>
    </xdr:from>
    <xdr:to>
      <xdr:col>10</xdr:col>
      <xdr:colOff>828675</xdr:colOff>
      <xdr:row>37</xdr:row>
      <xdr:rowOff>171450</xdr:rowOff>
    </xdr:to>
    <xdr:sp macro="" textlink="" fLocksText="0">
      <xdr:nvSpPr>
        <xdr:cNvPr id="22586" name="Rectangle 52">
          <a:extLst>
            <a:ext uri="{FF2B5EF4-FFF2-40B4-BE49-F238E27FC236}">
              <a16:creationId xmlns:a16="http://schemas.microsoft.com/office/drawing/2014/main" xmlns="" id="{00000000-0008-0000-0C00-00003A580000}"/>
            </a:ext>
          </a:extLst>
        </xdr:cNvPr>
        <xdr:cNvSpPr>
          <a:spLocks noChangeArrowheads="1"/>
        </xdr:cNvSpPr>
      </xdr:nvSpPr>
      <xdr:spPr bwMode="auto">
        <a:xfrm>
          <a:off x="9525" y="7172325"/>
          <a:ext cx="9972675" cy="542925"/>
        </a:xfrm>
        <a:prstGeom prst="rect">
          <a:avLst/>
        </a:prstGeom>
        <a:solidFill>
          <a:srgbClr val="FFFFC0"/>
        </a:solidFill>
        <a:ln w="9525" algn="ctr">
          <a:solidFill>
            <a:srgbClr val="000000"/>
          </a:solidFill>
          <a:miter lim="800000"/>
          <a:headEnd/>
          <a:tailEnd/>
        </a:ln>
      </xdr:spPr>
      <xdr:txBody>
        <a:bodyPr/>
        <a:lstStyle/>
        <a:p>
          <a:r>
            <a:rPr lang="en-GB"/>
            <a:t>Mr</a:t>
          </a:r>
          <a:r>
            <a:rPr lang="en-GB" baseline="0"/>
            <a:t> Selim Kilani ABBAS will be the successor of Mr Mohamed Jamil ABBAS</a:t>
          </a:r>
          <a:endParaRPr lang="en-GB"/>
        </a:p>
      </xdr:txBody>
    </xdr:sp>
    <xdr:clientData/>
  </xdr:twoCellAnchor>
  <xdr:twoCellAnchor>
    <xdr:from>
      <xdr:col>3</xdr:col>
      <xdr:colOff>314325</xdr:colOff>
      <xdr:row>13</xdr:row>
      <xdr:rowOff>0</xdr:rowOff>
    </xdr:from>
    <xdr:to>
      <xdr:col>10</xdr:col>
      <xdr:colOff>600075</xdr:colOff>
      <xdr:row>19</xdr:row>
      <xdr:rowOff>104775</xdr:rowOff>
    </xdr:to>
    <xdr:sp macro="" textlink="">
      <xdr:nvSpPr>
        <xdr:cNvPr id="22581" name="MyHelpTekst" hidden="1">
          <a:extLst>
            <a:ext uri="{FF2B5EF4-FFF2-40B4-BE49-F238E27FC236}">
              <a16:creationId xmlns:a16="http://schemas.microsoft.com/office/drawing/2014/main" xmlns="" id="{00000000-0008-0000-0C00-000035580000}"/>
            </a:ext>
          </a:extLst>
        </xdr:cNvPr>
        <xdr:cNvSpPr>
          <a:spLocks noChangeArrowheads="1"/>
        </xdr:cNvSpPr>
      </xdr:nvSpPr>
      <xdr:spPr bwMode="auto">
        <a:xfrm>
          <a:off x="3086100" y="2552700"/>
          <a:ext cx="6667500" cy="128587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4.1.1 Management team</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this section general background information is asked from the dealer owner/director. Provide some information about your professional background: your education, working experience and/or your relationship with other companies.</a:t>
          </a:r>
        </a:p>
        <a:p>
          <a:pPr algn="l" rtl="0">
            <a:defRPr sz="1000"/>
          </a:pPr>
          <a:r>
            <a:rPr lang="nl-NL" sz="800" b="0" i="0" u="none" strike="noStrike" baseline="0">
              <a:solidFill>
                <a:srgbClr val="000000"/>
              </a:solidFill>
              <a:latin typeface="Trebuchet MS"/>
            </a:rPr>
            <a:t>Give also information about the succession plan.</a:t>
          </a: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xdr:txBody>
    </xdr:sp>
    <xdr:clientData/>
  </xdr:twoCellAnchor>
  <xdr:twoCellAnchor>
    <xdr:from>
      <xdr:col>0</xdr:col>
      <xdr:colOff>0</xdr:colOff>
      <xdr:row>24</xdr:row>
      <xdr:rowOff>19050</xdr:rowOff>
    </xdr:from>
    <xdr:to>
      <xdr:col>10</xdr:col>
      <xdr:colOff>828675</xdr:colOff>
      <xdr:row>28</xdr:row>
      <xdr:rowOff>47625</xdr:rowOff>
    </xdr:to>
    <xdr:sp macro="" textlink="" fLocksText="0">
      <xdr:nvSpPr>
        <xdr:cNvPr id="22588" name="Rectangle 54">
          <a:extLst>
            <a:ext uri="{FF2B5EF4-FFF2-40B4-BE49-F238E27FC236}">
              <a16:creationId xmlns:a16="http://schemas.microsoft.com/office/drawing/2014/main" xmlns="" id="{00000000-0008-0000-0C00-00003C580000}"/>
            </a:ext>
          </a:extLst>
        </xdr:cNvPr>
        <xdr:cNvSpPr>
          <a:spLocks noChangeArrowheads="1"/>
        </xdr:cNvSpPr>
      </xdr:nvSpPr>
      <xdr:spPr bwMode="auto">
        <a:xfrm>
          <a:off x="0" y="4819650"/>
          <a:ext cx="9982200" cy="942975"/>
        </a:xfrm>
        <a:prstGeom prst="rect">
          <a:avLst/>
        </a:prstGeom>
        <a:solidFill>
          <a:srgbClr val="FFFFC0"/>
        </a:solidFill>
        <a:ln w="9525" algn="ctr">
          <a:solidFill>
            <a:srgbClr val="000000"/>
          </a:solidFill>
          <a:miter lim="800000"/>
          <a:headEnd/>
          <a:tailEnd/>
        </a:ln>
      </xdr:spPr>
      <xdr:txBody>
        <a:bodyPr/>
        <a:lstStyle/>
        <a:p>
          <a:r>
            <a:rPr lang="en-GB"/>
            <a:t>40 years experience</a:t>
          </a:r>
          <a:r>
            <a:rPr lang="en-GB" baseline="0"/>
            <a:t> working in a family owned transport company. For the past 20 years, he holds the title of Deputy Managing Director. </a:t>
          </a:r>
          <a:endParaRPr lang="en-GB"/>
        </a:p>
      </xdr:txBody>
    </xdr:sp>
    <xdr:clientData/>
  </xdr:twoCellAnchor>
  <xdr:twoCellAnchor editAs="oneCell">
    <xdr:from>
      <xdr:col>5</xdr:col>
      <xdr:colOff>279400</xdr:colOff>
      <xdr:row>0</xdr:row>
      <xdr:rowOff>127000</xdr:rowOff>
    </xdr:from>
    <xdr:to>
      <xdr:col>5</xdr:col>
      <xdr:colOff>1892300</xdr:colOff>
      <xdr:row>2</xdr:row>
      <xdr:rowOff>0</xdr:rowOff>
    </xdr:to>
    <xdr:pic>
      <xdr:nvPicPr>
        <xdr:cNvPr id="22574" name="CommandButton1">
          <a:extLst>
            <a:ext uri="{FF2B5EF4-FFF2-40B4-BE49-F238E27FC236}">
              <a16:creationId xmlns:a16="http://schemas.microsoft.com/office/drawing/2014/main" xmlns="" id="{00000000-0008-0000-0C00-00002E5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49900" y="127000"/>
          <a:ext cx="774700" cy="406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17</xdr:row>
      <xdr:rowOff>0</xdr:rowOff>
    </xdr:from>
    <xdr:to>
      <xdr:col>10</xdr:col>
      <xdr:colOff>590550</xdr:colOff>
      <xdr:row>17</xdr:row>
      <xdr:rowOff>0</xdr:rowOff>
    </xdr:to>
    <xdr:sp macro="" textlink="">
      <xdr:nvSpPr>
        <xdr:cNvPr id="28684" name="Tekst 7">
          <a:extLst>
            <a:ext uri="{FF2B5EF4-FFF2-40B4-BE49-F238E27FC236}">
              <a16:creationId xmlns:a16="http://schemas.microsoft.com/office/drawing/2014/main" xmlns="" id="{00000000-0008-0000-0D00-00000C700000}"/>
            </a:ext>
          </a:extLst>
        </xdr:cNvPr>
        <xdr:cNvSpPr txBox="1">
          <a:spLocks noChangeArrowheads="1"/>
        </xdr:cNvSpPr>
      </xdr:nvSpPr>
      <xdr:spPr bwMode="auto">
        <a:xfrm>
          <a:off x="0" y="36576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17</xdr:row>
      <xdr:rowOff>0</xdr:rowOff>
    </xdr:from>
    <xdr:to>
      <xdr:col>10</xdr:col>
      <xdr:colOff>590550</xdr:colOff>
      <xdr:row>17</xdr:row>
      <xdr:rowOff>0</xdr:rowOff>
    </xdr:to>
    <xdr:sp macro="" textlink="">
      <xdr:nvSpPr>
        <xdr:cNvPr id="28685" name="Tekst 7">
          <a:extLst>
            <a:ext uri="{FF2B5EF4-FFF2-40B4-BE49-F238E27FC236}">
              <a16:creationId xmlns:a16="http://schemas.microsoft.com/office/drawing/2014/main" xmlns="" id="{00000000-0008-0000-0D00-00000D700000}"/>
            </a:ext>
          </a:extLst>
        </xdr:cNvPr>
        <xdr:cNvSpPr txBox="1">
          <a:spLocks noChangeArrowheads="1"/>
        </xdr:cNvSpPr>
      </xdr:nvSpPr>
      <xdr:spPr bwMode="auto">
        <a:xfrm>
          <a:off x="0" y="36576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17</xdr:row>
      <xdr:rowOff>0</xdr:rowOff>
    </xdr:from>
    <xdr:to>
      <xdr:col>10</xdr:col>
      <xdr:colOff>590550</xdr:colOff>
      <xdr:row>17</xdr:row>
      <xdr:rowOff>0</xdr:rowOff>
    </xdr:to>
    <xdr:sp macro="" textlink="">
      <xdr:nvSpPr>
        <xdr:cNvPr id="28686" name="Tekst 7">
          <a:extLst>
            <a:ext uri="{FF2B5EF4-FFF2-40B4-BE49-F238E27FC236}">
              <a16:creationId xmlns:a16="http://schemas.microsoft.com/office/drawing/2014/main" xmlns="" id="{00000000-0008-0000-0D00-00000E700000}"/>
            </a:ext>
          </a:extLst>
        </xdr:cNvPr>
        <xdr:cNvSpPr txBox="1">
          <a:spLocks noChangeArrowheads="1"/>
        </xdr:cNvSpPr>
      </xdr:nvSpPr>
      <xdr:spPr bwMode="auto">
        <a:xfrm>
          <a:off x="0" y="36576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17</xdr:row>
      <xdr:rowOff>0</xdr:rowOff>
    </xdr:from>
    <xdr:to>
      <xdr:col>10</xdr:col>
      <xdr:colOff>590550</xdr:colOff>
      <xdr:row>17</xdr:row>
      <xdr:rowOff>0</xdr:rowOff>
    </xdr:to>
    <xdr:sp macro="" textlink="">
      <xdr:nvSpPr>
        <xdr:cNvPr id="28687" name="Tekst 7">
          <a:extLst>
            <a:ext uri="{FF2B5EF4-FFF2-40B4-BE49-F238E27FC236}">
              <a16:creationId xmlns:a16="http://schemas.microsoft.com/office/drawing/2014/main" xmlns="" id="{00000000-0008-0000-0D00-00000F700000}"/>
            </a:ext>
          </a:extLst>
        </xdr:cNvPr>
        <xdr:cNvSpPr txBox="1">
          <a:spLocks noChangeArrowheads="1"/>
        </xdr:cNvSpPr>
      </xdr:nvSpPr>
      <xdr:spPr bwMode="auto">
        <a:xfrm>
          <a:off x="0" y="36576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17</xdr:row>
      <xdr:rowOff>0</xdr:rowOff>
    </xdr:from>
    <xdr:to>
      <xdr:col>10</xdr:col>
      <xdr:colOff>590550</xdr:colOff>
      <xdr:row>17</xdr:row>
      <xdr:rowOff>0</xdr:rowOff>
    </xdr:to>
    <xdr:sp macro="" textlink="">
      <xdr:nvSpPr>
        <xdr:cNvPr id="28695" name="Tekst 7">
          <a:extLst>
            <a:ext uri="{FF2B5EF4-FFF2-40B4-BE49-F238E27FC236}">
              <a16:creationId xmlns:a16="http://schemas.microsoft.com/office/drawing/2014/main" xmlns="" id="{00000000-0008-0000-0D00-000017700000}"/>
            </a:ext>
          </a:extLst>
        </xdr:cNvPr>
        <xdr:cNvSpPr txBox="1">
          <a:spLocks noChangeArrowheads="1"/>
        </xdr:cNvSpPr>
      </xdr:nvSpPr>
      <xdr:spPr bwMode="auto">
        <a:xfrm>
          <a:off x="0" y="36576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17</xdr:row>
      <xdr:rowOff>0</xdr:rowOff>
    </xdr:from>
    <xdr:to>
      <xdr:col>10</xdr:col>
      <xdr:colOff>590550</xdr:colOff>
      <xdr:row>17</xdr:row>
      <xdr:rowOff>0</xdr:rowOff>
    </xdr:to>
    <xdr:sp macro="" textlink="">
      <xdr:nvSpPr>
        <xdr:cNvPr id="28696" name="Tekst 7">
          <a:extLst>
            <a:ext uri="{FF2B5EF4-FFF2-40B4-BE49-F238E27FC236}">
              <a16:creationId xmlns:a16="http://schemas.microsoft.com/office/drawing/2014/main" xmlns="" id="{00000000-0008-0000-0D00-000018700000}"/>
            </a:ext>
          </a:extLst>
        </xdr:cNvPr>
        <xdr:cNvSpPr txBox="1">
          <a:spLocks noChangeArrowheads="1"/>
        </xdr:cNvSpPr>
      </xdr:nvSpPr>
      <xdr:spPr bwMode="auto">
        <a:xfrm>
          <a:off x="0" y="36576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26</xdr:row>
      <xdr:rowOff>0</xdr:rowOff>
    </xdr:from>
    <xdr:to>
      <xdr:col>10</xdr:col>
      <xdr:colOff>590550</xdr:colOff>
      <xdr:row>26</xdr:row>
      <xdr:rowOff>0</xdr:rowOff>
    </xdr:to>
    <xdr:sp macro="" textlink="">
      <xdr:nvSpPr>
        <xdr:cNvPr id="28717" name="Tekst 7">
          <a:extLst>
            <a:ext uri="{FF2B5EF4-FFF2-40B4-BE49-F238E27FC236}">
              <a16:creationId xmlns:a16="http://schemas.microsoft.com/office/drawing/2014/main" xmlns="" id="{00000000-0008-0000-0D00-00002D700000}"/>
            </a:ext>
          </a:extLst>
        </xdr:cNvPr>
        <xdr:cNvSpPr txBox="1">
          <a:spLocks noChangeArrowheads="1"/>
        </xdr:cNvSpPr>
      </xdr:nvSpPr>
      <xdr:spPr bwMode="auto">
        <a:xfrm>
          <a:off x="0" y="54864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26</xdr:row>
      <xdr:rowOff>0</xdr:rowOff>
    </xdr:from>
    <xdr:to>
      <xdr:col>10</xdr:col>
      <xdr:colOff>590550</xdr:colOff>
      <xdr:row>26</xdr:row>
      <xdr:rowOff>0</xdr:rowOff>
    </xdr:to>
    <xdr:sp macro="" textlink="">
      <xdr:nvSpPr>
        <xdr:cNvPr id="28718" name="Tekst 7">
          <a:extLst>
            <a:ext uri="{FF2B5EF4-FFF2-40B4-BE49-F238E27FC236}">
              <a16:creationId xmlns:a16="http://schemas.microsoft.com/office/drawing/2014/main" xmlns="" id="{00000000-0008-0000-0D00-00002E700000}"/>
            </a:ext>
          </a:extLst>
        </xdr:cNvPr>
        <xdr:cNvSpPr txBox="1">
          <a:spLocks noChangeArrowheads="1"/>
        </xdr:cNvSpPr>
      </xdr:nvSpPr>
      <xdr:spPr bwMode="auto">
        <a:xfrm>
          <a:off x="0" y="54864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26</xdr:row>
      <xdr:rowOff>0</xdr:rowOff>
    </xdr:from>
    <xdr:to>
      <xdr:col>10</xdr:col>
      <xdr:colOff>590550</xdr:colOff>
      <xdr:row>26</xdr:row>
      <xdr:rowOff>0</xdr:rowOff>
    </xdr:to>
    <xdr:sp macro="" textlink="">
      <xdr:nvSpPr>
        <xdr:cNvPr id="28719" name="Tekst 7">
          <a:extLst>
            <a:ext uri="{FF2B5EF4-FFF2-40B4-BE49-F238E27FC236}">
              <a16:creationId xmlns:a16="http://schemas.microsoft.com/office/drawing/2014/main" xmlns="" id="{00000000-0008-0000-0D00-00002F700000}"/>
            </a:ext>
          </a:extLst>
        </xdr:cNvPr>
        <xdr:cNvSpPr txBox="1">
          <a:spLocks noChangeArrowheads="1"/>
        </xdr:cNvSpPr>
      </xdr:nvSpPr>
      <xdr:spPr bwMode="auto">
        <a:xfrm>
          <a:off x="0" y="54864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26</xdr:row>
      <xdr:rowOff>0</xdr:rowOff>
    </xdr:from>
    <xdr:to>
      <xdr:col>10</xdr:col>
      <xdr:colOff>590550</xdr:colOff>
      <xdr:row>26</xdr:row>
      <xdr:rowOff>0</xdr:rowOff>
    </xdr:to>
    <xdr:sp macro="" textlink="">
      <xdr:nvSpPr>
        <xdr:cNvPr id="28720" name="Tekst 7">
          <a:extLst>
            <a:ext uri="{FF2B5EF4-FFF2-40B4-BE49-F238E27FC236}">
              <a16:creationId xmlns:a16="http://schemas.microsoft.com/office/drawing/2014/main" xmlns="" id="{00000000-0008-0000-0D00-000030700000}"/>
            </a:ext>
          </a:extLst>
        </xdr:cNvPr>
        <xdr:cNvSpPr txBox="1">
          <a:spLocks noChangeArrowheads="1"/>
        </xdr:cNvSpPr>
      </xdr:nvSpPr>
      <xdr:spPr bwMode="auto">
        <a:xfrm>
          <a:off x="0" y="54864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26</xdr:row>
      <xdr:rowOff>0</xdr:rowOff>
    </xdr:from>
    <xdr:to>
      <xdr:col>10</xdr:col>
      <xdr:colOff>590550</xdr:colOff>
      <xdr:row>26</xdr:row>
      <xdr:rowOff>0</xdr:rowOff>
    </xdr:to>
    <xdr:sp macro="" textlink="">
      <xdr:nvSpPr>
        <xdr:cNvPr id="28721" name="Tekst 7">
          <a:extLst>
            <a:ext uri="{FF2B5EF4-FFF2-40B4-BE49-F238E27FC236}">
              <a16:creationId xmlns:a16="http://schemas.microsoft.com/office/drawing/2014/main" xmlns="" id="{00000000-0008-0000-0D00-000031700000}"/>
            </a:ext>
          </a:extLst>
        </xdr:cNvPr>
        <xdr:cNvSpPr txBox="1">
          <a:spLocks noChangeArrowheads="1"/>
        </xdr:cNvSpPr>
      </xdr:nvSpPr>
      <xdr:spPr bwMode="auto">
        <a:xfrm>
          <a:off x="0" y="54864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34</xdr:row>
      <xdr:rowOff>0</xdr:rowOff>
    </xdr:from>
    <xdr:to>
      <xdr:col>10</xdr:col>
      <xdr:colOff>590550</xdr:colOff>
      <xdr:row>34</xdr:row>
      <xdr:rowOff>0</xdr:rowOff>
    </xdr:to>
    <xdr:sp macro="" textlink="">
      <xdr:nvSpPr>
        <xdr:cNvPr id="28728" name="Tekst 7">
          <a:extLst>
            <a:ext uri="{FF2B5EF4-FFF2-40B4-BE49-F238E27FC236}">
              <a16:creationId xmlns:a16="http://schemas.microsoft.com/office/drawing/2014/main" xmlns="" id="{00000000-0008-0000-0D00-000038700000}"/>
            </a:ext>
          </a:extLst>
        </xdr:cNvPr>
        <xdr:cNvSpPr txBox="1">
          <a:spLocks noChangeArrowheads="1"/>
        </xdr:cNvSpPr>
      </xdr:nvSpPr>
      <xdr:spPr bwMode="auto">
        <a:xfrm>
          <a:off x="0" y="72390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34</xdr:row>
      <xdr:rowOff>0</xdr:rowOff>
    </xdr:from>
    <xdr:to>
      <xdr:col>10</xdr:col>
      <xdr:colOff>590550</xdr:colOff>
      <xdr:row>34</xdr:row>
      <xdr:rowOff>0</xdr:rowOff>
    </xdr:to>
    <xdr:sp macro="" textlink="">
      <xdr:nvSpPr>
        <xdr:cNvPr id="28729" name="Tekst 7">
          <a:extLst>
            <a:ext uri="{FF2B5EF4-FFF2-40B4-BE49-F238E27FC236}">
              <a16:creationId xmlns:a16="http://schemas.microsoft.com/office/drawing/2014/main" xmlns="" id="{00000000-0008-0000-0D00-000039700000}"/>
            </a:ext>
          </a:extLst>
        </xdr:cNvPr>
        <xdr:cNvSpPr txBox="1">
          <a:spLocks noChangeArrowheads="1"/>
        </xdr:cNvSpPr>
      </xdr:nvSpPr>
      <xdr:spPr bwMode="auto">
        <a:xfrm>
          <a:off x="0" y="72390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34</xdr:row>
      <xdr:rowOff>0</xdr:rowOff>
    </xdr:from>
    <xdr:to>
      <xdr:col>10</xdr:col>
      <xdr:colOff>590550</xdr:colOff>
      <xdr:row>34</xdr:row>
      <xdr:rowOff>0</xdr:rowOff>
    </xdr:to>
    <xdr:sp macro="" textlink="">
      <xdr:nvSpPr>
        <xdr:cNvPr id="28730" name="Tekst 7">
          <a:extLst>
            <a:ext uri="{FF2B5EF4-FFF2-40B4-BE49-F238E27FC236}">
              <a16:creationId xmlns:a16="http://schemas.microsoft.com/office/drawing/2014/main" xmlns="" id="{00000000-0008-0000-0D00-00003A700000}"/>
            </a:ext>
          </a:extLst>
        </xdr:cNvPr>
        <xdr:cNvSpPr txBox="1">
          <a:spLocks noChangeArrowheads="1"/>
        </xdr:cNvSpPr>
      </xdr:nvSpPr>
      <xdr:spPr bwMode="auto">
        <a:xfrm>
          <a:off x="0" y="72390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34</xdr:row>
      <xdr:rowOff>0</xdr:rowOff>
    </xdr:from>
    <xdr:to>
      <xdr:col>10</xdr:col>
      <xdr:colOff>590550</xdr:colOff>
      <xdr:row>34</xdr:row>
      <xdr:rowOff>0</xdr:rowOff>
    </xdr:to>
    <xdr:sp macro="" textlink="">
      <xdr:nvSpPr>
        <xdr:cNvPr id="28731" name="Tekst 7">
          <a:extLst>
            <a:ext uri="{FF2B5EF4-FFF2-40B4-BE49-F238E27FC236}">
              <a16:creationId xmlns:a16="http://schemas.microsoft.com/office/drawing/2014/main" xmlns="" id="{00000000-0008-0000-0D00-00003B700000}"/>
            </a:ext>
          </a:extLst>
        </xdr:cNvPr>
        <xdr:cNvSpPr txBox="1">
          <a:spLocks noChangeArrowheads="1"/>
        </xdr:cNvSpPr>
      </xdr:nvSpPr>
      <xdr:spPr bwMode="auto">
        <a:xfrm>
          <a:off x="0" y="72390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34</xdr:row>
      <xdr:rowOff>0</xdr:rowOff>
    </xdr:from>
    <xdr:to>
      <xdr:col>10</xdr:col>
      <xdr:colOff>590550</xdr:colOff>
      <xdr:row>34</xdr:row>
      <xdr:rowOff>0</xdr:rowOff>
    </xdr:to>
    <xdr:sp macro="" textlink="">
      <xdr:nvSpPr>
        <xdr:cNvPr id="28739" name="Tekst 7">
          <a:extLst>
            <a:ext uri="{FF2B5EF4-FFF2-40B4-BE49-F238E27FC236}">
              <a16:creationId xmlns:a16="http://schemas.microsoft.com/office/drawing/2014/main" xmlns="" id="{00000000-0008-0000-0D00-000043700000}"/>
            </a:ext>
          </a:extLst>
        </xdr:cNvPr>
        <xdr:cNvSpPr txBox="1">
          <a:spLocks noChangeArrowheads="1"/>
        </xdr:cNvSpPr>
      </xdr:nvSpPr>
      <xdr:spPr bwMode="auto">
        <a:xfrm>
          <a:off x="0" y="72390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34</xdr:row>
      <xdr:rowOff>0</xdr:rowOff>
    </xdr:from>
    <xdr:to>
      <xdr:col>10</xdr:col>
      <xdr:colOff>590550</xdr:colOff>
      <xdr:row>34</xdr:row>
      <xdr:rowOff>0</xdr:rowOff>
    </xdr:to>
    <xdr:sp macro="" textlink="">
      <xdr:nvSpPr>
        <xdr:cNvPr id="28740" name="Tekst 7">
          <a:extLst>
            <a:ext uri="{FF2B5EF4-FFF2-40B4-BE49-F238E27FC236}">
              <a16:creationId xmlns:a16="http://schemas.microsoft.com/office/drawing/2014/main" xmlns="" id="{00000000-0008-0000-0D00-000044700000}"/>
            </a:ext>
          </a:extLst>
        </xdr:cNvPr>
        <xdr:cNvSpPr txBox="1">
          <a:spLocks noChangeArrowheads="1"/>
        </xdr:cNvSpPr>
      </xdr:nvSpPr>
      <xdr:spPr bwMode="auto">
        <a:xfrm>
          <a:off x="0" y="7239000"/>
          <a:ext cx="9639300" cy="0"/>
        </a:xfrm>
        <a:prstGeom prst="rect">
          <a:avLst/>
        </a:prstGeom>
        <a:solidFill>
          <a:srgbClr val="A6CAF0"/>
        </a:solidFill>
        <a:ln w="9525">
          <a:solidFill>
            <a:srgbClr val="000000"/>
          </a:solidFill>
          <a:miter lim="800000"/>
          <a:headEnd/>
          <a:tailEnd/>
        </a:ln>
      </xdr:spPr>
      <xdr:txBody>
        <a:bodyPr vertOverflow="clip" wrap="square" lIns="27432" tIns="22860" rIns="0" bIns="0" anchor="t" upright="1"/>
        <a:lstStyle/>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13</xdr:row>
      <xdr:rowOff>180975</xdr:rowOff>
    </xdr:from>
    <xdr:to>
      <xdr:col>11</xdr:col>
      <xdr:colOff>0</xdr:colOff>
      <xdr:row>16</xdr:row>
      <xdr:rowOff>209550</xdr:rowOff>
    </xdr:to>
    <xdr:sp macro="" textlink="" fLocksText="0">
      <xdr:nvSpPr>
        <xdr:cNvPr id="28805" name="Rectangle 101">
          <a:extLst>
            <a:ext uri="{FF2B5EF4-FFF2-40B4-BE49-F238E27FC236}">
              <a16:creationId xmlns:a16="http://schemas.microsoft.com/office/drawing/2014/main" xmlns="" id="{00000000-0008-0000-0D00-000085700000}"/>
            </a:ext>
          </a:extLst>
        </xdr:cNvPr>
        <xdr:cNvSpPr>
          <a:spLocks noChangeArrowheads="1"/>
        </xdr:cNvSpPr>
      </xdr:nvSpPr>
      <xdr:spPr bwMode="auto">
        <a:xfrm>
          <a:off x="0" y="2962275"/>
          <a:ext cx="9829800" cy="676275"/>
        </a:xfrm>
        <a:prstGeom prst="rect">
          <a:avLst/>
        </a:prstGeom>
        <a:solidFill>
          <a:srgbClr val="FFFFC0"/>
        </a:solidFill>
        <a:ln w="9525" algn="ctr">
          <a:solidFill>
            <a:srgbClr val="000000"/>
          </a:solidFill>
          <a:miter lim="800000"/>
          <a:headEnd/>
          <a:tailEnd/>
        </a:ln>
      </xdr:spPr>
      <xdr:txBody>
        <a:bodyPr/>
        <a:lstStyle/>
        <a:p>
          <a:r>
            <a:rPr lang="en-GB"/>
            <a:t>3 Years working in</a:t>
          </a:r>
          <a:r>
            <a:rPr lang="en-GB" baseline="0"/>
            <a:t> Banking and corporate finance, 2 years in Crowd Funding, 1 year in Oil &amp; Gas</a:t>
          </a:r>
          <a:endParaRPr lang="en-GB"/>
        </a:p>
      </xdr:txBody>
    </xdr:sp>
    <xdr:clientData/>
  </xdr:twoCellAnchor>
  <xdr:twoCellAnchor>
    <xdr:from>
      <xdr:col>0</xdr:col>
      <xdr:colOff>9525</xdr:colOff>
      <xdr:row>18</xdr:row>
      <xdr:rowOff>0</xdr:rowOff>
    </xdr:from>
    <xdr:to>
      <xdr:col>11</xdr:col>
      <xdr:colOff>0</xdr:colOff>
      <xdr:row>20</xdr:row>
      <xdr:rowOff>180975</xdr:rowOff>
    </xdr:to>
    <xdr:sp macro="" textlink="" fLocksText="0">
      <xdr:nvSpPr>
        <xdr:cNvPr id="28806" name="Rectangle 102">
          <a:extLst>
            <a:ext uri="{FF2B5EF4-FFF2-40B4-BE49-F238E27FC236}">
              <a16:creationId xmlns:a16="http://schemas.microsoft.com/office/drawing/2014/main" xmlns="" id="{00000000-0008-0000-0D00-000086700000}"/>
            </a:ext>
          </a:extLst>
        </xdr:cNvPr>
        <xdr:cNvSpPr>
          <a:spLocks noChangeArrowheads="1"/>
        </xdr:cNvSpPr>
      </xdr:nvSpPr>
      <xdr:spPr bwMode="auto">
        <a:xfrm>
          <a:off x="9525" y="3848100"/>
          <a:ext cx="9820275" cy="561975"/>
        </a:xfrm>
        <a:prstGeom prst="rect">
          <a:avLst/>
        </a:prstGeom>
        <a:solidFill>
          <a:srgbClr val="FFFFC0"/>
        </a:solidFill>
        <a:ln w="9525" algn="ctr">
          <a:solidFill>
            <a:srgbClr val="000000"/>
          </a:solidFill>
          <a:miter lim="800000"/>
          <a:headEnd/>
          <a:tailEnd/>
        </a:ln>
      </xdr:spPr>
      <xdr:txBody>
        <a:bodyPr/>
        <a:lstStyle/>
        <a:p>
          <a:r>
            <a:rPr lang="en-GB"/>
            <a:t>TBD</a:t>
          </a:r>
        </a:p>
      </xdr:txBody>
    </xdr:sp>
    <xdr:clientData/>
  </xdr:twoCellAnchor>
  <xdr:twoCellAnchor>
    <xdr:from>
      <xdr:col>0</xdr:col>
      <xdr:colOff>9525</xdr:colOff>
      <xdr:row>27</xdr:row>
      <xdr:rowOff>9525</xdr:rowOff>
    </xdr:from>
    <xdr:to>
      <xdr:col>11</xdr:col>
      <xdr:colOff>9525</xdr:colOff>
      <xdr:row>30</xdr:row>
      <xdr:rowOff>0</xdr:rowOff>
    </xdr:to>
    <xdr:sp macro="" textlink="">
      <xdr:nvSpPr>
        <xdr:cNvPr id="29358" name="Rectangle 104">
          <a:extLst>
            <a:ext uri="{FF2B5EF4-FFF2-40B4-BE49-F238E27FC236}">
              <a16:creationId xmlns:a16="http://schemas.microsoft.com/office/drawing/2014/main" xmlns="" id="{00000000-0008-0000-0D00-0000AE720000}"/>
            </a:ext>
          </a:extLst>
        </xdr:cNvPr>
        <xdr:cNvSpPr>
          <a:spLocks noChangeArrowheads="1"/>
        </xdr:cNvSpPr>
      </xdr:nvSpPr>
      <xdr:spPr bwMode="auto">
        <a:xfrm>
          <a:off x="9525" y="5686425"/>
          <a:ext cx="9829800" cy="676275"/>
        </a:xfrm>
        <a:prstGeom prst="rect">
          <a:avLst/>
        </a:prstGeom>
        <a:solidFill>
          <a:srgbClr val="FFFFC0"/>
        </a:solidFill>
        <a:ln w="9525" algn="ctr">
          <a:solidFill>
            <a:srgbClr val="000000"/>
          </a:solidFill>
          <a:miter lim="800000"/>
          <a:headEnd/>
          <a:tailEnd/>
        </a:ln>
      </xdr:spPr>
    </xdr:sp>
    <xdr:clientData fLocksWithSheet="0"/>
  </xdr:twoCellAnchor>
  <xdr:twoCellAnchor>
    <xdr:from>
      <xdr:col>0</xdr:col>
      <xdr:colOff>9525</xdr:colOff>
      <xdr:row>31</xdr:row>
      <xdr:rowOff>0</xdr:rowOff>
    </xdr:from>
    <xdr:to>
      <xdr:col>11</xdr:col>
      <xdr:colOff>0</xdr:colOff>
      <xdr:row>34</xdr:row>
      <xdr:rowOff>9525</xdr:rowOff>
    </xdr:to>
    <xdr:sp macro="" textlink="" fLocksText="0">
      <xdr:nvSpPr>
        <xdr:cNvPr id="28808" name="Rectangle 105">
          <a:extLst>
            <a:ext uri="{FF2B5EF4-FFF2-40B4-BE49-F238E27FC236}">
              <a16:creationId xmlns:a16="http://schemas.microsoft.com/office/drawing/2014/main" xmlns="" id="{00000000-0008-0000-0D00-000088700000}"/>
            </a:ext>
          </a:extLst>
        </xdr:cNvPr>
        <xdr:cNvSpPr>
          <a:spLocks noChangeArrowheads="1"/>
        </xdr:cNvSpPr>
      </xdr:nvSpPr>
      <xdr:spPr bwMode="auto">
        <a:xfrm>
          <a:off x="9525" y="6553200"/>
          <a:ext cx="9820275" cy="695325"/>
        </a:xfrm>
        <a:prstGeom prst="rect">
          <a:avLst/>
        </a:prstGeom>
        <a:solidFill>
          <a:srgbClr val="FFFFC0"/>
        </a:solidFill>
        <a:ln w="9525" algn="ctr">
          <a:solidFill>
            <a:srgbClr val="000000"/>
          </a:solidFill>
          <a:miter lim="800000"/>
          <a:headEnd/>
          <a:tailEnd/>
        </a:ln>
      </xdr:spPr>
      <xdr:txBody>
        <a:bodyPr/>
        <a:lstStyle/>
        <a:p>
          <a:r>
            <a:rPr lang="fr-FR"/>
            <a:t>28 years experience working  in sales sector. For the past</a:t>
          </a:r>
          <a:r>
            <a:rPr lang="fr-FR" baseline="0"/>
            <a:t> 8 years (since 2016 in the truck business), he holds the title of Sales Director</a:t>
          </a:r>
          <a:r>
            <a:rPr lang="fr-FR"/>
            <a:t> </a:t>
          </a:r>
        </a:p>
      </xdr:txBody>
    </xdr:sp>
    <xdr:clientData/>
  </xdr:twoCellAnchor>
  <xdr:twoCellAnchor>
    <xdr:from>
      <xdr:col>0</xdr:col>
      <xdr:colOff>9525</xdr:colOff>
      <xdr:row>35</xdr:row>
      <xdr:rowOff>0</xdr:rowOff>
    </xdr:from>
    <xdr:to>
      <xdr:col>11</xdr:col>
      <xdr:colOff>0</xdr:colOff>
      <xdr:row>37</xdr:row>
      <xdr:rowOff>180975</xdr:rowOff>
    </xdr:to>
    <xdr:sp macro="" textlink="" fLocksText="0">
      <xdr:nvSpPr>
        <xdr:cNvPr id="28809" name="Rectangle 106">
          <a:extLst>
            <a:ext uri="{FF2B5EF4-FFF2-40B4-BE49-F238E27FC236}">
              <a16:creationId xmlns:a16="http://schemas.microsoft.com/office/drawing/2014/main" xmlns="" id="{00000000-0008-0000-0D00-000089700000}"/>
            </a:ext>
          </a:extLst>
        </xdr:cNvPr>
        <xdr:cNvSpPr>
          <a:spLocks noChangeArrowheads="1"/>
        </xdr:cNvSpPr>
      </xdr:nvSpPr>
      <xdr:spPr bwMode="auto">
        <a:xfrm>
          <a:off x="9525" y="7429500"/>
          <a:ext cx="9820275" cy="561975"/>
        </a:xfrm>
        <a:prstGeom prst="rect">
          <a:avLst/>
        </a:prstGeom>
        <a:solidFill>
          <a:srgbClr val="FFFFC0"/>
        </a:solidFill>
        <a:ln w="9525" algn="ctr">
          <a:solidFill>
            <a:srgbClr val="000000"/>
          </a:solidFill>
          <a:miter lim="800000"/>
          <a:headEnd/>
          <a:tailEnd/>
        </a:ln>
      </xdr:spPr>
      <xdr:txBody>
        <a:bodyPr/>
        <a:lstStyle/>
        <a:p>
          <a:r>
            <a:rPr lang="fr-FR"/>
            <a:t>TBD</a:t>
          </a:r>
        </a:p>
      </xdr:txBody>
    </xdr:sp>
    <xdr:clientData/>
  </xdr:twoCellAnchor>
  <xdr:twoCellAnchor>
    <xdr:from>
      <xdr:col>0</xdr:col>
      <xdr:colOff>19050</xdr:colOff>
      <xdr:row>44</xdr:row>
      <xdr:rowOff>0</xdr:rowOff>
    </xdr:from>
    <xdr:to>
      <xdr:col>11</xdr:col>
      <xdr:colOff>0</xdr:colOff>
      <xdr:row>47</xdr:row>
      <xdr:rowOff>0</xdr:rowOff>
    </xdr:to>
    <xdr:sp macro="" textlink="">
      <xdr:nvSpPr>
        <xdr:cNvPr id="29361" name="Rectangle 107">
          <a:extLst>
            <a:ext uri="{FF2B5EF4-FFF2-40B4-BE49-F238E27FC236}">
              <a16:creationId xmlns:a16="http://schemas.microsoft.com/office/drawing/2014/main" xmlns="" id="{00000000-0008-0000-0D00-0000B1720000}"/>
            </a:ext>
          </a:extLst>
        </xdr:cNvPr>
        <xdr:cNvSpPr>
          <a:spLocks noChangeArrowheads="1"/>
        </xdr:cNvSpPr>
      </xdr:nvSpPr>
      <xdr:spPr bwMode="auto">
        <a:xfrm>
          <a:off x="19050" y="9258300"/>
          <a:ext cx="9810750" cy="571500"/>
        </a:xfrm>
        <a:prstGeom prst="rect">
          <a:avLst/>
        </a:prstGeom>
        <a:solidFill>
          <a:srgbClr val="FFFFC0"/>
        </a:solidFill>
        <a:ln w="9525" algn="ctr">
          <a:solidFill>
            <a:srgbClr val="000000"/>
          </a:solidFill>
          <a:miter lim="800000"/>
          <a:headEnd/>
          <a:tailEnd/>
        </a:ln>
      </xdr:spPr>
    </xdr:sp>
    <xdr:clientData/>
  </xdr:twoCellAnchor>
  <xdr:twoCellAnchor>
    <xdr:from>
      <xdr:col>0</xdr:col>
      <xdr:colOff>9525</xdr:colOff>
      <xdr:row>52</xdr:row>
      <xdr:rowOff>9525</xdr:rowOff>
    </xdr:from>
    <xdr:to>
      <xdr:col>11</xdr:col>
      <xdr:colOff>0</xdr:colOff>
      <xdr:row>54</xdr:row>
      <xdr:rowOff>180975</xdr:rowOff>
    </xdr:to>
    <xdr:sp macro="" textlink="" fLocksText="0">
      <xdr:nvSpPr>
        <xdr:cNvPr id="28811" name="Rectangle 108">
          <a:extLst>
            <a:ext uri="{FF2B5EF4-FFF2-40B4-BE49-F238E27FC236}">
              <a16:creationId xmlns:a16="http://schemas.microsoft.com/office/drawing/2014/main" xmlns="" id="{00000000-0008-0000-0D00-00008B700000}"/>
            </a:ext>
          </a:extLst>
        </xdr:cNvPr>
        <xdr:cNvSpPr>
          <a:spLocks noChangeArrowheads="1"/>
        </xdr:cNvSpPr>
      </xdr:nvSpPr>
      <xdr:spPr bwMode="auto">
        <a:xfrm>
          <a:off x="9525" y="10791825"/>
          <a:ext cx="9820275" cy="552450"/>
        </a:xfrm>
        <a:prstGeom prst="rect">
          <a:avLst/>
        </a:prstGeom>
        <a:solidFill>
          <a:srgbClr val="FFFFC0"/>
        </a:solidFill>
        <a:ln w="9525" algn="ctr">
          <a:solidFill>
            <a:srgbClr val="000000"/>
          </a:solidFill>
          <a:miter lim="800000"/>
          <a:headEnd/>
          <a:tailEnd/>
        </a:ln>
      </xdr:spPr>
      <xdr:txBody>
        <a:bodyPr/>
        <a:lstStyle/>
        <a:p>
          <a:r>
            <a:rPr lang="fr-FR"/>
            <a:t>TBD</a:t>
          </a:r>
        </a:p>
      </xdr:txBody>
    </xdr:sp>
    <xdr:clientData/>
  </xdr:twoCellAnchor>
  <xdr:twoCellAnchor>
    <xdr:from>
      <xdr:col>0</xdr:col>
      <xdr:colOff>9525</xdr:colOff>
      <xdr:row>48</xdr:row>
      <xdr:rowOff>9525</xdr:rowOff>
    </xdr:from>
    <xdr:to>
      <xdr:col>11</xdr:col>
      <xdr:colOff>0</xdr:colOff>
      <xdr:row>51</xdr:row>
      <xdr:rowOff>0</xdr:rowOff>
    </xdr:to>
    <xdr:sp macro="" textlink="" fLocksText="0">
      <xdr:nvSpPr>
        <xdr:cNvPr id="28812" name="Rectangle 109">
          <a:extLst>
            <a:ext uri="{FF2B5EF4-FFF2-40B4-BE49-F238E27FC236}">
              <a16:creationId xmlns:a16="http://schemas.microsoft.com/office/drawing/2014/main" xmlns="" id="{00000000-0008-0000-0D00-00008C700000}"/>
            </a:ext>
          </a:extLst>
        </xdr:cNvPr>
        <xdr:cNvSpPr>
          <a:spLocks noChangeArrowheads="1"/>
        </xdr:cNvSpPr>
      </xdr:nvSpPr>
      <xdr:spPr bwMode="auto">
        <a:xfrm>
          <a:off x="9525" y="10029825"/>
          <a:ext cx="9820275" cy="561975"/>
        </a:xfrm>
        <a:prstGeom prst="rect">
          <a:avLst/>
        </a:prstGeom>
        <a:solidFill>
          <a:srgbClr val="FFFFC0"/>
        </a:solidFill>
        <a:ln w="9525" algn="ctr">
          <a:solidFill>
            <a:srgbClr val="000000"/>
          </a:solidFill>
          <a:miter lim="800000"/>
          <a:headEnd/>
          <a:tailEnd/>
        </a:ln>
      </xdr:spPr>
      <xdr:txBody>
        <a:bodyPr/>
        <a:lstStyle/>
        <a:p>
          <a:r>
            <a:rPr lang="fr-FR"/>
            <a:t>12 years working in the automotive</a:t>
          </a:r>
          <a:r>
            <a:rPr lang="fr-FR" baseline="0"/>
            <a:t> industry for several brands. Since 2009, he is a Parts Manager </a:t>
          </a:r>
          <a:endParaRPr lang="fr-FR"/>
        </a:p>
      </xdr:txBody>
    </xdr:sp>
    <xdr:clientData/>
  </xdr:twoCellAnchor>
  <xdr:twoCellAnchor>
    <xdr:from>
      <xdr:col>0</xdr:col>
      <xdr:colOff>0</xdr:colOff>
      <xdr:row>10</xdr:row>
      <xdr:rowOff>9525</xdr:rowOff>
    </xdr:from>
    <xdr:to>
      <xdr:col>11</xdr:col>
      <xdr:colOff>0</xdr:colOff>
      <xdr:row>13</xdr:row>
      <xdr:rowOff>0</xdr:rowOff>
    </xdr:to>
    <xdr:sp macro="" textlink="" fLocksText="0">
      <xdr:nvSpPr>
        <xdr:cNvPr id="28814" name="Rectangle 113">
          <a:extLst>
            <a:ext uri="{FF2B5EF4-FFF2-40B4-BE49-F238E27FC236}">
              <a16:creationId xmlns:a16="http://schemas.microsoft.com/office/drawing/2014/main" xmlns="" id="{00000000-0008-0000-0D00-00008E700000}"/>
            </a:ext>
          </a:extLst>
        </xdr:cNvPr>
        <xdr:cNvSpPr>
          <a:spLocks noChangeArrowheads="1"/>
        </xdr:cNvSpPr>
      </xdr:nvSpPr>
      <xdr:spPr bwMode="auto">
        <a:xfrm>
          <a:off x="0" y="2105025"/>
          <a:ext cx="9829800" cy="676275"/>
        </a:xfrm>
        <a:prstGeom prst="rect">
          <a:avLst/>
        </a:prstGeom>
        <a:solidFill>
          <a:srgbClr val="FFFFC0"/>
        </a:solidFill>
        <a:ln w="9525" algn="ctr">
          <a:solidFill>
            <a:srgbClr val="000000"/>
          </a:solidFill>
          <a:miter lim="800000"/>
          <a:headEnd/>
          <a:tailEnd/>
        </a:ln>
      </xdr:spPr>
      <xdr:txBody>
        <a:bodyPr/>
        <a:lstStyle/>
        <a:p>
          <a:r>
            <a:rPr lang="en-GB"/>
            <a:t>MSc</a:t>
          </a:r>
          <a:r>
            <a:rPr lang="en-GB" baseline="0"/>
            <a:t> in Corporate and Risk Finance, Regent's Business School London, United Kingdom</a:t>
          </a:r>
          <a:endParaRPr lang="en-GB"/>
        </a:p>
      </xdr:txBody>
    </xdr:sp>
    <xdr:clientData/>
  </xdr:twoCellAnchor>
  <xdr:twoCellAnchor>
    <xdr:from>
      <xdr:col>0</xdr:col>
      <xdr:colOff>0</xdr:colOff>
      <xdr:row>27</xdr:row>
      <xdr:rowOff>0</xdr:rowOff>
    </xdr:from>
    <xdr:to>
      <xdr:col>11</xdr:col>
      <xdr:colOff>0</xdr:colOff>
      <xdr:row>30</xdr:row>
      <xdr:rowOff>0</xdr:rowOff>
    </xdr:to>
    <xdr:sp macro="" textlink="" fLocksText="0">
      <xdr:nvSpPr>
        <xdr:cNvPr id="28815" name="Rectangle 114">
          <a:extLst>
            <a:ext uri="{FF2B5EF4-FFF2-40B4-BE49-F238E27FC236}">
              <a16:creationId xmlns:a16="http://schemas.microsoft.com/office/drawing/2014/main" xmlns="" id="{00000000-0008-0000-0D00-00008F700000}"/>
            </a:ext>
          </a:extLst>
        </xdr:cNvPr>
        <xdr:cNvSpPr>
          <a:spLocks noChangeArrowheads="1"/>
        </xdr:cNvSpPr>
      </xdr:nvSpPr>
      <xdr:spPr bwMode="auto">
        <a:xfrm>
          <a:off x="0" y="5676900"/>
          <a:ext cx="9829800" cy="685800"/>
        </a:xfrm>
        <a:prstGeom prst="rect">
          <a:avLst/>
        </a:prstGeom>
        <a:solidFill>
          <a:srgbClr val="FFFFC0"/>
        </a:solidFill>
        <a:ln w="9525" algn="ctr">
          <a:solidFill>
            <a:srgbClr val="000000"/>
          </a:solidFill>
          <a:miter lim="800000"/>
          <a:headEnd/>
          <a:tailEnd/>
        </a:ln>
      </xdr:spPr>
      <xdr:txBody>
        <a:bodyPr/>
        <a:lstStyle/>
        <a:p>
          <a:r>
            <a:rPr lang="fr-FR"/>
            <a:t>MSc in Sales and Marketing</a:t>
          </a:r>
          <a:r>
            <a:rPr lang="fr-FR" baseline="0"/>
            <a:t> , Canadian School of Tunis, Tunisia. </a:t>
          </a:r>
          <a:endParaRPr lang="fr-FR"/>
        </a:p>
      </xdr:txBody>
    </xdr:sp>
    <xdr:clientData/>
  </xdr:twoCellAnchor>
  <xdr:twoCellAnchor>
    <xdr:from>
      <xdr:col>0</xdr:col>
      <xdr:colOff>0</xdr:colOff>
      <xdr:row>44</xdr:row>
      <xdr:rowOff>0</xdr:rowOff>
    </xdr:from>
    <xdr:to>
      <xdr:col>11</xdr:col>
      <xdr:colOff>0</xdr:colOff>
      <xdr:row>46</xdr:row>
      <xdr:rowOff>180975</xdr:rowOff>
    </xdr:to>
    <xdr:sp macro="" textlink="" fLocksText="0">
      <xdr:nvSpPr>
        <xdr:cNvPr id="28816" name="Rectangle 115">
          <a:extLst>
            <a:ext uri="{FF2B5EF4-FFF2-40B4-BE49-F238E27FC236}">
              <a16:creationId xmlns:a16="http://schemas.microsoft.com/office/drawing/2014/main" xmlns="" id="{00000000-0008-0000-0D00-000090700000}"/>
            </a:ext>
          </a:extLst>
        </xdr:cNvPr>
        <xdr:cNvSpPr>
          <a:spLocks noChangeArrowheads="1"/>
        </xdr:cNvSpPr>
      </xdr:nvSpPr>
      <xdr:spPr bwMode="auto">
        <a:xfrm>
          <a:off x="0" y="9258300"/>
          <a:ext cx="9829800" cy="561975"/>
        </a:xfrm>
        <a:prstGeom prst="rect">
          <a:avLst/>
        </a:prstGeom>
        <a:solidFill>
          <a:srgbClr val="FFFFC0"/>
        </a:solidFill>
        <a:ln w="9525" algn="ctr">
          <a:solidFill>
            <a:srgbClr val="000000"/>
          </a:solidFill>
          <a:miter lim="800000"/>
          <a:headEnd/>
          <a:tailEnd/>
        </a:ln>
      </xdr:spPr>
      <xdr:txBody>
        <a:bodyPr/>
        <a:lstStyle/>
        <a:p>
          <a:r>
            <a:rPr lang="fr-FR"/>
            <a:t>Msc in IT Management, Ins</a:t>
          </a:r>
          <a:r>
            <a:rPr lang="fr-FR" baseline="0"/>
            <a:t>titut Superieur de Gestion Tunis, Tunisia  </a:t>
          </a:r>
          <a:r>
            <a:rPr lang="fr-FR"/>
            <a:t> </a:t>
          </a:r>
        </a:p>
      </xdr:txBody>
    </xdr:sp>
    <xdr:clientData/>
  </xdr:twoCellAnchor>
  <xdr:twoCellAnchor>
    <xdr:from>
      <xdr:col>3</xdr:col>
      <xdr:colOff>161925</xdr:colOff>
      <xdr:row>7</xdr:row>
      <xdr:rowOff>180975</xdr:rowOff>
    </xdr:from>
    <xdr:to>
      <xdr:col>10</xdr:col>
      <xdr:colOff>285750</xdr:colOff>
      <xdr:row>14</xdr:row>
      <xdr:rowOff>114300</xdr:rowOff>
    </xdr:to>
    <xdr:sp macro="" textlink="">
      <xdr:nvSpPr>
        <xdr:cNvPr id="28813" name="MyHelpTekst" hidden="1">
          <a:extLst>
            <a:ext uri="{FF2B5EF4-FFF2-40B4-BE49-F238E27FC236}">
              <a16:creationId xmlns:a16="http://schemas.microsoft.com/office/drawing/2014/main" xmlns="" id="{00000000-0008-0000-0D00-00008D700000}"/>
            </a:ext>
          </a:extLst>
        </xdr:cNvPr>
        <xdr:cNvSpPr>
          <a:spLocks noChangeArrowheads="1"/>
        </xdr:cNvSpPr>
      </xdr:nvSpPr>
      <xdr:spPr bwMode="auto">
        <a:xfrm>
          <a:off x="2876550" y="1666875"/>
          <a:ext cx="6457950" cy="1419225"/>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4.1.2 Management team (other)</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this section general background information is asked from three other people, who have key-positions in your organization (i.e. the controller, the truck sales manager and the after sales manager). The questions asked is to determine how experienced your management team is.</a:t>
          </a:r>
        </a:p>
        <a:p>
          <a:pPr algn="l" rtl="0">
            <a:defRPr sz="1000"/>
          </a:pPr>
          <a:r>
            <a:rPr lang="nl-NL" sz="800" b="0" i="0" u="none" strike="noStrike" baseline="0">
              <a:solidFill>
                <a:srgbClr val="000000"/>
              </a:solidFill>
              <a:latin typeface="Trebuchet MS"/>
            </a:rPr>
            <a:t>Give also information about the succession plan.</a:t>
          </a:r>
        </a:p>
        <a:p>
          <a:pPr algn="l" rtl="0">
            <a:defRPr sz="1000"/>
          </a:pPr>
          <a:endParaRPr lang="nl-NL"/>
        </a:p>
      </xdr:txBody>
    </xdr:sp>
    <xdr:clientData/>
  </xdr:twoCellAnchor>
  <xdr:twoCellAnchor editAs="oneCell">
    <xdr:from>
      <xdr:col>5</xdr:col>
      <xdr:colOff>152400</xdr:colOff>
      <xdr:row>0</xdr:row>
      <xdr:rowOff>177800</xdr:rowOff>
    </xdr:from>
    <xdr:to>
      <xdr:col>5</xdr:col>
      <xdr:colOff>1244600</xdr:colOff>
      <xdr:row>0</xdr:row>
      <xdr:rowOff>889000</xdr:rowOff>
    </xdr:to>
    <xdr:pic>
      <xdr:nvPicPr>
        <xdr:cNvPr id="28771" name="CommandButton1">
          <a:extLst>
            <a:ext uri="{FF2B5EF4-FFF2-40B4-BE49-F238E27FC236}">
              <a16:creationId xmlns:a16="http://schemas.microsoft.com/office/drawing/2014/main" xmlns="" id="{00000000-0008-0000-0D00-0000637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5900" y="177800"/>
          <a:ext cx="876300" cy="165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590550</xdr:colOff>
      <xdr:row>0</xdr:row>
      <xdr:rowOff>0</xdr:rowOff>
    </xdr:to>
    <xdr:sp macro="" textlink="">
      <xdr:nvSpPr>
        <xdr:cNvPr id="3074" name="Tekst 6">
          <a:extLst>
            <a:ext uri="{FF2B5EF4-FFF2-40B4-BE49-F238E27FC236}">
              <a16:creationId xmlns:a16="http://schemas.microsoft.com/office/drawing/2014/main" xmlns="" id="{00000000-0008-0000-0E00-0000020C0000}"/>
            </a:ext>
          </a:extLst>
        </xdr:cNvPr>
        <xdr:cNvSpPr txBox="1">
          <a:spLocks noChangeArrowheads="1"/>
        </xdr:cNvSpPr>
      </xdr:nvSpPr>
      <xdr:spPr bwMode="auto">
        <a:xfrm>
          <a:off x="0" y="0"/>
          <a:ext cx="10591800"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nl-NL" sz="1000" b="0" i="0" u="none" strike="noStrike" baseline="0">
              <a:solidFill>
                <a:srgbClr val="000000"/>
              </a:solidFill>
              <a:latin typeface="Arial"/>
              <a:cs typeface="Arial"/>
            </a:rPr>
            <a:t>1)</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0</xdr:row>
      <xdr:rowOff>0</xdr:rowOff>
    </xdr:from>
    <xdr:to>
      <xdr:col>10</xdr:col>
      <xdr:colOff>571500</xdr:colOff>
      <xdr:row>0</xdr:row>
      <xdr:rowOff>0</xdr:rowOff>
    </xdr:to>
    <xdr:sp macro="" textlink="">
      <xdr:nvSpPr>
        <xdr:cNvPr id="3075" name="Tekst 7">
          <a:extLst>
            <a:ext uri="{FF2B5EF4-FFF2-40B4-BE49-F238E27FC236}">
              <a16:creationId xmlns:a16="http://schemas.microsoft.com/office/drawing/2014/main" xmlns="" id="{00000000-0008-0000-0E00-0000030C0000}"/>
            </a:ext>
          </a:extLst>
        </xdr:cNvPr>
        <xdr:cNvSpPr txBox="1">
          <a:spLocks noChangeArrowheads="1"/>
        </xdr:cNvSpPr>
      </xdr:nvSpPr>
      <xdr:spPr bwMode="auto">
        <a:xfrm>
          <a:off x="0" y="0"/>
          <a:ext cx="10572750"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nl-NL" sz="1000" b="0" i="0" u="none" strike="noStrike" baseline="0">
              <a:solidFill>
                <a:srgbClr val="000000"/>
              </a:solidFill>
              <a:latin typeface="Arial"/>
              <a:cs typeface="Arial"/>
            </a:rPr>
            <a:t>1)</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19050</xdr:colOff>
      <xdr:row>0</xdr:row>
      <xdr:rowOff>0</xdr:rowOff>
    </xdr:from>
    <xdr:to>
      <xdr:col>9</xdr:col>
      <xdr:colOff>0</xdr:colOff>
      <xdr:row>0</xdr:row>
      <xdr:rowOff>0</xdr:rowOff>
    </xdr:to>
    <xdr:sp macro="" textlink="">
      <xdr:nvSpPr>
        <xdr:cNvPr id="3076" name="Tekst 8">
          <a:extLst>
            <a:ext uri="{FF2B5EF4-FFF2-40B4-BE49-F238E27FC236}">
              <a16:creationId xmlns:a16="http://schemas.microsoft.com/office/drawing/2014/main" xmlns="" id="{00000000-0008-0000-0E00-0000040C0000}"/>
            </a:ext>
          </a:extLst>
        </xdr:cNvPr>
        <xdr:cNvSpPr txBox="1">
          <a:spLocks noChangeArrowheads="1"/>
        </xdr:cNvSpPr>
      </xdr:nvSpPr>
      <xdr:spPr bwMode="auto">
        <a:xfrm>
          <a:off x="19050" y="0"/>
          <a:ext cx="89820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nl-NL" sz="1000" b="0" i="0" u="none" strike="noStrike" baseline="0">
              <a:solidFill>
                <a:srgbClr val="000000"/>
              </a:solidFill>
              <a:latin typeface="Arial"/>
              <a:cs typeface="Arial"/>
            </a:rPr>
            <a:t>1)</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2)</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3)</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0</xdr:col>
      <xdr:colOff>0</xdr:colOff>
      <xdr:row>0</xdr:row>
      <xdr:rowOff>0</xdr:rowOff>
    </xdr:from>
    <xdr:to>
      <xdr:col>10</xdr:col>
      <xdr:colOff>590550</xdr:colOff>
      <xdr:row>0</xdr:row>
      <xdr:rowOff>0</xdr:rowOff>
    </xdr:to>
    <xdr:sp macro="" textlink="">
      <xdr:nvSpPr>
        <xdr:cNvPr id="3077" name="Tekst 9">
          <a:extLst>
            <a:ext uri="{FF2B5EF4-FFF2-40B4-BE49-F238E27FC236}">
              <a16:creationId xmlns:a16="http://schemas.microsoft.com/office/drawing/2014/main" xmlns="" id="{00000000-0008-0000-0E00-0000050C0000}"/>
            </a:ext>
          </a:extLst>
        </xdr:cNvPr>
        <xdr:cNvSpPr txBox="1">
          <a:spLocks noChangeArrowheads="1"/>
        </xdr:cNvSpPr>
      </xdr:nvSpPr>
      <xdr:spPr bwMode="auto">
        <a:xfrm>
          <a:off x="0" y="0"/>
          <a:ext cx="10591800"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nl-NL" sz="1000" b="0" i="0" u="none" strike="noStrike" baseline="0">
              <a:solidFill>
                <a:srgbClr val="000000"/>
              </a:solidFill>
              <a:latin typeface="Arial"/>
              <a:cs typeface="Arial"/>
            </a:rPr>
            <a:t>[what kind of products will be sold by the dealer]</a:t>
          </a:r>
        </a:p>
      </xdr:txBody>
    </xdr:sp>
    <xdr:clientData/>
  </xdr:twoCellAnchor>
  <xdr:twoCellAnchor>
    <xdr:from>
      <xdr:col>0</xdr:col>
      <xdr:colOff>9525</xdr:colOff>
      <xdr:row>20</xdr:row>
      <xdr:rowOff>9525</xdr:rowOff>
    </xdr:from>
    <xdr:to>
      <xdr:col>10</xdr:col>
      <xdr:colOff>990600</xdr:colOff>
      <xdr:row>29</xdr:row>
      <xdr:rowOff>180975</xdr:rowOff>
    </xdr:to>
    <xdr:sp macro="" textlink="" fLocksText="0">
      <xdr:nvSpPr>
        <xdr:cNvPr id="3094" name="Rectangle 12">
          <a:extLst>
            <a:ext uri="{FF2B5EF4-FFF2-40B4-BE49-F238E27FC236}">
              <a16:creationId xmlns:a16="http://schemas.microsoft.com/office/drawing/2014/main" xmlns="" id="{00000000-0008-0000-0E00-0000160C0000}"/>
            </a:ext>
          </a:extLst>
        </xdr:cNvPr>
        <xdr:cNvSpPr>
          <a:spLocks noChangeArrowheads="1"/>
        </xdr:cNvSpPr>
      </xdr:nvSpPr>
      <xdr:spPr bwMode="auto">
        <a:xfrm>
          <a:off x="9525" y="3933825"/>
          <a:ext cx="10982325" cy="1933575"/>
        </a:xfrm>
        <a:prstGeom prst="rect">
          <a:avLst/>
        </a:prstGeom>
        <a:solidFill>
          <a:srgbClr val="FFFFC0"/>
        </a:solidFill>
        <a:ln w="9525" algn="ctr">
          <a:solidFill>
            <a:srgbClr val="000000"/>
          </a:solidFill>
          <a:miter lim="800000"/>
          <a:headEnd/>
          <a:tailEnd/>
        </a:ln>
      </xdr:spPr>
      <xdr:txBody>
        <a:bodyPr/>
        <a:lstStyle/>
        <a:p>
          <a:r>
            <a:rPr lang="en-GB"/>
            <a:t>Same as</a:t>
          </a:r>
          <a:r>
            <a:rPr lang="en-GB" baseline="0"/>
            <a:t> the country situation </a:t>
          </a:r>
          <a:endParaRPr lang="en-GB"/>
        </a:p>
      </xdr:txBody>
    </xdr:sp>
    <xdr:clientData/>
  </xdr:twoCellAnchor>
  <xdr:twoCellAnchor>
    <xdr:from>
      <xdr:col>0</xdr:col>
      <xdr:colOff>9525</xdr:colOff>
      <xdr:row>32</xdr:row>
      <xdr:rowOff>0</xdr:rowOff>
    </xdr:from>
    <xdr:to>
      <xdr:col>10</xdr:col>
      <xdr:colOff>990600</xdr:colOff>
      <xdr:row>35</xdr:row>
      <xdr:rowOff>171450</xdr:rowOff>
    </xdr:to>
    <xdr:sp macro="" textlink="" fLocksText="0">
      <xdr:nvSpPr>
        <xdr:cNvPr id="3095" name="Rectangle 13">
          <a:extLst>
            <a:ext uri="{FF2B5EF4-FFF2-40B4-BE49-F238E27FC236}">
              <a16:creationId xmlns:a16="http://schemas.microsoft.com/office/drawing/2014/main" xmlns="" id="{00000000-0008-0000-0E00-0000170C0000}"/>
            </a:ext>
          </a:extLst>
        </xdr:cNvPr>
        <xdr:cNvSpPr>
          <a:spLocks noChangeArrowheads="1"/>
        </xdr:cNvSpPr>
      </xdr:nvSpPr>
      <xdr:spPr bwMode="auto">
        <a:xfrm>
          <a:off x="9525" y="6257925"/>
          <a:ext cx="10982325" cy="742950"/>
        </a:xfrm>
        <a:prstGeom prst="rect">
          <a:avLst/>
        </a:prstGeom>
        <a:solidFill>
          <a:srgbClr val="FFFFC0"/>
        </a:solidFill>
        <a:ln w="9525" algn="ctr">
          <a:solidFill>
            <a:srgbClr val="000000"/>
          </a:solidFill>
          <a:miter lim="800000"/>
          <a:headEnd/>
          <a:tailEnd/>
        </a:ln>
      </xdr:spPr>
      <xdr:txBody>
        <a:bodyPr/>
        <a:lstStyle/>
        <a:p>
          <a:r>
            <a:rPr lang="en-GB"/>
            <a:t>Major</a:t>
          </a:r>
          <a:r>
            <a:rPr lang="en-GB" baseline="0"/>
            <a:t> segments of the economy constructions, agriculture, mining, tourism, retail , export industries are growing , leading to a demand increase in the transport industry </a:t>
          </a:r>
          <a:endParaRPr lang="en-GB"/>
        </a:p>
      </xdr:txBody>
    </xdr:sp>
    <xdr:clientData/>
  </xdr:twoCellAnchor>
  <xdr:twoCellAnchor>
    <xdr:from>
      <xdr:col>0</xdr:col>
      <xdr:colOff>9525</xdr:colOff>
      <xdr:row>38</xdr:row>
      <xdr:rowOff>0</xdr:rowOff>
    </xdr:from>
    <xdr:to>
      <xdr:col>10</xdr:col>
      <xdr:colOff>990600</xdr:colOff>
      <xdr:row>42</xdr:row>
      <xdr:rowOff>0</xdr:rowOff>
    </xdr:to>
    <xdr:sp macro="" textlink="" fLocksText="0">
      <xdr:nvSpPr>
        <xdr:cNvPr id="3096" name="Rectangle 14">
          <a:extLst>
            <a:ext uri="{FF2B5EF4-FFF2-40B4-BE49-F238E27FC236}">
              <a16:creationId xmlns:a16="http://schemas.microsoft.com/office/drawing/2014/main" xmlns="" id="{00000000-0008-0000-0E00-0000180C0000}"/>
            </a:ext>
          </a:extLst>
        </xdr:cNvPr>
        <xdr:cNvSpPr>
          <a:spLocks noChangeArrowheads="1"/>
        </xdr:cNvSpPr>
      </xdr:nvSpPr>
      <xdr:spPr bwMode="auto">
        <a:xfrm>
          <a:off x="9525" y="7400925"/>
          <a:ext cx="10982325" cy="762000"/>
        </a:xfrm>
        <a:prstGeom prst="rect">
          <a:avLst/>
        </a:prstGeom>
        <a:solidFill>
          <a:srgbClr val="FFFFC0"/>
        </a:solidFill>
        <a:ln w="9525" algn="ctr">
          <a:solidFill>
            <a:srgbClr val="000000"/>
          </a:solidFill>
          <a:miter lim="800000"/>
          <a:headEnd/>
          <a:tailEnd/>
        </a:ln>
      </xdr:spPr>
      <xdr:txBody>
        <a:bodyPr/>
        <a:lstStyle/>
        <a:p>
          <a:r>
            <a:rPr lang="en-GB"/>
            <a:t>A continued devaluation</a:t>
          </a:r>
          <a:r>
            <a:rPr lang="en-GB" baseline="0"/>
            <a:t> of the Tunisian Dinar impacts negatively the inflation rate and could affect the purchasing power                                                                                                                                                                   Trade deficit and balance of payments continuous to deteriorate, pushing the government to implement restrictions policies on imports of goods  </a:t>
          </a:r>
          <a:endParaRPr lang="en-GB"/>
        </a:p>
      </xdr:txBody>
    </xdr:sp>
    <xdr:clientData/>
  </xdr:twoCellAnchor>
  <xdr:twoCellAnchor>
    <xdr:from>
      <xdr:col>0</xdr:col>
      <xdr:colOff>9525</xdr:colOff>
      <xdr:row>44</xdr:row>
      <xdr:rowOff>9525</xdr:rowOff>
    </xdr:from>
    <xdr:to>
      <xdr:col>10</xdr:col>
      <xdr:colOff>990600</xdr:colOff>
      <xdr:row>64</xdr:row>
      <xdr:rowOff>180975</xdr:rowOff>
    </xdr:to>
    <xdr:sp macro="" textlink="" fLocksText="0">
      <xdr:nvSpPr>
        <xdr:cNvPr id="3097" name="Rectangle 15">
          <a:extLst>
            <a:ext uri="{FF2B5EF4-FFF2-40B4-BE49-F238E27FC236}">
              <a16:creationId xmlns:a16="http://schemas.microsoft.com/office/drawing/2014/main" xmlns="" id="{00000000-0008-0000-0E00-0000190C0000}"/>
            </a:ext>
          </a:extLst>
        </xdr:cNvPr>
        <xdr:cNvSpPr>
          <a:spLocks noChangeArrowheads="1"/>
        </xdr:cNvSpPr>
      </xdr:nvSpPr>
      <xdr:spPr bwMode="auto">
        <a:xfrm>
          <a:off x="9525" y="8553450"/>
          <a:ext cx="10982325" cy="3981450"/>
        </a:xfrm>
        <a:prstGeom prst="rect">
          <a:avLst/>
        </a:prstGeom>
        <a:solidFill>
          <a:srgbClr val="FFFFC0"/>
        </a:solidFill>
        <a:ln w="9525" algn="ctr">
          <a:solidFill>
            <a:srgbClr val="000000"/>
          </a:solidFill>
          <a:miter lim="800000"/>
          <a:headEnd/>
          <a:tailEnd/>
        </a:ln>
      </xdr:spPr>
      <xdr:txBody>
        <a:bodyPr/>
        <a:lstStyle/>
        <a:p>
          <a:r>
            <a:rPr lang="en-GB"/>
            <a:t>Appendix</a:t>
          </a:r>
        </a:p>
      </xdr:txBody>
    </xdr:sp>
    <xdr:clientData/>
  </xdr:twoCellAnchor>
  <xdr:twoCellAnchor>
    <xdr:from>
      <xdr:col>3</xdr:col>
      <xdr:colOff>638175</xdr:colOff>
      <xdr:row>5</xdr:row>
      <xdr:rowOff>57150</xdr:rowOff>
    </xdr:from>
    <xdr:to>
      <xdr:col>10</xdr:col>
      <xdr:colOff>990600</xdr:colOff>
      <xdr:row>27</xdr:row>
      <xdr:rowOff>171450</xdr:rowOff>
    </xdr:to>
    <xdr:sp macro="" textlink="">
      <xdr:nvSpPr>
        <xdr:cNvPr id="3088" name="MyHelpTekst" hidden="1">
          <a:extLst>
            <a:ext uri="{FF2B5EF4-FFF2-40B4-BE49-F238E27FC236}">
              <a16:creationId xmlns:a16="http://schemas.microsoft.com/office/drawing/2014/main" xmlns="" id="{00000000-0008-0000-0E00-0000100C0000}"/>
            </a:ext>
          </a:extLst>
        </xdr:cNvPr>
        <xdr:cNvSpPr>
          <a:spLocks noChangeArrowheads="1"/>
        </xdr:cNvSpPr>
      </xdr:nvSpPr>
      <xdr:spPr bwMode="auto">
        <a:xfrm>
          <a:off x="3638550" y="1257300"/>
          <a:ext cx="7353300" cy="421957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5.0 Economy</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Economic situation country</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Give a general description of the economic situation in the country. Indicators are the economic growth, the economic development, the inflation rate, the interest development, the infrastructure development and the development within the truck market. The description should contain the history, the present situation and the future outlook.</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Economic situation dealer area</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Give a general description of the economic situation in the dealer area specifically if this deviates from the country situation.</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Main opportunities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opportunities the economic situation offers for the dealership.</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Main threats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threats which the dealership faces regarding the economic situation.</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Map of country with dealer area highlighted</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Show a map of the whole country with the hub dealer area and dealership location clearly marked.</a:t>
          </a:r>
          <a:endParaRPr lang="nl-NL" sz="1000" b="1" i="0" u="sng" strike="noStrike" baseline="0">
            <a:solidFill>
              <a:srgbClr val="000000"/>
            </a:solidFill>
            <a:latin typeface="Trebuchet MS"/>
          </a:endParaRPr>
        </a:p>
        <a:p>
          <a:pPr algn="l" rtl="0">
            <a:defRPr sz="1000"/>
          </a:pPr>
          <a:endParaRPr lang="nl-NL" sz="1000" b="1" i="0" u="sng" strike="noStrike" baseline="0">
            <a:solidFill>
              <a:srgbClr val="000000"/>
            </a:solidFill>
            <a:latin typeface="Trebuchet MS"/>
          </a:endParaRPr>
        </a:p>
      </xdr:txBody>
    </xdr:sp>
    <xdr:clientData/>
  </xdr:twoCellAnchor>
  <xdr:twoCellAnchor editAs="oneCell">
    <xdr:from>
      <xdr:col>5</xdr:col>
      <xdr:colOff>0</xdr:colOff>
      <xdr:row>0</xdr:row>
      <xdr:rowOff>127000</xdr:rowOff>
    </xdr:from>
    <xdr:to>
      <xdr:col>5</xdr:col>
      <xdr:colOff>1143000</xdr:colOff>
      <xdr:row>2</xdr:row>
      <xdr:rowOff>2540</xdr:rowOff>
    </xdr:to>
    <xdr:pic>
      <xdr:nvPicPr>
        <xdr:cNvPr id="3082" name="CommandButton1">
          <a:extLst>
            <a:ext uri="{FF2B5EF4-FFF2-40B4-BE49-F238E27FC236}">
              <a16:creationId xmlns:a16="http://schemas.microsoft.com/office/drawing/2014/main" xmlns="" id="{00000000-0008-0000-0E00-00000A0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127000"/>
          <a:ext cx="1143000" cy="495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95250</xdr:colOff>
      <xdr:row>4</xdr:row>
      <xdr:rowOff>114300</xdr:rowOff>
    </xdr:from>
    <xdr:to>
      <xdr:col>21</xdr:col>
      <xdr:colOff>0</xdr:colOff>
      <xdr:row>24</xdr:row>
      <xdr:rowOff>0</xdr:rowOff>
    </xdr:to>
    <xdr:sp macro="" textlink="">
      <xdr:nvSpPr>
        <xdr:cNvPr id="101379" name="AutoShape 3" hidden="1">
          <a:extLst>
            <a:ext uri="{FF2B5EF4-FFF2-40B4-BE49-F238E27FC236}">
              <a16:creationId xmlns:a16="http://schemas.microsoft.com/office/drawing/2014/main" xmlns="" id="{00000000-0008-0000-0F00-0000038C0100}"/>
            </a:ext>
          </a:extLst>
        </xdr:cNvPr>
        <xdr:cNvSpPr>
          <a:spLocks noChangeArrowheads="1"/>
        </xdr:cNvSpPr>
      </xdr:nvSpPr>
      <xdr:spPr bwMode="auto">
        <a:xfrm>
          <a:off x="6753225" y="1333500"/>
          <a:ext cx="3067050" cy="345757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1000" b="0" i="0" u="none" strike="noStrike" baseline="0">
              <a:solidFill>
                <a:srgbClr val="000000"/>
              </a:solidFill>
              <a:latin typeface="Trebuchet MS"/>
            </a:rPr>
            <a:t>For the Calculator to calculate the DAF sales potential for Parts, Workshop Hours and Oil please update the matrix.</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Enter the current number of DAF trucks in your region in the corresponding cells; where the years represent the age of the vehicles.</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editAs="oneCell">
    <xdr:from>
      <xdr:col>3</xdr:col>
      <xdr:colOff>0</xdr:colOff>
      <xdr:row>0</xdr:row>
      <xdr:rowOff>66675</xdr:rowOff>
    </xdr:from>
    <xdr:to>
      <xdr:col>5</xdr:col>
      <xdr:colOff>457200</xdr:colOff>
      <xdr:row>1</xdr:row>
      <xdr:rowOff>390525</xdr:rowOff>
    </xdr:to>
    <xdr:pic>
      <xdr:nvPicPr>
        <xdr:cNvPr id="101449" name="Picture 5" descr="DAF Logo">
          <a:extLst>
            <a:ext uri="{FF2B5EF4-FFF2-40B4-BE49-F238E27FC236}">
              <a16:creationId xmlns:a16="http://schemas.microsoft.com/office/drawing/2014/main" xmlns="" id="{00000000-0008-0000-0F00-0000498C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3475" y="66675"/>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104775</xdr:colOff>
      <xdr:row>6</xdr:row>
      <xdr:rowOff>161925</xdr:rowOff>
    </xdr:from>
    <xdr:to>
      <xdr:col>20</xdr:col>
      <xdr:colOff>552450</xdr:colOff>
      <xdr:row>36</xdr:row>
      <xdr:rowOff>152400</xdr:rowOff>
    </xdr:to>
    <xdr:sp macro="" textlink="">
      <xdr:nvSpPr>
        <xdr:cNvPr id="101393" name="MyHelpTekst" hidden="1">
          <a:extLst>
            <a:ext uri="{FF2B5EF4-FFF2-40B4-BE49-F238E27FC236}">
              <a16:creationId xmlns:a16="http://schemas.microsoft.com/office/drawing/2014/main" xmlns="" id="{00000000-0008-0000-0F00-0000118C0100}"/>
            </a:ext>
          </a:extLst>
        </xdr:cNvPr>
        <xdr:cNvSpPr>
          <a:spLocks noChangeArrowheads="1"/>
        </xdr:cNvSpPr>
      </xdr:nvSpPr>
      <xdr:spPr bwMode="auto">
        <a:xfrm>
          <a:off x="2876550" y="1819275"/>
          <a:ext cx="6762750" cy="5905500"/>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5.1 DAF Vehicle Parc (Input)</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New Truck market size country</a:t>
          </a:r>
        </a:p>
        <a:p>
          <a:pPr algn="l" rtl="0">
            <a:defRPr sz="1000"/>
          </a:pPr>
          <a:r>
            <a:rPr lang="nl-NL" sz="800" b="1" i="0" u="none" strike="noStrike" baseline="0">
              <a:solidFill>
                <a:srgbClr val="000000"/>
              </a:solidFill>
              <a:latin typeface="Trebuchet MS"/>
            </a:rPr>
            <a:t>Fill in the number of registrations of new trucks in the segment between 6 and 15 tons GVW and above 15 tons GVW. Please contact your Dealer Developer of DAF Trucks NV for the actual numbers of registrations and a forecast for the next 4 years. </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New truck - Market size dealer area</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number of registrations of new trucks in the segment between 6 and 15 tons GVW and above 15 tons GVW. Please contact the Central Marketing of DAF Trucks NV for the actual numbers of registrations and a forecast for the next 4 years. </a:t>
          </a:r>
          <a:endParaRPr lang="nl-NL" sz="1000" b="1" i="0" u="sng" strike="noStrike" baseline="0">
            <a:solidFill>
              <a:srgbClr val="000000"/>
            </a:solidFill>
            <a:latin typeface="Trebuchet MS"/>
          </a:endParaRPr>
        </a:p>
        <a:p>
          <a:pPr algn="l" rtl="0">
            <a:defRPr sz="1000"/>
          </a:pPr>
          <a:endParaRPr lang="nl-NL" sz="1000" b="1" i="0" u="sng"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Running parc DAF - dealer area</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year before basic year is automatically filled in.</a:t>
          </a:r>
        </a:p>
        <a:p>
          <a:pPr algn="l" rtl="0">
            <a:defRPr sz="1000"/>
          </a:pPr>
          <a:r>
            <a:rPr lang="nl-NL" sz="800" b="0" i="0" u="none" strike="noStrike" baseline="0">
              <a:solidFill>
                <a:srgbClr val="000000"/>
              </a:solidFill>
              <a:latin typeface="Trebuchet MS"/>
            </a:rPr>
            <a:t>The DAF parc is needed to calculate the potential DAF parts consumption and potential DAF workshop hour’s consumption later on in the financial part of the business plan. Based on the number per series and the age of the vehicles in the basic year the potential consumption can be calculated.</a:t>
          </a:r>
        </a:p>
        <a:p>
          <a:pPr algn="l" rtl="0">
            <a:defRPr sz="1000"/>
          </a:pPr>
          <a:r>
            <a:rPr lang="nl-NL" sz="800" b="0" i="0" u="none" strike="noStrike" baseline="0">
              <a:solidFill>
                <a:srgbClr val="000000"/>
              </a:solidFill>
              <a:latin typeface="Trebuchet MS"/>
            </a:rPr>
            <a:t>If the exact split over series and/or the age of the vehicles is not known, estimate as accurate as possible. Dealer Development Eindhoven can assist in obtaining this information.</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Used truck sales dealer</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number of used trucks sales in the segment between 6 and 15 tons GVW and above 15 tons GVW for the dealership location. If a split up is not possible then indicate the total number of used truck sales per year. Forecast should be filled in if figures are available or a reliable estimation can be given.</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Trailer sales dealer</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history and forecast the number of registrations of trailers for your dealership location.</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6</a:t>
          </a:r>
          <a:r>
            <a:rPr lang="nl-NL" sz="800" b="1" i="0" u="none" strike="noStrike" baseline="0">
              <a:solidFill>
                <a:srgbClr val="000000"/>
              </a:solidFill>
              <a:latin typeface="Trebuchet MS"/>
            </a:rPr>
            <a:t>. Vehicle Parc Stand Still</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percentage of the estimated standstill of the vehicle parc in the dealer area.</a:t>
          </a:r>
        </a:p>
        <a:p>
          <a:pPr algn="l" rtl="0">
            <a:defRPr sz="1000"/>
          </a:pP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endParaRPr lang="nl-NL"/>
        </a:p>
      </xdr:txBody>
    </xdr:sp>
    <xdr:clientData/>
  </xdr:twoCellAnchor>
  <mc:AlternateContent xmlns:mc="http://schemas.openxmlformats.org/markup-compatibility/2006">
    <mc:Choice xmlns:a14="http://schemas.microsoft.com/office/drawing/2010/main" Requires="a14">
      <xdr:twoCellAnchor>
        <xdr:from>
          <xdr:col>7</xdr:col>
          <xdr:colOff>91440</xdr:colOff>
          <xdr:row>8</xdr:row>
          <xdr:rowOff>91440</xdr:rowOff>
        </xdr:from>
        <xdr:to>
          <xdr:col>7</xdr:col>
          <xdr:colOff>358140</xdr:colOff>
          <xdr:row>8</xdr:row>
          <xdr:rowOff>91440</xdr:rowOff>
        </xdr:to>
        <xdr:sp macro="" textlink="">
          <xdr:nvSpPr>
            <xdr:cNvPr id="101377" name="Button 1" hidden="1">
              <a:extLst>
                <a:ext uri="{63B3BB69-23CF-44E3-9099-C40C66FF867C}">
                  <a14:compatExt spid="_x0000_s101377"/>
                </a:ext>
                <a:ext uri="{FF2B5EF4-FFF2-40B4-BE49-F238E27FC236}">
                  <a16:creationId xmlns:a16="http://schemas.microsoft.com/office/drawing/2014/main" xmlns="" id="{00000000-0008-0000-0F00-0000018C01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fr-FR" sz="1400" b="1" i="0" u="none" strike="noStrike" baseline="0">
                  <a:solidFill>
                    <a:srgbClr val="000000"/>
                  </a:solidFill>
                  <a:latin typeface="Trebuchet MS"/>
                </a:rPr>
                <a:t>Continue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91440</xdr:colOff>
          <xdr:row>15</xdr:row>
          <xdr:rowOff>167640</xdr:rowOff>
        </xdr:from>
        <xdr:to>
          <xdr:col>7</xdr:col>
          <xdr:colOff>358140</xdr:colOff>
          <xdr:row>15</xdr:row>
          <xdr:rowOff>167640</xdr:rowOff>
        </xdr:to>
        <xdr:sp macro="" textlink="">
          <xdr:nvSpPr>
            <xdr:cNvPr id="101384" name="Button 8" hidden="1">
              <a:extLst>
                <a:ext uri="{63B3BB69-23CF-44E3-9099-C40C66FF867C}">
                  <a14:compatExt spid="_x0000_s101384"/>
                </a:ext>
                <a:ext uri="{FF2B5EF4-FFF2-40B4-BE49-F238E27FC236}">
                  <a16:creationId xmlns:a16="http://schemas.microsoft.com/office/drawing/2014/main" xmlns="" id="{00000000-0008-0000-0F00-0000088C01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fr-FR" sz="1400" b="1" i="0" u="none" strike="noStrike" baseline="0">
                  <a:solidFill>
                    <a:srgbClr val="000000"/>
                  </a:solidFill>
                  <a:latin typeface="Trebuchet MS"/>
                </a:rPr>
                <a:t>Continue</a:t>
              </a:r>
            </a:p>
          </xdr:txBody>
        </xdr:sp>
        <xdr:clientData fPrintsWithSheet="0"/>
      </xdr:twoCellAnchor>
    </mc:Choice>
    <mc:Fallback/>
  </mc:AlternateContent>
  <xdr:twoCellAnchor editAs="oneCell">
    <xdr:from>
      <xdr:col>4</xdr:col>
      <xdr:colOff>1066800</xdr:colOff>
      <xdr:row>1</xdr:row>
      <xdr:rowOff>50800</xdr:rowOff>
    </xdr:from>
    <xdr:to>
      <xdr:col>5</xdr:col>
      <xdr:colOff>101600</xdr:colOff>
      <xdr:row>1</xdr:row>
      <xdr:rowOff>254000</xdr:rowOff>
    </xdr:to>
    <xdr:pic>
      <xdr:nvPicPr>
        <xdr:cNvPr id="101389" name="CommandButton1">
          <a:extLst>
            <a:ext uri="{FF2B5EF4-FFF2-40B4-BE49-F238E27FC236}">
              <a16:creationId xmlns:a16="http://schemas.microsoft.com/office/drawing/2014/main" xmlns="" id="{00000000-0008-0000-0F00-00000D8C01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4700" y="215900"/>
          <a:ext cx="101600" cy="203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10</xdr:row>
      <xdr:rowOff>57150</xdr:rowOff>
    </xdr:from>
    <xdr:to>
      <xdr:col>11</xdr:col>
      <xdr:colOff>0</xdr:colOff>
      <xdr:row>30</xdr:row>
      <xdr:rowOff>57150</xdr:rowOff>
    </xdr:to>
    <xdr:graphicFrame macro="">
      <xdr:nvGraphicFramePr>
        <xdr:cNvPr id="4208" name="Chart 1">
          <a:extLst>
            <a:ext uri="{FF2B5EF4-FFF2-40B4-BE49-F238E27FC236}">
              <a16:creationId xmlns:a16="http://schemas.microsoft.com/office/drawing/2014/main" xmlns="" id="{00000000-0008-0000-1000-000070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9524</xdr:rowOff>
    </xdr:from>
    <xdr:to>
      <xdr:col>10</xdr:col>
      <xdr:colOff>876300</xdr:colOff>
      <xdr:row>41</xdr:row>
      <xdr:rowOff>9525</xdr:rowOff>
    </xdr:to>
    <xdr:sp macro="" textlink="" fLocksText="0">
      <xdr:nvSpPr>
        <xdr:cNvPr id="4114" name="Rectangle 13">
          <a:extLst>
            <a:ext uri="{FF2B5EF4-FFF2-40B4-BE49-F238E27FC236}">
              <a16:creationId xmlns:a16="http://schemas.microsoft.com/office/drawing/2014/main" xmlns="" id="{00000000-0008-0000-1000-000012100000}"/>
            </a:ext>
          </a:extLst>
        </xdr:cNvPr>
        <xdr:cNvSpPr>
          <a:spLocks noChangeArrowheads="1"/>
        </xdr:cNvSpPr>
      </xdr:nvSpPr>
      <xdr:spPr bwMode="auto">
        <a:xfrm>
          <a:off x="9525" y="5391149"/>
          <a:ext cx="8896350" cy="1457326"/>
        </a:xfrm>
        <a:prstGeom prst="rect">
          <a:avLst/>
        </a:prstGeom>
        <a:solidFill>
          <a:srgbClr val="FFFFC0"/>
        </a:solidFill>
        <a:ln w="9525" algn="ctr">
          <a:solidFill>
            <a:srgbClr val="000000"/>
          </a:solidFill>
          <a:miter lim="800000"/>
          <a:headEnd/>
          <a:tailEnd/>
        </a:ln>
      </xdr:spPr>
      <xdr:txBody>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GB">
              <a:solidFill>
                <a:schemeClr val="tx1"/>
              </a:solidFill>
            </a:rPr>
            <a:t>Total</a:t>
          </a:r>
          <a:r>
            <a:rPr lang="en-GB" baseline="0">
              <a:solidFill>
                <a:schemeClr val="tx1"/>
              </a:solidFill>
            </a:rPr>
            <a:t> market grew by 34% from 2016 to 2017. Sales went up to 2592 in 2017 from 1932 in 2016 mainly due to economic recovery (GDP growth of 2%, launching of large infrastructure projects, rebound of the tourism sector and great performance from agricultural sector...). 6-15 ton grew by 35% (from 607 units in 2016 to 820 units in 2017) and over 15 ton grew by 34% (1325 units in 2016 to 1772 units in 2017). However, we forecast a sales volume of 1500 vehicles in 2018, a decrease of 42% from 2017, 6-15 ton dropped by 27% (from 820 units in 2017 to 600 units in 2018) and over 15 ton dropped by 49% (from 1772 trucks in 2017 to 900 trucks in 2018). As a matter of fact, a sharp decrease occured at the end of the third quarter (August 2018 sales compared to August 2017 sales dropped by 81%) and the beginning of the fourth quarter (September 2018 sales compared to September 2017 sales dropped by 78%) as a result of credits resctrictions from banks and leasing companies and the depreciation of the Dinar. In 2019, we forecast sales volume of 1150 vehicles, a decrease of 23% from 2018, 6-15 ton drop by 30% (from 600 units in 2018 to 420 units in 2019) and over 15 ton drop by 19% (from 900 trucks in 2018 to 730 trucks in 2019). Indeed, it will be election year (presidential and legislative), credit restrictions from banks and leasing companies and the depreciation of the Dinar will continue to impact sales volume negatively. By 2020, we forecast a sales volume of 1410 trucks, an increase of 23% from 2019. This rebound is a result of the new government, political and economic program implementantions. By 2023, sales volume will come back to 2017 volumes.</a:t>
          </a:r>
          <a:endParaRPr lang="en-GB">
            <a:solidFill>
              <a:schemeClr val="tx1"/>
            </a:solidFill>
          </a:endParaRPr>
        </a:p>
      </xdr:txBody>
    </xdr:sp>
    <xdr:clientData/>
  </xdr:twoCellAnchor>
  <xdr:twoCellAnchor>
    <xdr:from>
      <xdr:col>0</xdr:col>
      <xdr:colOff>0</xdr:colOff>
      <xdr:row>41</xdr:row>
      <xdr:rowOff>152399</xdr:rowOff>
    </xdr:from>
    <xdr:to>
      <xdr:col>10</xdr:col>
      <xdr:colOff>876300</xdr:colOff>
      <xdr:row>48</xdr:row>
      <xdr:rowOff>152399</xdr:rowOff>
    </xdr:to>
    <xdr:sp macro="" textlink="" fLocksText="0">
      <xdr:nvSpPr>
        <xdr:cNvPr id="4115" name="Rectangle 14">
          <a:extLst>
            <a:ext uri="{FF2B5EF4-FFF2-40B4-BE49-F238E27FC236}">
              <a16:creationId xmlns:a16="http://schemas.microsoft.com/office/drawing/2014/main" xmlns="" id="{00000000-0008-0000-1000-000013100000}"/>
            </a:ext>
          </a:extLst>
        </xdr:cNvPr>
        <xdr:cNvSpPr>
          <a:spLocks noChangeArrowheads="1"/>
        </xdr:cNvSpPr>
      </xdr:nvSpPr>
      <xdr:spPr bwMode="auto">
        <a:xfrm>
          <a:off x="0" y="6991349"/>
          <a:ext cx="8905875" cy="1133475"/>
        </a:xfrm>
        <a:prstGeom prst="rect">
          <a:avLst/>
        </a:prstGeom>
        <a:solidFill>
          <a:srgbClr val="FFFFC0"/>
        </a:solidFill>
        <a:ln w="9525" algn="ctr">
          <a:solidFill>
            <a:srgbClr val="000000"/>
          </a:solidFill>
          <a:miter lim="800000"/>
          <a:headEnd/>
          <a:tailEnd/>
        </a:ln>
      </xdr:spPr>
      <xdr:txBody>
        <a:bodyPr/>
        <a:lstStyle/>
        <a:p>
          <a:r>
            <a:rPr lang="en-GB">
              <a:solidFill>
                <a:sysClr val="windowText" lastClr="000000"/>
              </a:solidFill>
            </a:rPr>
            <a:t>Due to overall economic recovery </a:t>
          </a:r>
          <a:r>
            <a:rPr lang="en-GB" baseline="0">
              <a:solidFill>
                <a:sysClr val="windowText" lastClr="000000"/>
              </a:solidFill>
            </a:rPr>
            <a:t>starting by 2020</a:t>
          </a:r>
          <a:r>
            <a:rPr lang="en-GB">
              <a:solidFill>
                <a:sysClr val="windowText" lastClr="000000"/>
              </a:solidFill>
            </a:rPr>
            <a:t>, we</a:t>
          </a:r>
          <a:r>
            <a:rPr lang="en-GB" baseline="0">
              <a:solidFill>
                <a:sysClr val="windowText" lastClr="000000"/>
              </a:solidFill>
            </a:rPr>
            <a:t> expect new truck market sales growth of 9% for the 4X2T segment and 10% for the 8X4R. </a:t>
          </a:r>
          <a:endParaRPr lang="en-GB">
            <a:solidFill>
              <a:sysClr val="windowText" lastClr="000000"/>
            </a:solidFill>
          </a:endParaRPr>
        </a:p>
      </xdr:txBody>
    </xdr:sp>
    <xdr:clientData/>
  </xdr:twoCellAnchor>
  <xdr:twoCellAnchor>
    <xdr:from>
      <xdr:col>0</xdr:col>
      <xdr:colOff>19050</xdr:colOff>
      <xdr:row>50</xdr:row>
      <xdr:rowOff>0</xdr:rowOff>
    </xdr:from>
    <xdr:to>
      <xdr:col>11</xdr:col>
      <xdr:colOff>0</xdr:colOff>
      <xdr:row>55</xdr:row>
      <xdr:rowOff>152400</xdr:rowOff>
    </xdr:to>
    <xdr:sp macro="" textlink="" fLocksText="0">
      <xdr:nvSpPr>
        <xdr:cNvPr id="4116" name="Rectangle 15">
          <a:extLst>
            <a:ext uri="{FF2B5EF4-FFF2-40B4-BE49-F238E27FC236}">
              <a16:creationId xmlns:a16="http://schemas.microsoft.com/office/drawing/2014/main" xmlns="" id="{00000000-0008-0000-1000-000014100000}"/>
            </a:ext>
          </a:extLst>
        </xdr:cNvPr>
        <xdr:cNvSpPr>
          <a:spLocks noChangeArrowheads="1"/>
        </xdr:cNvSpPr>
      </xdr:nvSpPr>
      <xdr:spPr bwMode="auto">
        <a:xfrm>
          <a:off x="19050" y="8296275"/>
          <a:ext cx="8896350" cy="962025"/>
        </a:xfrm>
        <a:prstGeom prst="rect">
          <a:avLst/>
        </a:prstGeom>
        <a:solidFill>
          <a:srgbClr val="FFFFC0"/>
        </a:solidFill>
        <a:ln w="9525" algn="ctr">
          <a:solidFill>
            <a:srgbClr val="000000"/>
          </a:solidFill>
          <a:miter lim="800000"/>
          <a:headEnd/>
          <a:tailEnd/>
        </a:ln>
      </xdr:spPr>
      <xdr:txBody>
        <a:bodyPr/>
        <a:lstStyle/>
        <a:p>
          <a:r>
            <a:rPr lang="en-GB"/>
            <a:t>2019 will be election year</a:t>
          </a:r>
          <a:r>
            <a:rPr lang="en-GB" baseline="0"/>
            <a:t> impacting negatively the sales. </a:t>
          </a:r>
          <a:endParaRPr lang="en-GB"/>
        </a:p>
        <a:p>
          <a:r>
            <a:rPr lang="en-GB"/>
            <a:t>Leading european brands operating</a:t>
          </a:r>
          <a:r>
            <a:rPr lang="en-GB" baseline="0"/>
            <a:t> with a long track record and a strong market penetration                                                                                                                                                  </a:t>
          </a:r>
          <a:r>
            <a:rPr lang="en-GB" baseline="0">
              <a:solidFill>
                <a:schemeClr val="tx1"/>
              </a:solidFill>
            </a:rPr>
            <a:t>The two leading brands (over 15 ton), Renault (25% MS) and Iveco (22% MS) have a very aggressive pricing policy                                                                                                                                                                     </a:t>
          </a:r>
          <a:r>
            <a:rPr lang="en-GB" baseline="0"/>
            <a:t>Chinese and Korean brands entered the market. </a:t>
          </a:r>
          <a:endParaRPr lang="en-GB"/>
        </a:p>
      </xdr:txBody>
    </xdr:sp>
    <xdr:clientData/>
  </xdr:twoCellAnchor>
  <xdr:twoCellAnchor>
    <xdr:from>
      <xdr:col>2</xdr:col>
      <xdr:colOff>428625</xdr:colOff>
      <xdr:row>9</xdr:row>
      <xdr:rowOff>142875</xdr:rowOff>
    </xdr:from>
    <xdr:to>
      <xdr:col>10</xdr:col>
      <xdr:colOff>600075</xdr:colOff>
      <xdr:row>32</xdr:row>
      <xdr:rowOff>19050</xdr:rowOff>
    </xdr:to>
    <xdr:sp macro="" textlink="">
      <xdr:nvSpPr>
        <xdr:cNvPr id="4112" name="MyHelpTekst" hidden="1">
          <a:extLst>
            <a:ext uri="{FF2B5EF4-FFF2-40B4-BE49-F238E27FC236}">
              <a16:creationId xmlns:a16="http://schemas.microsoft.com/office/drawing/2014/main" xmlns="" id="{00000000-0008-0000-1000-000010100000}"/>
            </a:ext>
          </a:extLst>
        </xdr:cNvPr>
        <xdr:cNvSpPr>
          <a:spLocks noChangeArrowheads="1"/>
        </xdr:cNvSpPr>
      </xdr:nvSpPr>
      <xdr:spPr bwMode="auto">
        <a:xfrm>
          <a:off x="1647825" y="1800225"/>
          <a:ext cx="6981825" cy="360045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5.1.1 New Truck Market – Country</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Total market size country</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number of registrations of new trucks in the segment between 6 and 15 tons GVW and above 15 tons GVW. Please contact your Dealer Developer of DAF Trucks NV for the actual numbers of registrations and a forecast for the next 4 years. The graph will be made automatically.</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Analysis truck market development</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developments in the truck market. This may concern all different kind of aspects like legislation, influence of economic aspects, supplier developments, developments in customer demands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Main opportunities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opportunities the truck market offers for the dealership.</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Main threats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threats which the dealership faces regarding the truck market situation.</a:t>
          </a:r>
        </a:p>
        <a:p>
          <a:pPr algn="l" rtl="0">
            <a:defRPr sz="1000"/>
          </a:pPr>
          <a:endParaRPr lang="nl-NL" sz="800" b="0" i="0" u="none" strike="noStrike" baseline="0">
            <a:solidFill>
              <a:srgbClr val="000000"/>
            </a:solidFill>
            <a:latin typeface="Trebuchet MS"/>
          </a:endParaRPr>
        </a:p>
      </xdr:txBody>
    </xdr:sp>
    <xdr:clientData/>
  </xdr:twoCellAnchor>
  <mc:AlternateContent xmlns:mc="http://schemas.openxmlformats.org/markup-compatibility/2006">
    <mc:Choice xmlns:a14="http://schemas.microsoft.com/office/drawing/2010/main" Requires="a14">
      <xdr:twoCellAnchor editAs="oneCell">
        <xdr:from>
          <xdr:col>7</xdr:col>
          <xdr:colOff>518160</xdr:colOff>
          <xdr:row>10</xdr:row>
          <xdr:rowOff>129540</xdr:rowOff>
        </xdr:from>
        <xdr:to>
          <xdr:col>7</xdr:col>
          <xdr:colOff>518160</xdr:colOff>
          <xdr:row>11</xdr:row>
          <xdr:rowOff>152400</xdr:rowOff>
        </xdr:to>
        <xdr:sp macro="" textlink="">
          <xdr:nvSpPr>
            <xdr:cNvPr id="4100" name="Button 4" hidden="1">
              <a:extLst>
                <a:ext uri="{63B3BB69-23CF-44E3-9099-C40C66FF867C}">
                  <a14:compatExt spid="_x0000_s4100"/>
                </a:ext>
                <a:ext uri="{FF2B5EF4-FFF2-40B4-BE49-F238E27FC236}">
                  <a16:creationId xmlns:a16="http://schemas.microsoft.com/office/drawing/2014/main" xmlns="" id="{00000000-0008-0000-1000-00000410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fr-FR" sz="1400" b="1" i="0" u="none" strike="noStrike" baseline="0">
                  <a:solidFill>
                    <a:srgbClr val="000000"/>
                  </a:solidFill>
                  <a:latin typeface="Trebuchet MS"/>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518160</xdr:colOff>
          <xdr:row>10</xdr:row>
          <xdr:rowOff>129540</xdr:rowOff>
        </xdr:from>
        <xdr:to>
          <xdr:col>7</xdr:col>
          <xdr:colOff>518160</xdr:colOff>
          <xdr:row>11</xdr:row>
          <xdr:rowOff>152400</xdr:rowOff>
        </xdr:to>
        <xdr:sp macro="" textlink="">
          <xdr:nvSpPr>
            <xdr:cNvPr id="4101" name="Button 5" hidden="1">
              <a:extLst>
                <a:ext uri="{63B3BB69-23CF-44E3-9099-C40C66FF867C}">
                  <a14:compatExt spid="_x0000_s4101"/>
                </a:ext>
                <a:ext uri="{FF2B5EF4-FFF2-40B4-BE49-F238E27FC236}">
                  <a16:creationId xmlns:a16="http://schemas.microsoft.com/office/drawing/2014/main" xmlns="" id="{00000000-0008-0000-1000-00000510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fr-FR" sz="1400" b="1" i="0" u="none" strike="noStrike" baseline="0">
                  <a:solidFill>
                    <a:srgbClr val="000000"/>
                  </a:solidFill>
                  <a:latin typeface="Trebuchet MS"/>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518160</xdr:colOff>
          <xdr:row>8</xdr:row>
          <xdr:rowOff>129540</xdr:rowOff>
        </xdr:from>
        <xdr:to>
          <xdr:col>7</xdr:col>
          <xdr:colOff>518160</xdr:colOff>
          <xdr:row>9</xdr:row>
          <xdr:rowOff>152400</xdr:rowOff>
        </xdr:to>
        <xdr:sp macro="" textlink="">
          <xdr:nvSpPr>
            <xdr:cNvPr id="4102" name="Button 6" hidden="1">
              <a:extLst>
                <a:ext uri="{63B3BB69-23CF-44E3-9099-C40C66FF867C}">
                  <a14:compatExt spid="_x0000_s4102"/>
                </a:ext>
                <a:ext uri="{FF2B5EF4-FFF2-40B4-BE49-F238E27FC236}">
                  <a16:creationId xmlns:a16="http://schemas.microsoft.com/office/drawing/2014/main" xmlns="" id="{00000000-0008-0000-1000-00000610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fr-FR" sz="1400" b="1" i="0" u="none" strike="noStrike" baseline="0">
                  <a:solidFill>
                    <a:srgbClr val="000000"/>
                  </a:solidFill>
                  <a:latin typeface="Trebuchet MS"/>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518160</xdr:colOff>
          <xdr:row>35</xdr:row>
          <xdr:rowOff>167640</xdr:rowOff>
        </xdr:from>
        <xdr:to>
          <xdr:col>7</xdr:col>
          <xdr:colOff>518160</xdr:colOff>
          <xdr:row>36</xdr:row>
          <xdr:rowOff>0</xdr:rowOff>
        </xdr:to>
        <xdr:sp macro="" textlink="">
          <xdr:nvSpPr>
            <xdr:cNvPr id="4104" name="Button 8" hidden="1">
              <a:extLst>
                <a:ext uri="{63B3BB69-23CF-44E3-9099-C40C66FF867C}">
                  <a14:compatExt spid="_x0000_s4104"/>
                </a:ext>
                <a:ext uri="{FF2B5EF4-FFF2-40B4-BE49-F238E27FC236}">
                  <a16:creationId xmlns:a16="http://schemas.microsoft.com/office/drawing/2014/main" xmlns="" id="{00000000-0008-0000-1000-00000810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fr-FR" sz="1400" b="1" i="0" u="none" strike="noStrike" baseline="0">
                  <a:solidFill>
                    <a:srgbClr val="000000"/>
                  </a:solidFill>
                  <a:latin typeface="Trebuchet MS"/>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518160</xdr:colOff>
          <xdr:row>35</xdr:row>
          <xdr:rowOff>167640</xdr:rowOff>
        </xdr:from>
        <xdr:to>
          <xdr:col>7</xdr:col>
          <xdr:colOff>518160</xdr:colOff>
          <xdr:row>36</xdr:row>
          <xdr:rowOff>0</xdr:rowOff>
        </xdr:to>
        <xdr:sp macro="" textlink="">
          <xdr:nvSpPr>
            <xdr:cNvPr id="4105" name="Button 9" hidden="1">
              <a:extLst>
                <a:ext uri="{63B3BB69-23CF-44E3-9099-C40C66FF867C}">
                  <a14:compatExt spid="_x0000_s4105"/>
                </a:ext>
                <a:ext uri="{FF2B5EF4-FFF2-40B4-BE49-F238E27FC236}">
                  <a16:creationId xmlns:a16="http://schemas.microsoft.com/office/drawing/2014/main" xmlns="" id="{00000000-0008-0000-1000-00000910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fr-FR" sz="1400" b="1" i="0" u="none" strike="noStrike" baseline="0">
                  <a:solidFill>
                    <a:srgbClr val="000000"/>
                  </a:solidFill>
                  <a:latin typeface="Trebuchet MS"/>
                </a:rPr>
                <a:t>?</a:t>
              </a:r>
            </a:p>
          </xdr:txBody>
        </xdr:sp>
        <xdr:clientData fPrintsWithSheet="0"/>
      </xdr:twoCellAnchor>
    </mc:Choice>
    <mc:Fallback/>
  </mc:AlternateContent>
  <xdr:twoCellAnchor editAs="oneCell">
    <xdr:from>
      <xdr:col>4</xdr:col>
      <xdr:colOff>0</xdr:colOff>
      <xdr:row>0</xdr:row>
      <xdr:rowOff>127000</xdr:rowOff>
    </xdr:from>
    <xdr:to>
      <xdr:col>6</xdr:col>
      <xdr:colOff>2330</xdr:colOff>
      <xdr:row>3</xdr:row>
      <xdr:rowOff>1981</xdr:rowOff>
    </xdr:to>
    <xdr:pic>
      <xdr:nvPicPr>
        <xdr:cNvPr id="4106" name="CommandButton1">
          <a:extLst>
            <a:ext uri="{FF2B5EF4-FFF2-40B4-BE49-F238E27FC236}">
              <a16:creationId xmlns:a16="http://schemas.microsoft.com/office/drawing/2014/main" xmlns="" id="{00000000-0008-0000-1000-00000A1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11500" y="127000"/>
          <a:ext cx="2032000" cy="558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9525</xdr:colOff>
      <xdr:row>31</xdr:row>
      <xdr:rowOff>152400</xdr:rowOff>
    </xdr:from>
    <xdr:to>
      <xdr:col>10</xdr:col>
      <xdr:colOff>1000125</xdr:colOff>
      <xdr:row>40</xdr:row>
      <xdr:rowOff>152400</xdr:rowOff>
    </xdr:to>
    <xdr:sp macro="" textlink="" fLocksText="0">
      <xdr:nvSpPr>
        <xdr:cNvPr id="5133" name="Rectangle 7">
          <a:extLst>
            <a:ext uri="{FF2B5EF4-FFF2-40B4-BE49-F238E27FC236}">
              <a16:creationId xmlns:a16="http://schemas.microsoft.com/office/drawing/2014/main" xmlns="" id="{00000000-0008-0000-1100-00000D140000}"/>
            </a:ext>
          </a:extLst>
        </xdr:cNvPr>
        <xdr:cNvSpPr>
          <a:spLocks noChangeArrowheads="1"/>
        </xdr:cNvSpPr>
      </xdr:nvSpPr>
      <xdr:spPr bwMode="auto">
        <a:xfrm>
          <a:off x="9525" y="5553075"/>
          <a:ext cx="9982200" cy="1457325"/>
        </a:xfrm>
        <a:prstGeom prst="rect">
          <a:avLst/>
        </a:prstGeom>
        <a:solidFill>
          <a:srgbClr val="FFFFC0"/>
        </a:solidFill>
        <a:ln w="9525" algn="ctr">
          <a:solidFill>
            <a:srgbClr val="000000"/>
          </a:solidFill>
          <a:miter lim="800000"/>
          <a:headEnd/>
          <a:tailEnd/>
        </a:ln>
      </xdr:spPr>
      <xdr:txBody>
        <a:bodyPr/>
        <a:lstStyle/>
        <a:p>
          <a:pPr rtl="0" eaLnBrk="1" fontAlgn="auto" latinLnBrk="0" hangingPunct="1"/>
          <a:r>
            <a:rPr lang="en-GB" sz="1100">
              <a:latin typeface="+mn-lt"/>
              <a:ea typeface="+mn-ea"/>
              <a:cs typeface="+mn-cs"/>
            </a:rPr>
            <a:t>Sames as NT market</a:t>
          </a:r>
        </a:p>
      </xdr:txBody>
    </xdr:sp>
    <xdr:clientData/>
  </xdr:twoCellAnchor>
  <xdr:twoCellAnchor>
    <xdr:from>
      <xdr:col>0</xdr:col>
      <xdr:colOff>9525</xdr:colOff>
      <xdr:row>43</xdr:row>
      <xdr:rowOff>0</xdr:rowOff>
    </xdr:from>
    <xdr:to>
      <xdr:col>10</xdr:col>
      <xdr:colOff>1000125</xdr:colOff>
      <xdr:row>49</xdr:row>
      <xdr:rowOff>9525</xdr:rowOff>
    </xdr:to>
    <xdr:sp macro="" textlink="" fLocksText="0">
      <xdr:nvSpPr>
        <xdr:cNvPr id="5134" name="Rectangle 8">
          <a:extLst>
            <a:ext uri="{FF2B5EF4-FFF2-40B4-BE49-F238E27FC236}">
              <a16:creationId xmlns:a16="http://schemas.microsoft.com/office/drawing/2014/main" xmlns="" id="{00000000-0008-0000-1100-00000E140000}"/>
            </a:ext>
          </a:extLst>
        </xdr:cNvPr>
        <xdr:cNvSpPr>
          <a:spLocks noChangeArrowheads="1"/>
        </xdr:cNvSpPr>
      </xdr:nvSpPr>
      <xdr:spPr bwMode="auto">
        <a:xfrm>
          <a:off x="9525" y="7343775"/>
          <a:ext cx="9982200" cy="981075"/>
        </a:xfrm>
        <a:prstGeom prst="rect">
          <a:avLst/>
        </a:prstGeom>
        <a:solidFill>
          <a:srgbClr val="FFFFC0"/>
        </a:solidFill>
        <a:ln w="9525" algn="ctr">
          <a:solidFill>
            <a:srgbClr val="000000"/>
          </a:solidFill>
          <a:miter lim="800000"/>
          <a:headEnd/>
          <a:tailEnd/>
        </a:ln>
      </xdr:spPr>
      <xdr:txBody>
        <a:bodyPr/>
        <a:lstStyle/>
        <a:p>
          <a:r>
            <a:rPr lang="en-GB"/>
            <a:t>Same as NT market </a:t>
          </a:r>
        </a:p>
      </xdr:txBody>
    </xdr:sp>
    <xdr:clientData/>
  </xdr:twoCellAnchor>
  <xdr:twoCellAnchor>
    <xdr:from>
      <xdr:col>0</xdr:col>
      <xdr:colOff>9525</xdr:colOff>
      <xdr:row>51</xdr:row>
      <xdr:rowOff>9525</xdr:rowOff>
    </xdr:from>
    <xdr:to>
      <xdr:col>10</xdr:col>
      <xdr:colOff>1000125</xdr:colOff>
      <xdr:row>56</xdr:row>
      <xdr:rowOff>152400</xdr:rowOff>
    </xdr:to>
    <xdr:sp macro="" textlink="" fLocksText="0">
      <xdr:nvSpPr>
        <xdr:cNvPr id="5135" name="Rectangle 9">
          <a:extLst>
            <a:ext uri="{FF2B5EF4-FFF2-40B4-BE49-F238E27FC236}">
              <a16:creationId xmlns:a16="http://schemas.microsoft.com/office/drawing/2014/main" xmlns="" id="{00000000-0008-0000-1100-00000F140000}"/>
            </a:ext>
          </a:extLst>
        </xdr:cNvPr>
        <xdr:cNvSpPr>
          <a:spLocks noChangeArrowheads="1"/>
        </xdr:cNvSpPr>
      </xdr:nvSpPr>
      <xdr:spPr bwMode="auto">
        <a:xfrm>
          <a:off x="9525" y="8648700"/>
          <a:ext cx="9982200" cy="952500"/>
        </a:xfrm>
        <a:prstGeom prst="rect">
          <a:avLst/>
        </a:prstGeom>
        <a:solidFill>
          <a:srgbClr val="FFFFC0"/>
        </a:solidFill>
        <a:ln w="9525" algn="ctr">
          <a:solidFill>
            <a:srgbClr val="000000"/>
          </a:solidFill>
          <a:miter lim="800000"/>
          <a:headEnd/>
          <a:tailEnd/>
        </a:ln>
      </xdr:spPr>
      <xdr:txBody>
        <a:bodyPr/>
        <a:lstStyle/>
        <a:p>
          <a:r>
            <a:rPr lang="en-GB" sz="1100">
              <a:latin typeface="+mn-lt"/>
              <a:ea typeface="+mn-ea"/>
              <a:cs typeface="+mn-cs"/>
            </a:rPr>
            <a:t>Same as NT market </a:t>
          </a:r>
        </a:p>
      </xdr:txBody>
    </xdr:sp>
    <xdr:clientData/>
  </xdr:twoCellAnchor>
  <xdr:twoCellAnchor>
    <xdr:from>
      <xdr:col>0</xdr:col>
      <xdr:colOff>0</xdr:colOff>
      <xdr:row>10</xdr:row>
      <xdr:rowOff>28575</xdr:rowOff>
    </xdr:from>
    <xdr:to>
      <xdr:col>11</xdr:col>
      <xdr:colOff>0</xdr:colOff>
      <xdr:row>30</xdr:row>
      <xdr:rowOff>133350</xdr:rowOff>
    </xdr:to>
    <xdr:graphicFrame macro="">
      <xdr:nvGraphicFramePr>
        <xdr:cNvPr id="5231" name="Chart 11">
          <a:extLst>
            <a:ext uri="{FF2B5EF4-FFF2-40B4-BE49-F238E27FC236}">
              <a16:creationId xmlns:a16="http://schemas.microsoft.com/office/drawing/2014/main" xmlns="" id="{00000000-0008-0000-1100-00006F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962025</xdr:colOff>
      <xdr:row>9</xdr:row>
      <xdr:rowOff>9525</xdr:rowOff>
    </xdr:from>
    <xdr:to>
      <xdr:col>11</xdr:col>
      <xdr:colOff>114300</xdr:colOff>
      <xdr:row>26</xdr:row>
      <xdr:rowOff>76200</xdr:rowOff>
    </xdr:to>
    <xdr:sp macro="" textlink="">
      <xdr:nvSpPr>
        <xdr:cNvPr id="5130" name="MyHelpTekst" hidden="1">
          <a:extLst>
            <a:ext uri="{FF2B5EF4-FFF2-40B4-BE49-F238E27FC236}">
              <a16:creationId xmlns:a16="http://schemas.microsoft.com/office/drawing/2014/main" xmlns="" id="{00000000-0008-0000-1100-00000A140000}"/>
            </a:ext>
          </a:extLst>
        </xdr:cNvPr>
        <xdr:cNvSpPr>
          <a:spLocks noChangeArrowheads="1"/>
        </xdr:cNvSpPr>
      </xdr:nvSpPr>
      <xdr:spPr bwMode="auto">
        <a:xfrm>
          <a:off x="2828925" y="1781175"/>
          <a:ext cx="7229475" cy="281940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1. Total market size dealer area</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number of registrations of new trucks in the segment between 6 and 15 tons GVW and above 15 tons GVW. Please contact the Central Marketing of DAF Trucks NV for the actual numbers of registrations and a forecast for the next 4 years. The graph will be made automatically.</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Analysis truck market development</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developments in the truck market. This may concern all different kind of aspects like legislation, influence of economic aspects, supplier developments, developments in customer demands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Main opportunities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opportunities the truck market offers for the dealership.</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Main threats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threats which the dealership faces regarding the truck market situation.</a:t>
          </a:r>
          <a:endParaRPr lang="nl-NL" sz="1000" b="0" i="0" u="none" strike="noStrike" baseline="0">
            <a:solidFill>
              <a:srgbClr val="000000"/>
            </a:solidFill>
            <a:latin typeface="Trebuchet MS"/>
          </a:endParaRPr>
        </a:p>
        <a:p>
          <a:pPr algn="l" rtl="0">
            <a:defRPr sz="1000"/>
          </a:pPr>
          <a:endParaRPr lang="nl-NL" sz="1000" b="0" i="0" u="none" strike="noStrike" baseline="0">
            <a:solidFill>
              <a:srgbClr val="000000"/>
            </a:solidFill>
            <a:latin typeface="Trebuchet MS"/>
          </a:endParaRPr>
        </a:p>
        <a:p>
          <a:pPr algn="l" rtl="0">
            <a:defRPr sz="1000"/>
          </a:pPr>
          <a:endParaRPr lang="nl-NL" sz="1000" b="0" i="0" u="none" strike="noStrike" baseline="0">
            <a:solidFill>
              <a:srgbClr val="000000"/>
            </a:solidFill>
            <a:latin typeface="Trebuchet MS"/>
          </a:endParaRPr>
        </a:p>
      </xdr:txBody>
    </xdr:sp>
    <xdr:clientData/>
  </xdr:twoCellAnchor>
  <xdr:twoCellAnchor editAs="oneCell">
    <xdr:from>
      <xdr:col>5</xdr:col>
      <xdr:colOff>0</xdr:colOff>
      <xdr:row>0</xdr:row>
      <xdr:rowOff>76200</xdr:rowOff>
    </xdr:from>
    <xdr:to>
      <xdr:col>6</xdr:col>
      <xdr:colOff>1143000</xdr:colOff>
      <xdr:row>2</xdr:row>
      <xdr:rowOff>101600</xdr:rowOff>
    </xdr:to>
    <xdr:pic>
      <xdr:nvPicPr>
        <xdr:cNvPr id="5124" name="CommandButton1">
          <a:extLst>
            <a:ext uri="{FF2B5EF4-FFF2-40B4-BE49-F238E27FC236}">
              <a16:creationId xmlns:a16="http://schemas.microsoft.com/office/drawing/2014/main" xmlns="" id="{00000000-0008-0000-1100-000004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8500" y="76200"/>
          <a:ext cx="2298700" cy="546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10</xdr:row>
      <xdr:rowOff>47625</xdr:rowOff>
    </xdr:from>
    <xdr:to>
      <xdr:col>10</xdr:col>
      <xdr:colOff>904875</xdr:colOff>
      <xdr:row>25</xdr:row>
      <xdr:rowOff>66675</xdr:rowOff>
    </xdr:to>
    <xdr:graphicFrame macro="">
      <xdr:nvGraphicFramePr>
        <xdr:cNvPr id="6249" name="Chart 1">
          <a:extLst>
            <a:ext uri="{FF2B5EF4-FFF2-40B4-BE49-F238E27FC236}">
              <a16:creationId xmlns:a16="http://schemas.microsoft.com/office/drawing/2014/main" xmlns="" id="{00000000-0008-0000-1200-000069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11</xdr:col>
      <xdr:colOff>0</xdr:colOff>
      <xdr:row>39</xdr:row>
      <xdr:rowOff>0</xdr:rowOff>
    </xdr:to>
    <xdr:sp macro="" textlink="" fLocksText="0">
      <xdr:nvSpPr>
        <xdr:cNvPr id="6155" name="Rectangle 4">
          <a:extLst>
            <a:ext uri="{FF2B5EF4-FFF2-40B4-BE49-F238E27FC236}">
              <a16:creationId xmlns:a16="http://schemas.microsoft.com/office/drawing/2014/main" xmlns="" id="{00000000-0008-0000-1200-00000B180000}"/>
            </a:ext>
          </a:extLst>
        </xdr:cNvPr>
        <xdr:cNvSpPr>
          <a:spLocks noChangeArrowheads="1"/>
        </xdr:cNvSpPr>
      </xdr:nvSpPr>
      <xdr:spPr bwMode="auto">
        <a:xfrm>
          <a:off x="0" y="5562600"/>
          <a:ext cx="10820400" cy="2400300"/>
        </a:xfrm>
        <a:prstGeom prst="rect">
          <a:avLst/>
        </a:prstGeom>
        <a:solidFill>
          <a:srgbClr val="FFFFC0"/>
        </a:solidFill>
        <a:ln w="9525" algn="ctr">
          <a:solidFill>
            <a:srgbClr val="000000"/>
          </a:solidFill>
          <a:miter lim="800000"/>
          <a:headEnd/>
          <a:tailEnd/>
        </a:ln>
      </xdr:spPr>
      <xdr:txBody>
        <a:bodyPr/>
        <a:lstStyle/>
        <a:p>
          <a:r>
            <a:rPr lang="fr-FR"/>
            <a:t>N/A</a:t>
          </a:r>
        </a:p>
      </xdr:txBody>
    </xdr:sp>
    <xdr:clientData/>
  </xdr:twoCellAnchor>
  <xdr:twoCellAnchor>
    <xdr:from>
      <xdr:col>0</xdr:col>
      <xdr:colOff>19050</xdr:colOff>
      <xdr:row>41</xdr:row>
      <xdr:rowOff>0</xdr:rowOff>
    </xdr:from>
    <xdr:to>
      <xdr:col>11</xdr:col>
      <xdr:colOff>0</xdr:colOff>
      <xdr:row>46</xdr:row>
      <xdr:rowOff>152400</xdr:rowOff>
    </xdr:to>
    <xdr:sp macro="" textlink="" fLocksText="0">
      <xdr:nvSpPr>
        <xdr:cNvPr id="6156" name="Rectangle 5">
          <a:extLst>
            <a:ext uri="{FF2B5EF4-FFF2-40B4-BE49-F238E27FC236}">
              <a16:creationId xmlns:a16="http://schemas.microsoft.com/office/drawing/2014/main" xmlns="" id="{00000000-0008-0000-1200-00000C180000}"/>
            </a:ext>
          </a:extLst>
        </xdr:cNvPr>
        <xdr:cNvSpPr>
          <a:spLocks noChangeArrowheads="1"/>
        </xdr:cNvSpPr>
      </xdr:nvSpPr>
      <xdr:spPr bwMode="auto">
        <a:xfrm>
          <a:off x="19050" y="8362950"/>
          <a:ext cx="10801350" cy="1152525"/>
        </a:xfrm>
        <a:prstGeom prst="rect">
          <a:avLst/>
        </a:prstGeom>
        <a:solidFill>
          <a:srgbClr val="FFFFC0"/>
        </a:solidFill>
        <a:ln w="9525" algn="ctr">
          <a:solidFill>
            <a:srgbClr val="000000"/>
          </a:solidFill>
          <a:miter lim="800000"/>
          <a:headEnd/>
          <a:tailEnd/>
        </a:ln>
      </xdr:spPr>
      <xdr:txBody>
        <a:bodyPr/>
        <a:lstStyle/>
        <a:p>
          <a:r>
            <a:rPr lang="fr-FR"/>
            <a:t>N/A</a:t>
          </a:r>
        </a:p>
      </xdr:txBody>
    </xdr:sp>
    <xdr:clientData/>
  </xdr:twoCellAnchor>
  <xdr:twoCellAnchor>
    <xdr:from>
      <xdr:col>0</xdr:col>
      <xdr:colOff>9525</xdr:colOff>
      <xdr:row>49</xdr:row>
      <xdr:rowOff>9525</xdr:rowOff>
    </xdr:from>
    <xdr:to>
      <xdr:col>11</xdr:col>
      <xdr:colOff>0</xdr:colOff>
      <xdr:row>54</xdr:row>
      <xdr:rowOff>152400</xdr:rowOff>
    </xdr:to>
    <xdr:sp macro="" textlink="" fLocksText="0">
      <xdr:nvSpPr>
        <xdr:cNvPr id="6157" name="Rectangle 7">
          <a:extLst>
            <a:ext uri="{FF2B5EF4-FFF2-40B4-BE49-F238E27FC236}">
              <a16:creationId xmlns:a16="http://schemas.microsoft.com/office/drawing/2014/main" xmlns="" id="{00000000-0008-0000-1200-00000D180000}"/>
            </a:ext>
          </a:extLst>
        </xdr:cNvPr>
        <xdr:cNvSpPr>
          <a:spLocks noChangeArrowheads="1"/>
        </xdr:cNvSpPr>
      </xdr:nvSpPr>
      <xdr:spPr bwMode="auto">
        <a:xfrm>
          <a:off x="9525" y="9972675"/>
          <a:ext cx="10810875" cy="1143000"/>
        </a:xfrm>
        <a:prstGeom prst="rect">
          <a:avLst/>
        </a:prstGeom>
        <a:solidFill>
          <a:srgbClr val="FFFFC0"/>
        </a:solidFill>
        <a:ln w="9525" algn="ctr">
          <a:solidFill>
            <a:srgbClr val="000000"/>
          </a:solidFill>
          <a:miter lim="800000"/>
          <a:headEnd/>
          <a:tailEnd/>
        </a:ln>
      </xdr:spPr>
      <xdr:txBody>
        <a:bodyPr/>
        <a:lstStyle/>
        <a:p>
          <a:r>
            <a:rPr lang="fr-FR" baseline="0"/>
            <a:t>Trade in is not offered for the following reasons: </a:t>
          </a:r>
        </a:p>
        <a:p>
          <a:r>
            <a:rPr lang="fr-FR" baseline="0"/>
            <a:t>Owners tend to keep their trucks for over 10 years </a:t>
          </a:r>
        </a:p>
        <a:p>
          <a:r>
            <a:rPr lang="fr-FR" baseline="0"/>
            <a:t>High mileage </a:t>
          </a:r>
        </a:p>
        <a:p>
          <a:r>
            <a:rPr lang="fr-FR" baseline="0"/>
            <a:t>Low second hand value </a:t>
          </a:r>
        </a:p>
        <a:p>
          <a:r>
            <a:rPr lang="fr-FR" baseline="0"/>
            <a:t>Poor maintenance   </a:t>
          </a:r>
        </a:p>
      </xdr:txBody>
    </xdr:sp>
    <xdr:clientData/>
  </xdr:twoCellAnchor>
  <xdr:twoCellAnchor>
    <xdr:from>
      <xdr:col>3</xdr:col>
      <xdr:colOff>247650</xdr:colOff>
      <xdr:row>10</xdr:row>
      <xdr:rowOff>95250</xdr:rowOff>
    </xdr:from>
    <xdr:to>
      <xdr:col>10</xdr:col>
      <xdr:colOff>904875</xdr:colOff>
      <xdr:row>24</xdr:row>
      <xdr:rowOff>95250</xdr:rowOff>
    </xdr:to>
    <xdr:sp macro="" textlink="">
      <xdr:nvSpPr>
        <xdr:cNvPr id="6158" name="MyHelpTekst" hidden="1">
          <a:extLst>
            <a:ext uri="{FF2B5EF4-FFF2-40B4-BE49-F238E27FC236}">
              <a16:creationId xmlns:a16="http://schemas.microsoft.com/office/drawing/2014/main" xmlns="" id="{00000000-0008-0000-1200-00000E180000}"/>
            </a:ext>
          </a:extLst>
        </xdr:cNvPr>
        <xdr:cNvSpPr>
          <a:spLocks noChangeArrowheads="1"/>
        </xdr:cNvSpPr>
      </xdr:nvSpPr>
      <xdr:spPr bwMode="auto">
        <a:xfrm>
          <a:off x="3219450" y="2257425"/>
          <a:ext cx="7591425" cy="2800350"/>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0" i="0" u="none" strike="noStrike" baseline="0">
              <a:solidFill>
                <a:srgbClr val="000000"/>
              </a:solidFill>
              <a:latin typeface="Trebuchet MS"/>
            </a:rPr>
            <a:t>1. Total used truck market dealer area</a:t>
          </a:r>
        </a:p>
        <a:p>
          <a:pPr algn="l" rtl="0">
            <a:defRPr sz="1000"/>
          </a:pPr>
          <a:r>
            <a:rPr lang="nl-NL" sz="800" b="0" i="0" u="none" strike="noStrike" baseline="0">
              <a:solidFill>
                <a:srgbClr val="000000"/>
              </a:solidFill>
              <a:latin typeface="Trebuchet MS"/>
            </a:rPr>
            <a:t>Fill in the number of used trucks sales in the segment between 6 and 15 tons GVW and above 15 tons GVW. If a split up is not possible then indicate the total number of used truck sales per year. Forecast should be filled in if figures are available or a reliable estimation can be given.</a:t>
          </a:r>
        </a:p>
        <a:p>
          <a:pPr algn="l" rtl="0">
            <a:defRPr sz="1000"/>
          </a:pPr>
          <a:r>
            <a:rPr lang="nl-NL" sz="800" b="0" i="0" u="none" strike="noStrike" baseline="0">
              <a:solidFill>
                <a:srgbClr val="000000"/>
              </a:solidFill>
              <a:latin typeface="Trebuchet MS"/>
            </a:rPr>
            <a:t>The graph will be made automatically</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2. Market competitors and characteristics</a:t>
          </a:r>
        </a:p>
        <a:p>
          <a:pPr algn="l" rtl="0">
            <a:defRPr sz="1000"/>
          </a:pPr>
          <a:r>
            <a:rPr lang="nl-NL" sz="800" b="0" i="0" u="none" strike="noStrike" baseline="0">
              <a:solidFill>
                <a:srgbClr val="000000"/>
              </a:solidFill>
              <a:latin typeface="Trebuchet MS"/>
            </a:rPr>
            <a:t>List the main competitors regarding used truck sales. Describe also the strategy of these competitors.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3. Main opportunities </a:t>
          </a:r>
        </a:p>
        <a:p>
          <a:pPr algn="l" rtl="0">
            <a:defRPr sz="1000"/>
          </a:pPr>
          <a:r>
            <a:rPr lang="nl-NL" sz="800" b="0" i="0" u="none" strike="noStrike" baseline="0">
              <a:solidFill>
                <a:srgbClr val="000000"/>
              </a:solidFill>
              <a:latin typeface="Trebuchet MS"/>
            </a:rPr>
            <a:t>Indicate the main opportunities the used truck market offers for the dealership.</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4. Main threats</a:t>
          </a:r>
        </a:p>
        <a:p>
          <a:pPr algn="l" rtl="0">
            <a:defRPr sz="1000"/>
          </a:pPr>
          <a:r>
            <a:rPr lang="nl-NL" sz="800" b="0" i="0" u="none" strike="noStrike" baseline="0">
              <a:solidFill>
                <a:srgbClr val="000000"/>
              </a:solidFill>
              <a:latin typeface="Trebuchet MS"/>
            </a:rPr>
            <a:t>Indicate the main threats which the dealership faces regarding the used truck market.</a:t>
          </a:r>
        </a:p>
        <a:p>
          <a:pPr algn="l" rtl="0">
            <a:defRPr sz="1000"/>
          </a:pPr>
          <a:endParaRPr lang="nl-NL"/>
        </a:p>
      </xdr:txBody>
    </xdr:sp>
    <xdr:clientData/>
  </xdr:twoCellAnchor>
  <xdr:twoCellAnchor editAs="oneCell">
    <xdr:from>
      <xdr:col>3</xdr:col>
      <xdr:colOff>863600</xdr:colOff>
      <xdr:row>0</xdr:row>
      <xdr:rowOff>127000</xdr:rowOff>
    </xdr:from>
    <xdr:to>
      <xdr:col>5</xdr:col>
      <xdr:colOff>2540</xdr:colOff>
      <xdr:row>2</xdr:row>
      <xdr:rowOff>101600</xdr:rowOff>
    </xdr:to>
    <xdr:pic>
      <xdr:nvPicPr>
        <xdr:cNvPr id="6147" name="CommandButton1">
          <a:extLst>
            <a:ext uri="{FF2B5EF4-FFF2-40B4-BE49-F238E27FC236}">
              <a16:creationId xmlns:a16="http://schemas.microsoft.com/office/drawing/2014/main" xmlns="" id="{00000000-0008-0000-1200-00000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54500" y="127000"/>
          <a:ext cx="1397000" cy="520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22</xdr:row>
      <xdr:rowOff>104775</xdr:rowOff>
    </xdr:from>
    <xdr:to>
      <xdr:col>13</xdr:col>
      <xdr:colOff>0</xdr:colOff>
      <xdr:row>42</xdr:row>
      <xdr:rowOff>28575</xdr:rowOff>
    </xdr:to>
    <xdr:graphicFrame macro="">
      <xdr:nvGraphicFramePr>
        <xdr:cNvPr id="7272" name="Chart 1">
          <a:extLst>
            <a:ext uri="{FF2B5EF4-FFF2-40B4-BE49-F238E27FC236}">
              <a16:creationId xmlns:a16="http://schemas.microsoft.com/office/drawing/2014/main" xmlns="" id="{00000000-0008-0000-1300-000068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44</xdr:row>
      <xdr:rowOff>9525</xdr:rowOff>
    </xdr:from>
    <xdr:to>
      <xdr:col>12</xdr:col>
      <xdr:colOff>876300</xdr:colOff>
      <xdr:row>49</xdr:row>
      <xdr:rowOff>0</xdr:rowOff>
    </xdr:to>
    <xdr:sp macro="" textlink="" fLocksText="0">
      <xdr:nvSpPr>
        <xdr:cNvPr id="7178" name="Rectangle 4">
          <a:extLst>
            <a:ext uri="{FF2B5EF4-FFF2-40B4-BE49-F238E27FC236}">
              <a16:creationId xmlns:a16="http://schemas.microsoft.com/office/drawing/2014/main" xmlns="" id="{00000000-0008-0000-1300-00000A1C0000}"/>
            </a:ext>
          </a:extLst>
        </xdr:cNvPr>
        <xdr:cNvSpPr>
          <a:spLocks noChangeArrowheads="1"/>
        </xdr:cNvSpPr>
      </xdr:nvSpPr>
      <xdr:spPr bwMode="auto">
        <a:xfrm>
          <a:off x="9525" y="7791450"/>
          <a:ext cx="11220450" cy="942975"/>
        </a:xfrm>
        <a:prstGeom prst="rect">
          <a:avLst/>
        </a:prstGeom>
        <a:solidFill>
          <a:srgbClr val="FFFFC0"/>
        </a:solidFill>
        <a:ln w="9525" algn="ctr">
          <a:solidFill>
            <a:srgbClr val="000000"/>
          </a:solidFill>
          <a:miter lim="800000"/>
          <a:headEnd/>
          <a:tailEnd/>
        </a:ln>
      </xdr:spPr>
      <xdr:txBody>
        <a:bodyPr/>
        <a:lstStyle/>
        <a:p>
          <a:r>
            <a:rPr lang="fr-FR"/>
            <a:t>Because of past</a:t>
          </a:r>
          <a:r>
            <a:rPr lang="fr-FR" baseline="0"/>
            <a:t> poor sales performance the running vehicule population is not relevant </a:t>
          </a:r>
        </a:p>
        <a:p>
          <a:r>
            <a:rPr lang="fr-FR" baseline="0"/>
            <a:t>TRP will allow us to target customers from competitor makes which have a higher running population </a:t>
          </a:r>
        </a:p>
      </xdr:txBody>
    </xdr:sp>
    <xdr:clientData/>
  </xdr:twoCellAnchor>
  <xdr:twoCellAnchor>
    <xdr:from>
      <xdr:col>0</xdr:col>
      <xdr:colOff>9525</xdr:colOff>
      <xdr:row>51</xdr:row>
      <xdr:rowOff>9525</xdr:rowOff>
    </xdr:from>
    <xdr:to>
      <xdr:col>12</xdr:col>
      <xdr:colOff>876300</xdr:colOff>
      <xdr:row>56</xdr:row>
      <xdr:rowOff>0</xdr:rowOff>
    </xdr:to>
    <xdr:sp macro="" textlink="" fLocksText="0">
      <xdr:nvSpPr>
        <xdr:cNvPr id="7179" name="Rectangle 5">
          <a:extLst>
            <a:ext uri="{FF2B5EF4-FFF2-40B4-BE49-F238E27FC236}">
              <a16:creationId xmlns:a16="http://schemas.microsoft.com/office/drawing/2014/main" xmlns="" id="{00000000-0008-0000-1300-00000B1C0000}"/>
            </a:ext>
          </a:extLst>
        </xdr:cNvPr>
        <xdr:cNvSpPr>
          <a:spLocks noChangeArrowheads="1"/>
        </xdr:cNvSpPr>
      </xdr:nvSpPr>
      <xdr:spPr bwMode="auto">
        <a:xfrm>
          <a:off x="9525" y="9124950"/>
          <a:ext cx="11220450" cy="942975"/>
        </a:xfrm>
        <a:prstGeom prst="rect">
          <a:avLst/>
        </a:prstGeom>
        <a:solidFill>
          <a:srgbClr val="FFFFC0"/>
        </a:solidFill>
        <a:ln w="9525" algn="ctr">
          <a:solidFill>
            <a:srgbClr val="000000"/>
          </a:solidFill>
          <a:miter lim="800000"/>
          <a:headEnd/>
          <a:tailEnd/>
        </a:ln>
      </xdr:spPr>
      <xdr:txBody>
        <a:bodyPr/>
        <a:lstStyle/>
        <a:p>
          <a:r>
            <a:rPr lang="fr-FR" baseline="0"/>
            <a:t>Due to DAF weak running population, over the counter sales will be very low. Therefore Parts salesmen have to be pro-active by prospecting existing DAF clients.</a:t>
          </a:r>
        </a:p>
        <a:p>
          <a:endParaRPr lang="fr-FR" baseline="0"/>
        </a:p>
      </xdr:txBody>
    </xdr:sp>
    <xdr:clientData/>
  </xdr:twoCellAnchor>
  <xdr:twoCellAnchor>
    <xdr:from>
      <xdr:col>0</xdr:col>
      <xdr:colOff>9525</xdr:colOff>
      <xdr:row>58</xdr:row>
      <xdr:rowOff>0</xdr:rowOff>
    </xdr:from>
    <xdr:to>
      <xdr:col>12</xdr:col>
      <xdr:colOff>876300</xdr:colOff>
      <xdr:row>62</xdr:row>
      <xdr:rowOff>152400</xdr:rowOff>
    </xdr:to>
    <xdr:sp macro="" textlink="" fLocksText="0">
      <xdr:nvSpPr>
        <xdr:cNvPr id="7180" name="Rectangle 6">
          <a:extLst>
            <a:ext uri="{FF2B5EF4-FFF2-40B4-BE49-F238E27FC236}">
              <a16:creationId xmlns:a16="http://schemas.microsoft.com/office/drawing/2014/main" xmlns="" id="{00000000-0008-0000-1300-00000C1C0000}"/>
            </a:ext>
          </a:extLst>
        </xdr:cNvPr>
        <xdr:cNvSpPr>
          <a:spLocks noChangeArrowheads="1"/>
        </xdr:cNvSpPr>
      </xdr:nvSpPr>
      <xdr:spPr bwMode="auto">
        <a:xfrm>
          <a:off x="9525" y="10448925"/>
          <a:ext cx="11220450" cy="914400"/>
        </a:xfrm>
        <a:prstGeom prst="rect">
          <a:avLst/>
        </a:prstGeom>
        <a:solidFill>
          <a:srgbClr val="FFFFC0"/>
        </a:solidFill>
        <a:ln w="9525" algn="ctr">
          <a:solidFill>
            <a:srgbClr val="000000"/>
          </a:solidFill>
          <a:miter lim="800000"/>
          <a:headEnd/>
          <a:tailEnd/>
        </a:ln>
      </xdr:spPr>
      <xdr:txBody>
        <a:bodyPr/>
        <a:lstStyle/>
        <a:p>
          <a:r>
            <a:rPr lang="fr-FR"/>
            <a:t>OEM and pirates competiton</a:t>
          </a:r>
        </a:p>
        <a:p>
          <a:r>
            <a:rPr lang="fr-FR"/>
            <a:t>Fleet owners operating in their own workshops</a:t>
          </a:r>
        </a:p>
      </xdr:txBody>
    </xdr:sp>
    <xdr:clientData/>
  </xdr:twoCellAnchor>
  <xdr:twoCellAnchor>
    <xdr:from>
      <xdr:col>5</xdr:col>
      <xdr:colOff>19050</xdr:colOff>
      <xdr:row>3</xdr:row>
      <xdr:rowOff>76200</xdr:rowOff>
    </xdr:from>
    <xdr:to>
      <xdr:col>12</xdr:col>
      <xdr:colOff>542925</xdr:colOff>
      <xdr:row>24</xdr:row>
      <xdr:rowOff>152400</xdr:rowOff>
    </xdr:to>
    <xdr:sp macro="" textlink="">
      <xdr:nvSpPr>
        <xdr:cNvPr id="7175" name="MyHelpTekst" hidden="1">
          <a:extLst>
            <a:ext uri="{FF2B5EF4-FFF2-40B4-BE49-F238E27FC236}">
              <a16:creationId xmlns:a16="http://schemas.microsoft.com/office/drawing/2014/main" xmlns="" id="{00000000-0008-0000-1300-0000071C0000}"/>
            </a:ext>
          </a:extLst>
        </xdr:cNvPr>
        <xdr:cNvSpPr>
          <a:spLocks noChangeArrowheads="1"/>
        </xdr:cNvSpPr>
      </xdr:nvSpPr>
      <xdr:spPr bwMode="auto">
        <a:xfrm>
          <a:off x="4171950" y="762000"/>
          <a:ext cx="6724650" cy="447675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5.3 Running Parc – Dealer Area</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Total running DAF parc in dealer area in year before basic year.</a:t>
          </a:r>
        </a:p>
        <a:p>
          <a:pPr algn="l" rtl="0">
            <a:defRPr sz="1000"/>
          </a:pPr>
          <a:r>
            <a:rPr lang="nl-NL" sz="800" b="1" i="0" u="none" strike="noStrike" baseline="0">
              <a:solidFill>
                <a:srgbClr val="000000"/>
              </a:solidFill>
              <a:latin typeface="Trebuchet MS"/>
            </a:rPr>
            <a:t>The year before basic year is automatically filled in.</a:t>
          </a:r>
        </a:p>
        <a:p>
          <a:pPr algn="l" rtl="0">
            <a:defRPr sz="1000"/>
          </a:pPr>
          <a:r>
            <a:rPr lang="nl-NL" sz="800" b="1" i="0" u="none" strike="noStrike" baseline="0">
              <a:solidFill>
                <a:srgbClr val="000000"/>
              </a:solidFill>
              <a:latin typeface="Trebuchet MS"/>
            </a:rPr>
            <a:t>The DAF parc is needed to calculate the potential DAF parts consumption and potential DAF workshop hour’s consumption later on in the financial part of the business plan. Based on the number per series and the age of the vehicles in the basic year the potential consumption can be calculated.</a:t>
          </a:r>
        </a:p>
        <a:p>
          <a:pPr algn="l" rtl="0">
            <a:defRPr sz="1000"/>
          </a:pPr>
          <a:r>
            <a:rPr lang="nl-NL" sz="800" b="1" i="0" u="none" strike="noStrike" baseline="0">
              <a:solidFill>
                <a:srgbClr val="000000"/>
              </a:solidFill>
              <a:latin typeface="Trebuchet MS"/>
            </a:rPr>
            <a:t>If the exact split over series and/or the age of the vehicles is not known, estimate as accurate as possible. Dealer Development Eindhoven can assist in obtaining this information.</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Parc development dealer area</a:t>
          </a:r>
        </a:p>
        <a:p>
          <a:pPr algn="l" rtl="0">
            <a:defRPr sz="1000"/>
          </a:pPr>
          <a:r>
            <a:rPr lang="nl-NL" sz="800" b="1" i="0" u="none" strike="noStrike" baseline="0">
              <a:solidFill>
                <a:srgbClr val="000000"/>
              </a:solidFill>
              <a:latin typeface="Trebuchet MS"/>
            </a:rPr>
            <a:t>The running parc for DAF vehicles will be filled in if this information is available; otherwise a best estimation helps to indicate the running park in the dealer area.</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Analysis running park development DAF and other makes</a:t>
          </a:r>
        </a:p>
        <a:p>
          <a:pPr algn="l" rtl="0">
            <a:defRPr sz="1000"/>
          </a:pPr>
          <a:r>
            <a:rPr lang="nl-NL" sz="800" b="1" i="0" u="none" strike="noStrike" baseline="0">
              <a:solidFill>
                <a:srgbClr val="000000"/>
              </a:solidFill>
              <a:latin typeface="Trebuchet MS"/>
            </a:rPr>
            <a:t>Analysis should be made based on the present position of DAF compared the other makes and the influence of the sales over the last few years and the forecast for the next few years.</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Main opportunities </a:t>
          </a:r>
        </a:p>
        <a:p>
          <a:pPr algn="l" rtl="0">
            <a:defRPr sz="1000"/>
          </a:pPr>
          <a:r>
            <a:rPr lang="nl-NL" sz="800" b="1" i="0" u="none" strike="noStrike" baseline="0">
              <a:solidFill>
                <a:srgbClr val="000000"/>
              </a:solidFill>
              <a:latin typeface="Trebuchet MS"/>
            </a:rPr>
            <a:t>Indicate the main opportunities the running parc offers for the dealer.</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Main threats</a:t>
          </a:r>
        </a:p>
        <a:p>
          <a:pPr algn="l" rtl="0">
            <a:defRPr sz="1000"/>
          </a:pPr>
          <a:r>
            <a:rPr lang="nl-NL" sz="800" b="1" i="0" u="none" strike="noStrike" baseline="0">
              <a:solidFill>
                <a:srgbClr val="000000"/>
              </a:solidFill>
              <a:latin typeface="Trebuchet MS"/>
            </a:rPr>
            <a:t>Indicate the main threats which the dealer faces regarding the running park.</a:t>
          </a:r>
        </a:p>
        <a:p>
          <a:pPr algn="l" rtl="0">
            <a:defRPr sz="1000"/>
          </a:pPr>
          <a:endParaRPr lang="nl-NL"/>
        </a:p>
      </xdr:txBody>
    </xdr:sp>
    <xdr:clientData/>
  </xdr:twoCellAnchor>
  <xdr:twoCellAnchor editAs="oneCell">
    <xdr:from>
      <xdr:col>4</xdr:col>
      <xdr:colOff>1092200</xdr:colOff>
      <xdr:row>0</xdr:row>
      <xdr:rowOff>177800</xdr:rowOff>
    </xdr:from>
    <xdr:to>
      <xdr:col>5</xdr:col>
      <xdr:colOff>850900</xdr:colOff>
      <xdr:row>2</xdr:row>
      <xdr:rowOff>63500</xdr:rowOff>
    </xdr:to>
    <xdr:pic>
      <xdr:nvPicPr>
        <xdr:cNvPr id="7170" name="CommandButton1">
          <a:extLst>
            <a:ext uri="{FF2B5EF4-FFF2-40B4-BE49-F238E27FC236}">
              <a16:creationId xmlns:a16="http://schemas.microsoft.com/office/drawing/2014/main" xmlns="" id="{00000000-0008-0000-1300-000002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00" y="177800"/>
          <a:ext cx="850900" cy="406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95250</xdr:colOff>
      <xdr:row>3</xdr:row>
      <xdr:rowOff>114300</xdr:rowOff>
    </xdr:from>
    <xdr:to>
      <xdr:col>25</xdr:col>
      <xdr:colOff>180975</xdr:colOff>
      <xdr:row>11</xdr:row>
      <xdr:rowOff>47625</xdr:rowOff>
    </xdr:to>
    <xdr:sp macro="" textlink="">
      <xdr:nvSpPr>
        <xdr:cNvPr id="94210" name="AutoShape 2" hidden="1">
          <a:extLst>
            <a:ext uri="{FF2B5EF4-FFF2-40B4-BE49-F238E27FC236}">
              <a16:creationId xmlns:a16="http://schemas.microsoft.com/office/drawing/2014/main" xmlns="" id="{00000000-0008-0000-0200-000002700100}"/>
            </a:ext>
          </a:extLst>
        </xdr:cNvPr>
        <xdr:cNvSpPr>
          <a:spLocks noChangeArrowheads="1"/>
        </xdr:cNvSpPr>
      </xdr:nvSpPr>
      <xdr:spPr bwMode="auto">
        <a:xfrm>
          <a:off x="7191375" y="866775"/>
          <a:ext cx="3543300" cy="14954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1000" b="0" i="0" u="none" strike="noStrike" baseline="0">
              <a:solidFill>
                <a:srgbClr val="000000"/>
              </a:solidFill>
              <a:latin typeface="Trebuchet MS"/>
            </a:rPr>
            <a:t>For the Calculator to calculate the DAF sales potential for Parts, Workshop Hours and Oil please update the matrix.</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Enter the corrent number of DAF trucks in your region in the corresponding cells; where the years represent the age of the vehicles.</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xdr:txBody>
    </xdr:sp>
    <xdr:clientData/>
  </xdr:twoCellAnchor>
  <xdr:twoCellAnchor>
    <xdr:from>
      <xdr:col>2</xdr:col>
      <xdr:colOff>0</xdr:colOff>
      <xdr:row>4</xdr:row>
      <xdr:rowOff>38100</xdr:rowOff>
    </xdr:from>
    <xdr:to>
      <xdr:col>25</xdr:col>
      <xdr:colOff>333375</xdr:colOff>
      <xdr:row>73</xdr:row>
      <xdr:rowOff>47625</xdr:rowOff>
    </xdr:to>
    <xdr:sp macro="" textlink="">
      <xdr:nvSpPr>
        <xdr:cNvPr id="94216" name="Text Box 8">
          <a:extLst>
            <a:ext uri="{FF2B5EF4-FFF2-40B4-BE49-F238E27FC236}">
              <a16:creationId xmlns:a16="http://schemas.microsoft.com/office/drawing/2014/main" xmlns="" id="{00000000-0008-0000-0200-000008700100}"/>
            </a:ext>
          </a:extLst>
        </xdr:cNvPr>
        <xdr:cNvSpPr txBox="1">
          <a:spLocks noChangeArrowheads="1"/>
        </xdr:cNvSpPr>
      </xdr:nvSpPr>
      <xdr:spPr bwMode="auto">
        <a:xfrm>
          <a:off x="533400" y="1019175"/>
          <a:ext cx="10353675" cy="13134975"/>
        </a:xfrm>
        <a:prstGeom prst="rect">
          <a:avLst/>
        </a:prstGeom>
        <a:solidFill>
          <a:srgbClr val="FFFFC0"/>
        </a:solidFill>
        <a:ln w="9525" algn="ctr">
          <a:solidFill>
            <a:srgbClr val="000000"/>
          </a:solidFill>
          <a:miter lim="800000"/>
          <a:headEnd/>
          <a:tailEnd/>
        </a:ln>
        <a:effectLst/>
      </xdr:spPr>
      <xdr:txBody>
        <a:bodyPr vertOverflow="clip" wrap="square" lIns="27432" tIns="22860" rIns="0" bIns="0" anchor="t" upright="1"/>
        <a:lstStyle/>
        <a:p>
          <a:pPr algn="l" rtl="0">
            <a:defRPr sz="1000"/>
          </a:pPr>
          <a:r>
            <a:rPr lang="nl-NL" sz="1000" b="1" i="0" u="none" strike="noStrike" baseline="0">
              <a:solidFill>
                <a:srgbClr val="000000"/>
              </a:solidFill>
              <a:latin typeface="Arial"/>
              <a:cs typeface="Arial"/>
            </a:rPr>
            <a:t>General</a:t>
          </a: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Each new candidate for a dealership has to follow a standardized process to become a dealer of DAF Trucks NV. For this reason the Dealer Development Department has developed a standard format for business planning. The input asked for is the same for all candidates.</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Why making a business plan?</a:t>
          </a:r>
        </a:p>
        <a:p>
          <a:pPr algn="l" rtl="0">
            <a:defRPr sz="1000"/>
          </a:pPr>
          <a:r>
            <a:rPr lang="nl-NL" sz="1000" b="0" i="0" u="none" strike="noStrike" baseline="0">
              <a:solidFill>
                <a:srgbClr val="000000"/>
              </a:solidFill>
              <a:latin typeface="Arial"/>
              <a:cs typeface="Arial"/>
            </a:rPr>
            <a:t>Business planning is a process not an event. Before effective action can take place you must:</a:t>
          </a:r>
        </a:p>
        <a:p>
          <a:pPr algn="l" rtl="0">
            <a:defRPr sz="1000"/>
          </a:pPr>
          <a:r>
            <a:rPr lang="nl-NL" sz="1000" b="0" i="0" u="none" strike="noStrike" baseline="0">
              <a:solidFill>
                <a:srgbClr val="000000"/>
              </a:solidFill>
              <a:latin typeface="Arial"/>
              <a:cs typeface="Arial"/>
            </a:rPr>
            <a:t>● Establish objectives</a:t>
          </a:r>
        </a:p>
        <a:p>
          <a:pPr algn="l" rtl="0">
            <a:defRPr sz="1000"/>
          </a:pPr>
          <a:r>
            <a:rPr lang="nl-NL" sz="1000" b="0" i="0" u="none" strike="noStrike" baseline="0">
              <a:solidFill>
                <a:srgbClr val="000000"/>
              </a:solidFill>
              <a:latin typeface="Arial"/>
              <a:cs typeface="Arial"/>
            </a:rPr>
            <a:t>● Set standards of performance</a:t>
          </a:r>
        </a:p>
        <a:p>
          <a:pPr algn="l" rtl="0">
            <a:defRPr sz="1000"/>
          </a:pPr>
          <a:r>
            <a:rPr lang="nl-NL" sz="1000" b="0" i="0" u="none" strike="noStrike" baseline="0">
              <a:solidFill>
                <a:srgbClr val="000000"/>
              </a:solidFill>
              <a:latin typeface="Arial"/>
              <a:cs typeface="Arial"/>
            </a:rPr>
            <a:t>● Prepare forecasts – internal as external</a:t>
          </a:r>
        </a:p>
        <a:p>
          <a:pPr algn="l" rtl="0">
            <a:defRPr sz="1000"/>
          </a:pPr>
          <a:r>
            <a:rPr lang="nl-NL" sz="1000" b="0" i="0" u="none" strike="noStrike" baseline="0">
              <a:solidFill>
                <a:srgbClr val="000000"/>
              </a:solidFill>
              <a:latin typeface="Arial"/>
              <a:cs typeface="Arial"/>
            </a:rPr>
            <a:t>● Prepare budgets</a:t>
          </a:r>
        </a:p>
        <a:p>
          <a:pPr algn="l" rtl="0">
            <a:defRPr sz="1000"/>
          </a:pPr>
          <a:r>
            <a:rPr lang="nl-NL" sz="1000" b="0" i="0" u="none" strike="noStrike" baseline="0">
              <a:solidFill>
                <a:srgbClr val="000000"/>
              </a:solidFill>
              <a:latin typeface="Arial"/>
              <a:cs typeface="Arial"/>
            </a:rPr>
            <a:t>● Create policy at executive level </a:t>
          </a:r>
        </a:p>
        <a:p>
          <a:pPr algn="l" rtl="0">
            <a:defRPr sz="1000"/>
          </a:pPr>
          <a:r>
            <a:rPr lang="nl-NL" sz="1000" b="0" i="0" u="none" strike="noStrike" baseline="0">
              <a:solidFill>
                <a:srgbClr val="000000"/>
              </a:solidFill>
              <a:latin typeface="Arial"/>
              <a:cs typeface="Arial"/>
            </a:rPr>
            <a:t>● Establish priorities, concentrating on important tasks, customers, training and issues.</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Planning is a strategic tool. Planning helps identify the opportunities and problems that are likely to develop. It helps you to know how to approach each problem, and how to gain the greatest competitive advantage. And planning is also a medium to improve profitability. </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1" i="0" u="none" strike="noStrike" baseline="0">
              <a:solidFill>
                <a:srgbClr val="000000"/>
              </a:solidFill>
              <a:latin typeface="Arial"/>
              <a:cs typeface="Arial"/>
            </a:rPr>
            <a:t>The business plan:</a:t>
          </a: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 Forecasts the expected sales volumes and the asset investments needed to support them.</a:t>
          </a:r>
        </a:p>
        <a:p>
          <a:pPr algn="l" rtl="0">
            <a:defRPr sz="1000"/>
          </a:pPr>
          <a:r>
            <a:rPr lang="nl-NL" sz="1000" b="0" i="0" u="none" strike="noStrike" baseline="0">
              <a:solidFill>
                <a:srgbClr val="000000"/>
              </a:solidFill>
              <a:latin typeface="Arial"/>
              <a:cs typeface="Arial"/>
            </a:rPr>
            <a:t>● Budgets the expenditures (both capital and operating) for resources allocated to achieve the objectives.</a:t>
          </a:r>
        </a:p>
        <a:p>
          <a:pPr algn="l" rtl="0">
            <a:defRPr sz="1000"/>
          </a:pPr>
          <a:r>
            <a:rPr lang="nl-NL" sz="1000" b="0" i="0" u="none" strike="noStrike" baseline="0">
              <a:solidFill>
                <a:srgbClr val="000000"/>
              </a:solidFill>
              <a:latin typeface="Arial"/>
              <a:cs typeface="Arial"/>
            </a:rPr>
            <a:t>● Projects the funding required to maintain a liquid and flexible cash flow.</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The test of a good plan can be addressed by asking the following questions:</a:t>
          </a:r>
        </a:p>
        <a:p>
          <a:pPr algn="l" rtl="0">
            <a:defRPr sz="1000"/>
          </a:pPr>
          <a:r>
            <a:rPr lang="nl-NL" sz="1000" b="0" i="0" u="none" strike="noStrike" baseline="0">
              <a:solidFill>
                <a:srgbClr val="000000"/>
              </a:solidFill>
              <a:latin typeface="Arial"/>
              <a:cs typeface="Arial"/>
            </a:rPr>
            <a:t>● Are we achieving the desired results/goals?</a:t>
          </a:r>
        </a:p>
        <a:p>
          <a:pPr algn="l" rtl="0">
            <a:defRPr sz="1000"/>
          </a:pPr>
          <a:r>
            <a:rPr lang="nl-NL" sz="1000" b="0" i="0" u="none" strike="noStrike" baseline="0">
              <a:solidFill>
                <a:srgbClr val="000000"/>
              </a:solidFill>
              <a:latin typeface="Arial"/>
              <a:cs typeface="Arial"/>
            </a:rPr>
            <a:t>● Are the forecasted sales/profits and budgeted expense realistic, considering past performance and expected future activities?</a:t>
          </a:r>
        </a:p>
        <a:p>
          <a:pPr algn="l" rtl="0">
            <a:defRPr sz="1000"/>
          </a:pPr>
          <a:r>
            <a:rPr lang="nl-NL" sz="1000" b="0" i="0" u="none" strike="noStrike" baseline="0">
              <a:solidFill>
                <a:srgbClr val="000000"/>
              </a:solidFill>
              <a:latin typeface="Arial"/>
              <a:cs typeface="Arial"/>
            </a:rPr>
            <a:t>● Are inventory predictions reasonable, considering past performance?</a:t>
          </a:r>
        </a:p>
        <a:p>
          <a:pPr algn="l" rtl="0">
            <a:defRPr sz="1000"/>
          </a:pPr>
          <a:r>
            <a:rPr lang="nl-NL" sz="1000" b="0" i="0" u="none" strike="noStrike" baseline="0">
              <a:solidFill>
                <a:srgbClr val="000000"/>
              </a:solidFill>
              <a:latin typeface="Arial"/>
              <a:cs typeface="Arial"/>
            </a:rPr>
            <a:t>● Are we adhering to the standards?</a:t>
          </a:r>
        </a:p>
        <a:p>
          <a:pPr algn="l" rtl="0">
            <a:defRPr sz="1000"/>
          </a:pPr>
          <a:r>
            <a:rPr lang="nl-NL" sz="1000" b="0" i="0" u="none" strike="noStrike" baseline="0">
              <a:solidFill>
                <a:srgbClr val="000000"/>
              </a:solidFill>
              <a:latin typeface="Arial"/>
              <a:cs typeface="Arial"/>
            </a:rPr>
            <a:t>● Can we afford the plan?</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1" i="0" u="none" strike="noStrike" baseline="0">
              <a:solidFill>
                <a:srgbClr val="000000"/>
              </a:solidFill>
              <a:latin typeface="Arial"/>
              <a:cs typeface="Arial"/>
            </a:rPr>
            <a:t>Input</a:t>
          </a: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The user manual (please press "Help"-button) is a tool to guide the user of the business plan format through the program.</a:t>
          </a:r>
        </a:p>
        <a:p>
          <a:pPr algn="l" rtl="0">
            <a:defRPr sz="1000"/>
          </a:pPr>
          <a:r>
            <a:rPr lang="nl-NL" sz="1000" b="0" i="0" u="none" strike="noStrike" baseline="0">
              <a:solidFill>
                <a:srgbClr val="000000"/>
              </a:solidFill>
              <a:latin typeface="Arial"/>
              <a:cs typeface="Arial"/>
            </a:rPr>
            <a:t>For all sheets an explanation is given on how to use it. In case there are still questions you can always contact your dealer development manager.</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The business plan is a simplification of the day-to-day reality of a truck dealership. Therefore, it might be that some aspects are not incurred. However, modules are included to deal with “other activities”, in a more general way. Nonetheless, it is of the utmost importance that the parameters which are filled in the business plan represent all activities.</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While filling in the financial business plan the following general accepted accounting principles are expected to be applied:</a:t>
          </a:r>
        </a:p>
        <a:p>
          <a:pPr algn="l" rtl="0">
            <a:defRPr sz="1000"/>
          </a:pPr>
          <a:r>
            <a:rPr lang="nl-NL" sz="1000" b="0" i="0" u="none" strike="noStrike" baseline="0">
              <a:solidFill>
                <a:srgbClr val="000000"/>
              </a:solidFill>
              <a:latin typeface="Arial"/>
              <a:cs typeface="Arial"/>
            </a:rPr>
            <a:t>• Going Concern Principle (assumed is business to be continued for a long time) </a:t>
          </a:r>
        </a:p>
        <a:p>
          <a:pPr algn="l" rtl="0">
            <a:defRPr sz="1000"/>
          </a:pPr>
          <a:r>
            <a:rPr lang="nl-NL" sz="1000" b="0" i="0" u="none" strike="noStrike" baseline="0">
              <a:solidFill>
                <a:srgbClr val="000000"/>
              </a:solidFill>
              <a:latin typeface="Arial"/>
              <a:cs typeface="Arial"/>
            </a:rPr>
            <a:t>• Consistency Principle (the same accounting methods should be applied from period to period)</a:t>
          </a:r>
        </a:p>
        <a:p>
          <a:pPr algn="l" rtl="0">
            <a:defRPr sz="1000"/>
          </a:pPr>
          <a:r>
            <a:rPr lang="nl-NL" sz="1000" b="0" i="0" u="none" strike="noStrike" baseline="0">
              <a:solidFill>
                <a:srgbClr val="000000"/>
              </a:solidFill>
              <a:latin typeface="Arial"/>
              <a:cs typeface="Arial"/>
            </a:rPr>
            <a:t>• Period Matching (allocate expenses as costs in the same period as revenues are accounted for)</a:t>
          </a:r>
        </a:p>
        <a:p>
          <a:pPr algn="l" rtl="0">
            <a:defRPr sz="1000"/>
          </a:pPr>
          <a:r>
            <a:rPr lang="nl-NL" sz="1000" b="0" i="0" u="none" strike="noStrike" baseline="0">
              <a:solidFill>
                <a:srgbClr val="000000"/>
              </a:solidFill>
              <a:latin typeface="Arial"/>
              <a:cs typeface="Arial"/>
            </a:rPr>
            <a:t>• Realization Principe (report profits only when realized, take losses at the moment they are noted)</a:t>
          </a:r>
        </a:p>
        <a:p>
          <a:pPr algn="l" rtl="0">
            <a:defRPr sz="1000"/>
          </a:pPr>
          <a:r>
            <a:rPr lang="nl-NL" sz="1000" b="0" i="0" u="none" strike="noStrike" baseline="0">
              <a:solidFill>
                <a:srgbClr val="000000"/>
              </a:solidFill>
              <a:latin typeface="Arial"/>
              <a:cs typeface="Arial"/>
            </a:rPr>
            <a:t>• Prudence Principle (assets not to high, liabilities not to low)</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The business plan roughly consists of two parts; first a qualitative analysis and action plan, second the translation into financial figures.</a:t>
          </a:r>
        </a:p>
        <a:p>
          <a:pPr algn="l" rtl="0">
            <a:defRPr sz="1000"/>
          </a:pPr>
          <a:r>
            <a:rPr lang="nl-NL" sz="1000" b="0" i="0" u="none" strike="noStrike" baseline="0">
              <a:solidFill>
                <a:srgbClr val="000000"/>
              </a:solidFill>
              <a:latin typeface="Arial"/>
              <a:cs typeface="Arial"/>
            </a:rPr>
            <a:t>1. The first part can be compared with a checklist with all relevant operations in detail. In this part, the business plan focuses on processes rather than on results. The analysis of the internal organization should make clear what the strengths and weaknesses are of the dealer in order to know how to increase the overall performance and strength of the dealer. The outcome of this SWOT analysis (Strength, Weaknesses, Opportunities and Threats) leads to certain conclusions. Based on these conclusions and the objectives the action plan can be made which is also the basis for the forecast in the financial business plan.</a:t>
          </a:r>
        </a:p>
        <a:p>
          <a:pPr algn="l" rtl="0">
            <a:defRPr sz="1000"/>
          </a:pPr>
          <a:r>
            <a:rPr lang="nl-NL" sz="1000" b="0" i="0" u="none" strike="noStrike" baseline="0">
              <a:solidFill>
                <a:srgbClr val="000000"/>
              </a:solidFill>
              <a:latin typeface="Arial"/>
              <a:cs typeface="Arial"/>
            </a:rPr>
            <a:t>2. The concept of the financial business plan is based on an operational approach. Only the parameters of day-to-day-business have to be filled in. The financial business plan has been developed in such a way that input is reduced to the minimum. All input is analyzed automatically and doesn’t require any further input.  This means however that the reliability and accuracy of the input given has a large impact on the forecasted result of the plan.</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1" i="0" u="none" strike="noStrike" baseline="0">
              <a:solidFill>
                <a:srgbClr val="000000"/>
              </a:solidFill>
              <a:latin typeface="Arial"/>
              <a:cs typeface="Arial"/>
            </a:rPr>
            <a:t>Output</a:t>
          </a: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The output is conceived in such a way that it can be used by all possible parties concerned:</a:t>
          </a:r>
        </a:p>
        <a:p>
          <a:pPr algn="l" rtl="0">
            <a:defRPr sz="1000"/>
          </a:pPr>
          <a:r>
            <a:rPr lang="nl-NL" sz="1000" b="0" i="0" u="none" strike="noStrike" baseline="0">
              <a:solidFill>
                <a:srgbClr val="000000"/>
              </a:solidFill>
              <a:latin typeface="Arial"/>
              <a:cs typeface="Arial"/>
            </a:rPr>
            <a:t>• Management of the dealership</a:t>
          </a:r>
        </a:p>
        <a:p>
          <a:pPr algn="l" rtl="0">
            <a:defRPr sz="1000"/>
          </a:pPr>
          <a:r>
            <a:rPr lang="nl-NL" sz="1000" b="0" i="0" u="none" strike="noStrike" baseline="0">
              <a:solidFill>
                <a:srgbClr val="000000"/>
              </a:solidFill>
              <a:latin typeface="Arial"/>
              <a:cs typeface="Arial"/>
            </a:rPr>
            <a:t>• Potential investors, partners</a:t>
          </a:r>
        </a:p>
        <a:p>
          <a:pPr algn="l" rtl="0">
            <a:defRPr sz="1000"/>
          </a:pPr>
          <a:r>
            <a:rPr lang="nl-NL" sz="1000" b="0" i="0" u="none" strike="noStrike" baseline="0">
              <a:solidFill>
                <a:srgbClr val="000000"/>
              </a:solidFill>
              <a:latin typeface="Arial"/>
              <a:cs typeface="Arial"/>
            </a:rPr>
            <a:t>• Banks, financial institutions</a:t>
          </a:r>
        </a:p>
        <a:p>
          <a:pPr algn="l" rtl="0">
            <a:defRPr sz="1000"/>
          </a:pPr>
          <a:r>
            <a:rPr lang="nl-NL" sz="1000" b="0" i="0" u="none" strike="noStrike" baseline="0">
              <a:solidFill>
                <a:srgbClr val="000000"/>
              </a:solidFill>
              <a:latin typeface="Arial"/>
              <a:cs typeface="Arial"/>
            </a:rPr>
            <a:t>• Local DAF subsidiary, importer</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1" i="0" u="none" strike="noStrike" baseline="0">
              <a:solidFill>
                <a:srgbClr val="000000"/>
              </a:solidFill>
              <a:latin typeface="Arial"/>
              <a:cs typeface="Arial"/>
            </a:rPr>
            <a:t>The program </a:t>
          </a: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The total structure of the format is fixed. The several colours of the cells have different meanings:</a:t>
          </a:r>
        </a:p>
        <a:p>
          <a:pPr algn="l" rtl="0">
            <a:defRPr sz="1000"/>
          </a:pPr>
          <a:r>
            <a:rPr lang="nl-NL" sz="1000" b="0" i="0" u="none" strike="noStrike" baseline="0">
              <a:solidFill>
                <a:srgbClr val="000000"/>
              </a:solidFill>
              <a:latin typeface="Arial"/>
              <a:cs typeface="Arial"/>
            </a:rPr>
            <a:t>Blue cells  should be filled in by the user</a:t>
          </a:r>
        </a:p>
        <a:p>
          <a:pPr algn="l" rtl="0">
            <a:defRPr sz="1000"/>
          </a:pPr>
          <a:r>
            <a:rPr lang="nl-NL" sz="1000" b="0" i="0" u="none" strike="noStrike" baseline="0">
              <a:solidFill>
                <a:srgbClr val="000000"/>
              </a:solidFill>
              <a:latin typeface="Arial"/>
              <a:cs typeface="Arial"/>
            </a:rPr>
            <a:t>Green cells  should only be filled in by the user in case of a new founded dealership </a:t>
          </a:r>
        </a:p>
        <a:p>
          <a:pPr algn="l" rtl="0">
            <a:defRPr sz="1000"/>
          </a:pPr>
          <a:r>
            <a:rPr lang="nl-NL" sz="1000" b="0" i="0" u="none" strike="noStrike" baseline="0">
              <a:solidFill>
                <a:srgbClr val="000000"/>
              </a:solidFill>
              <a:latin typeface="Arial"/>
              <a:cs typeface="Arial"/>
            </a:rPr>
            <a:t>Yellow cells   these cells are automatically filled in based on information given by the user</a:t>
          </a:r>
        </a:p>
        <a:p>
          <a:pPr algn="l" rtl="0">
            <a:defRPr sz="1000"/>
          </a:pPr>
          <a:r>
            <a:rPr lang="nl-NL" sz="1000" b="0" i="0" u="none" strike="noStrike" baseline="0">
              <a:solidFill>
                <a:srgbClr val="000000"/>
              </a:solidFill>
              <a:latin typeface="Arial"/>
              <a:cs typeface="Arial"/>
            </a:rPr>
            <a:t>and the variables automatically provided by DAF </a:t>
          </a:r>
        </a:p>
        <a:p>
          <a:pPr algn="l" rtl="0">
            <a:defRPr sz="1000"/>
          </a:pPr>
          <a:r>
            <a:rPr lang="nl-NL" sz="1000" b="0" i="0" u="none" strike="noStrike" baseline="0">
              <a:solidFill>
                <a:srgbClr val="000000"/>
              </a:solidFill>
              <a:latin typeface="Arial"/>
              <a:cs typeface="Arial"/>
            </a:rPr>
            <a:t>White cells  Cells which should not be changed by the user as this can affect the structure </a:t>
          </a:r>
        </a:p>
        <a:p>
          <a:pPr algn="l" rtl="0">
            <a:defRPr sz="1000"/>
          </a:pPr>
          <a:r>
            <a:rPr lang="nl-NL" sz="1000" b="0" i="0" u="none" strike="noStrike" baseline="0">
              <a:solidFill>
                <a:srgbClr val="000000"/>
              </a:solidFill>
              <a:latin typeface="Arial"/>
              <a:cs typeface="Arial"/>
            </a:rPr>
            <a:t>of the program and/or programmed formulas and/or programmed links. By changing white cells with formulas the reliability of the program is lost.</a:t>
          </a:r>
        </a:p>
        <a:p>
          <a:pPr algn="l" rtl="0">
            <a:defRPr sz="1000"/>
          </a:pP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In some cases calculation cells are made blue instead of white. In these cases you have two options:</a:t>
          </a:r>
        </a:p>
        <a:p>
          <a:pPr algn="l" rtl="0">
            <a:defRPr sz="1000"/>
          </a:pPr>
          <a:r>
            <a:rPr lang="nl-NL" sz="1000" b="0" i="0" u="none" strike="noStrike" baseline="0">
              <a:solidFill>
                <a:srgbClr val="000000"/>
              </a:solidFill>
              <a:latin typeface="Arial"/>
              <a:cs typeface="Arial"/>
            </a:rPr>
            <a:t>1. In case the input for the first year is valid for the whole period of the business plan, this input is copied to the other years as well.</a:t>
          </a:r>
        </a:p>
        <a:p>
          <a:pPr algn="l" rtl="0">
            <a:defRPr sz="1000"/>
          </a:pPr>
          <a:r>
            <a:rPr lang="nl-NL" sz="1000" b="0" i="0" u="none" strike="noStrike" baseline="0">
              <a:solidFill>
                <a:srgbClr val="000000"/>
              </a:solidFill>
              <a:latin typeface="Arial"/>
              <a:cs typeface="Arial"/>
            </a:rPr>
            <a:t>2. In case the input for the first year is not valid for all years, you can overwrite the formula. However, once you have overwritten the formula, you cannot return to option number 1.</a:t>
          </a:r>
        </a:p>
        <a:p>
          <a:pPr algn="l" rtl="0">
            <a:defRPr sz="1000"/>
          </a:pPr>
          <a:endParaRPr lang="nl-NL" sz="1000" b="0" i="0" u="none" strike="noStrike" baseline="0">
            <a:solidFill>
              <a:srgbClr val="000000"/>
            </a:solidFill>
            <a:latin typeface="Arial"/>
            <a:cs typeface="Arial"/>
          </a:endParaRPr>
        </a:p>
        <a:p>
          <a:pPr algn="l" rtl="0">
            <a:defRPr sz="1000"/>
          </a:pPr>
          <a:endParaRPr lang="nl-NL" sz="1000" b="0" i="0" u="none" strike="noStrike" baseline="0">
            <a:solidFill>
              <a:srgbClr val="000000"/>
            </a:solidFill>
            <a:latin typeface="Arial"/>
            <a:cs typeface="Arial"/>
          </a:endParaRPr>
        </a:p>
        <a:p>
          <a:pPr algn="l" rtl="0">
            <a:defRPr sz="1000"/>
          </a:pPr>
          <a:r>
            <a:rPr lang="nl-NL" sz="1000" b="1" i="0" u="none" strike="noStrike" baseline="0">
              <a:solidFill>
                <a:srgbClr val="000000"/>
              </a:solidFill>
              <a:latin typeface="Arial"/>
              <a:cs typeface="Arial"/>
            </a:rPr>
            <a:t>Software</a:t>
          </a:r>
          <a:endParaRPr lang="nl-NL" sz="1000" b="0" i="0" u="none" strike="noStrike" baseline="0">
            <a:solidFill>
              <a:srgbClr val="000000"/>
            </a:solidFill>
            <a:latin typeface="Arial"/>
            <a:cs typeface="Arial"/>
          </a:endParaRPr>
        </a:p>
        <a:p>
          <a:pPr algn="l" rtl="0">
            <a:defRPr sz="1000"/>
          </a:pPr>
          <a:r>
            <a:rPr lang="nl-NL" sz="1000" b="0" i="0" u="none" strike="noStrike" baseline="0">
              <a:solidFill>
                <a:srgbClr val="000000"/>
              </a:solidFill>
              <a:latin typeface="Arial"/>
              <a:cs typeface="Arial"/>
            </a:rPr>
            <a:t>The program has been written in Microsoft Excel.</a:t>
          </a:r>
        </a:p>
        <a:p>
          <a:pPr algn="l" rtl="0">
            <a:defRPr sz="1000"/>
          </a:pPr>
          <a:r>
            <a:rPr lang="nl-NL" sz="1000" b="0" i="0" u="none" strike="noStrike" baseline="0">
              <a:solidFill>
                <a:srgbClr val="000000"/>
              </a:solidFill>
              <a:latin typeface="Arial"/>
              <a:cs typeface="Arial"/>
            </a:rPr>
            <a:t>In order to keep a master file available with all original formulas, we advise you to save the file under a different name when using it. </a:t>
          </a:r>
        </a:p>
        <a:p>
          <a:pPr algn="l" rtl="0">
            <a:defRPr sz="1000"/>
          </a:pPr>
          <a:endParaRPr lang="nl-NL" sz="1000" b="0" i="0" u="none" strike="noStrike" baseline="0">
            <a:solidFill>
              <a:srgbClr val="000000"/>
            </a:solidFill>
            <a:latin typeface="Arial"/>
            <a:cs typeface="Aria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42</xdr:row>
      <xdr:rowOff>57150</xdr:rowOff>
    </xdr:from>
    <xdr:to>
      <xdr:col>11</xdr:col>
      <xdr:colOff>0</xdr:colOff>
      <xdr:row>53</xdr:row>
      <xdr:rowOff>76200</xdr:rowOff>
    </xdr:to>
    <xdr:graphicFrame macro="">
      <xdr:nvGraphicFramePr>
        <xdr:cNvPr id="8338" name="Chart 2">
          <a:extLst>
            <a:ext uri="{FF2B5EF4-FFF2-40B4-BE49-F238E27FC236}">
              <a16:creationId xmlns:a16="http://schemas.microsoft.com/office/drawing/2014/main" xmlns="" id="{00000000-0008-0000-1400-000092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78</xdr:row>
      <xdr:rowOff>28575</xdr:rowOff>
    </xdr:from>
    <xdr:to>
      <xdr:col>10</xdr:col>
      <xdr:colOff>962025</xdr:colOff>
      <xdr:row>80</xdr:row>
      <xdr:rowOff>28575</xdr:rowOff>
    </xdr:to>
    <xdr:sp macro="" textlink="" fLocksText="0">
      <xdr:nvSpPr>
        <xdr:cNvPr id="8206" name="Rectangle 8">
          <a:extLst>
            <a:ext uri="{FF2B5EF4-FFF2-40B4-BE49-F238E27FC236}">
              <a16:creationId xmlns:a16="http://schemas.microsoft.com/office/drawing/2014/main" xmlns="" id="{00000000-0008-0000-1400-00000E200000}"/>
            </a:ext>
          </a:extLst>
        </xdr:cNvPr>
        <xdr:cNvSpPr>
          <a:spLocks noChangeArrowheads="1"/>
        </xdr:cNvSpPr>
      </xdr:nvSpPr>
      <xdr:spPr bwMode="auto">
        <a:xfrm>
          <a:off x="0" y="15097125"/>
          <a:ext cx="10772775" cy="419100"/>
        </a:xfrm>
        <a:prstGeom prst="rect">
          <a:avLst/>
        </a:prstGeom>
        <a:solidFill>
          <a:srgbClr val="FFFFC0"/>
        </a:solidFill>
        <a:ln w="9525" algn="ctr">
          <a:solidFill>
            <a:srgbClr val="000000"/>
          </a:solidFill>
          <a:miter lim="800000"/>
          <a:headEnd/>
          <a:tailEnd/>
        </a:ln>
      </xdr:spPr>
      <xdr:txBody>
        <a:bodyPr/>
        <a:lstStyle/>
        <a:p>
          <a:r>
            <a:rPr lang="fr-FR"/>
            <a:t>Low fuel consumption, competitive running cost, reduce the risk of downtime, parts availability,</a:t>
          </a:r>
          <a:r>
            <a:rPr lang="fr-FR" baseline="0"/>
            <a:t> competitive </a:t>
          </a:r>
          <a:r>
            <a:rPr lang="fr-FR"/>
            <a:t>pricing policy</a:t>
          </a:r>
          <a:r>
            <a:rPr lang="fr-FR" baseline="0"/>
            <a:t> , lo</a:t>
          </a:r>
          <a:r>
            <a:rPr lang="fr-FR"/>
            <a:t>w maintenance</a:t>
          </a:r>
          <a:r>
            <a:rPr lang="fr-FR" baseline="0"/>
            <a:t> cost, brand reputation</a:t>
          </a:r>
          <a:endParaRPr lang="fr-FR"/>
        </a:p>
      </xdr:txBody>
    </xdr:sp>
    <xdr:clientData/>
  </xdr:twoCellAnchor>
  <xdr:twoCellAnchor>
    <xdr:from>
      <xdr:col>0</xdr:col>
      <xdr:colOff>9525</xdr:colOff>
      <xdr:row>81</xdr:row>
      <xdr:rowOff>180975</xdr:rowOff>
    </xdr:from>
    <xdr:to>
      <xdr:col>10</xdr:col>
      <xdr:colOff>971550</xdr:colOff>
      <xdr:row>83</xdr:row>
      <xdr:rowOff>219075</xdr:rowOff>
    </xdr:to>
    <xdr:sp macro="" textlink="" fLocksText="0">
      <xdr:nvSpPr>
        <xdr:cNvPr id="8207" name="Rectangle 9">
          <a:extLst>
            <a:ext uri="{FF2B5EF4-FFF2-40B4-BE49-F238E27FC236}">
              <a16:creationId xmlns:a16="http://schemas.microsoft.com/office/drawing/2014/main" xmlns="" id="{00000000-0008-0000-1400-00000F200000}"/>
            </a:ext>
          </a:extLst>
        </xdr:cNvPr>
        <xdr:cNvSpPr>
          <a:spLocks noChangeArrowheads="1"/>
        </xdr:cNvSpPr>
      </xdr:nvSpPr>
      <xdr:spPr bwMode="auto">
        <a:xfrm>
          <a:off x="9525" y="15859125"/>
          <a:ext cx="10772775" cy="419100"/>
        </a:xfrm>
        <a:prstGeom prst="rect">
          <a:avLst/>
        </a:prstGeom>
        <a:solidFill>
          <a:srgbClr val="FFFFC0"/>
        </a:solidFill>
        <a:ln w="9525" algn="ctr">
          <a:solidFill>
            <a:srgbClr val="000000"/>
          </a:solidFill>
          <a:miter lim="800000"/>
          <a:headEnd/>
          <a:tailEnd/>
        </a:ln>
      </xdr:spPr>
      <xdr:txBody>
        <a:bodyPr/>
        <a:lstStyle/>
        <a:p>
          <a:r>
            <a:rPr lang="fr-FR"/>
            <a:t>Pricing policy,</a:t>
          </a:r>
          <a:r>
            <a:rPr lang="fr-FR" baseline="0"/>
            <a:t> strong brand reputation, low running and maintenance cost, extended warranty period  </a:t>
          </a:r>
          <a:endParaRPr lang="fr-FR"/>
        </a:p>
      </xdr:txBody>
    </xdr:sp>
    <xdr:clientData/>
  </xdr:twoCellAnchor>
  <xdr:twoCellAnchor>
    <xdr:from>
      <xdr:col>0</xdr:col>
      <xdr:colOff>0</xdr:colOff>
      <xdr:row>6</xdr:row>
      <xdr:rowOff>9525</xdr:rowOff>
    </xdr:from>
    <xdr:to>
      <xdr:col>10</xdr:col>
      <xdr:colOff>962025</xdr:colOff>
      <xdr:row>29</xdr:row>
      <xdr:rowOff>28575</xdr:rowOff>
    </xdr:to>
    <xdr:sp macro="" textlink="" fLocksText="0">
      <xdr:nvSpPr>
        <xdr:cNvPr id="8208" name="Rectangle 11">
          <a:extLst>
            <a:ext uri="{FF2B5EF4-FFF2-40B4-BE49-F238E27FC236}">
              <a16:creationId xmlns:a16="http://schemas.microsoft.com/office/drawing/2014/main" xmlns="" id="{00000000-0008-0000-1400-000010200000}"/>
            </a:ext>
          </a:extLst>
        </xdr:cNvPr>
        <xdr:cNvSpPr>
          <a:spLocks noChangeArrowheads="1"/>
        </xdr:cNvSpPr>
      </xdr:nvSpPr>
      <xdr:spPr bwMode="auto">
        <a:xfrm>
          <a:off x="0" y="1323975"/>
          <a:ext cx="10772775" cy="4400550"/>
        </a:xfrm>
        <a:prstGeom prst="rect">
          <a:avLst/>
        </a:prstGeom>
        <a:solidFill>
          <a:srgbClr val="FFFFC0"/>
        </a:solidFill>
        <a:ln w="9525" algn="ctr">
          <a:solidFill>
            <a:srgbClr val="000000"/>
          </a:solidFill>
          <a:miter lim="800000"/>
          <a:headEnd/>
          <a:tailEnd/>
        </a:ln>
      </xdr:spPr>
      <xdr:txBody>
        <a:bodyPr/>
        <a:lstStyle/>
        <a:p>
          <a:r>
            <a:rPr lang="en-GB"/>
            <a:t>Appendix</a:t>
          </a:r>
        </a:p>
      </xdr:txBody>
    </xdr:sp>
    <xdr:clientData/>
  </xdr:twoCellAnchor>
  <xdr:twoCellAnchor>
    <xdr:from>
      <xdr:col>3</xdr:col>
      <xdr:colOff>190500</xdr:colOff>
      <xdr:row>10</xdr:row>
      <xdr:rowOff>180975</xdr:rowOff>
    </xdr:from>
    <xdr:to>
      <xdr:col>9</xdr:col>
      <xdr:colOff>771525</xdr:colOff>
      <xdr:row>27</xdr:row>
      <xdr:rowOff>161925</xdr:rowOff>
    </xdr:to>
    <xdr:sp macro="" textlink="">
      <xdr:nvSpPr>
        <xdr:cNvPr id="8209" name="MyHelpTekst" hidden="1">
          <a:extLst>
            <a:ext uri="{FF2B5EF4-FFF2-40B4-BE49-F238E27FC236}">
              <a16:creationId xmlns:a16="http://schemas.microsoft.com/office/drawing/2014/main" xmlns="" id="{00000000-0008-0000-1400-000011200000}"/>
            </a:ext>
          </a:extLst>
        </xdr:cNvPr>
        <xdr:cNvSpPr>
          <a:spLocks noChangeArrowheads="1"/>
        </xdr:cNvSpPr>
      </xdr:nvSpPr>
      <xdr:spPr bwMode="auto">
        <a:xfrm>
          <a:off x="3133725" y="2257425"/>
          <a:ext cx="6467475" cy="3219450"/>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5.4.1 Competition in the Area</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Map of dealer locations of competition and spokes in the area</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Show the map of the dealer area and point where the competitive dealers are located. Also mark the locations of spokes in case present.</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Market shares in dealer area</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market shares of the different makes in the dealer area, split by segment and year. The graph is generated automatically. Please be aware that the total of the columns have to be 100%, otherwise the message "not equal 100%" will appear.</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Value propositions (advantages for customers)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most important indicators of the (potential) customers.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Competitive edge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advantages your dealership is facing because of strengths, presence and position of the competition.</a:t>
          </a:r>
        </a:p>
        <a:p>
          <a:pPr algn="l" rtl="0">
            <a:defRPr sz="1000"/>
          </a:pPr>
          <a:endParaRPr lang="nl-NL"/>
        </a:p>
      </xdr:txBody>
    </xdr:sp>
    <xdr:clientData/>
  </xdr:twoCellAnchor>
  <xdr:twoCellAnchor>
    <xdr:from>
      <xdr:col>0</xdr:col>
      <xdr:colOff>0</xdr:colOff>
      <xdr:row>53</xdr:row>
      <xdr:rowOff>142875</xdr:rowOff>
    </xdr:from>
    <xdr:to>
      <xdr:col>11</xdr:col>
      <xdr:colOff>9525</xdr:colOff>
      <xdr:row>64</xdr:row>
      <xdr:rowOff>171450</xdr:rowOff>
    </xdr:to>
    <xdr:graphicFrame macro="">
      <xdr:nvGraphicFramePr>
        <xdr:cNvPr id="8343" name="Grafiek 18">
          <a:extLst>
            <a:ext uri="{FF2B5EF4-FFF2-40B4-BE49-F238E27FC236}">
              <a16:creationId xmlns:a16="http://schemas.microsoft.com/office/drawing/2014/main" xmlns="" id="{00000000-0008-0000-1400-000097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65</xdr:row>
      <xdr:rowOff>47625</xdr:rowOff>
    </xdr:from>
    <xdr:to>
      <xdr:col>11</xdr:col>
      <xdr:colOff>19050</xdr:colOff>
      <xdr:row>76</xdr:row>
      <xdr:rowOff>85725</xdr:rowOff>
    </xdr:to>
    <xdr:graphicFrame macro="">
      <xdr:nvGraphicFramePr>
        <xdr:cNvPr id="8344" name="Grafiek 19">
          <a:extLst>
            <a:ext uri="{FF2B5EF4-FFF2-40B4-BE49-F238E27FC236}">
              <a16:creationId xmlns:a16="http://schemas.microsoft.com/office/drawing/2014/main" xmlns="" id="{00000000-0008-0000-1400-000098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330200</xdr:colOff>
      <xdr:row>0</xdr:row>
      <xdr:rowOff>152400</xdr:rowOff>
    </xdr:from>
    <xdr:to>
      <xdr:col>5</xdr:col>
      <xdr:colOff>0</xdr:colOff>
      <xdr:row>2</xdr:row>
      <xdr:rowOff>25400</xdr:rowOff>
    </xdr:to>
    <xdr:pic>
      <xdr:nvPicPr>
        <xdr:cNvPr id="8197" name="CommandButton1">
          <a:extLst>
            <a:ext uri="{FF2B5EF4-FFF2-40B4-BE49-F238E27FC236}">
              <a16:creationId xmlns:a16="http://schemas.microsoft.com/office/drawing/2014/main" xmlns="" id="{00000000-0008-0000-1400-0000052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00600" y="152400"/>
          <a:ext cx="787400" cy="393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3</xdr:col>
      <xdr:colOff>447675</xdr:colOff>
      <xdr:row>9</xdr:row>
      <xdr:rowOff>9525</xdr:rowOff>
    </xdr:from>
    <xdr:to>
      <xdr:col>10</xdr:col>
      <xdr:colOff>581025</xdr:colOff>
      <xdr:row>30</xdr:row>
      <xdr:rowOff>9525</xdr:rowOff>
    </xdr:to>
    <xdr:sp macro="" textlink="" fLocksText="0">
      <xdr:nvSpPr>
        <xdr:cNvPr id="23583" name="MyHelpTekst" hidden="1">
          <a:extLst>
            <a:ext uri="{FF2B5EF4-FFF2-40B4-BE49-F238E27FC236}">
              <a16:creationId xmlns:a16="http://schemas.microsoft.com/office/drawing/2014/main" xmlns="" id="{00000000-0008-0000-1500-00001F5C0000}"/>
            </a:ext>
          </a:extLst>
        </xdr:cNvPr>
        <xdr:cNvSpPr>
          <a:spLocks noChangeArrowheads="1"/>
        </xdr:cNvSpPr>
      </xdr:nvSpPr>
      <xdr:spPr bwMode="auto">
        <a:xfrm>
          <a:off x="3162300" y="1543050"/>
          <a:ext cx="6467475" cy="3714750"/>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0" i="0" u="none" strike="noStrike" baseline="0">
              <a:solidFill>
                <a:srgbClr val="000000"/>
              </a:solidFill>
              <a:latin typeface="Trebuchet MS"/>
            </a:rPr>
            <a:t>5.4.2 </a:t>
          </a:r>
          <a:r>
            <a:rPr lang="nl-NL" sz="800" b="1" i="0" u="none" strike="noStrike" baseline="0">
              <a:solidFill>
                <a:srgbClr val="000000"/>
              </a:solidFill>
              <a:latin typeface="Trebuchet MS"/>
            </a:rPr>
            <a:t>Competitive Analysis Table</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1.</a:t>
          </a:r>
          <a:r>
            <a:rPr lang="nl-NL" sz="800" b="1" i="0" u="none" strike="noStrike" baseline="0">
              <a:solidFill>
                <a:srgbClr val="000000"/>
              </a:solidFill>
              <a:latin typeface="Trebuchet MS"/>
            </a:rPr>
            <a:t> Strengths and weaknesses of the competition in the dealer area.</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Indicators are listed in a table for all competitors in your dealer area. (There is also a column for another make than the makes already printed. The name of the column "Other" can be overwritten).</a:t>
          </a:r>
        </a:p>
        <a:p>
          <a:pPr algn="l" rtl="0">
            <a:defRPr sz="1000"/>
          </a:pPr>
          <a:r>
            <a:rPr lang="nl-NL" sz="800" b="0" i="0" u="none" strike="noStrike" baseline="0">
              <a:solidFill>
                <a:srgbClr val="000000"/>
              </a:solidFill>
              <a:latin typeface="Trebuchet MS"/>
            </a:rPr>
            <a:t>Please make for each indicator a top three of all competitors. Automatically the sum will be calculated for each competitor. The competitor with the highest score could be your main competitor. This table gives you an overview of the strength of all your competitors.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Example: </a:t>
          </a:r>
        </a:p>
        <a:p>
          <a:pPr algn="l" rtl="0">
            <a:defRPr sz="1000"/>
          </a:pPr>
          <a:r>
            <a:rPr lang="nl-NL" sz="800" b="0" i="0" u="none" strike="noStrike" baseline="0">
              <a:solidFill>
                <a:srgbClr val="000000"/>
              </a:solidFill>
              <a:latin typeface="Trebuchet MS"/>
            </a:rPr>
            <a:t>With reference to indicator "Dealer Network": if DAF has in your opinion the best dealer net work, please select "3" for DAF. Select "2" for the make with the second best dealer net work and "1" for the make with the third best dealer net work. Repeat this for all preselected indicators.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2. </a:t>
          </a:r>
          <a:r>
            <a:rPr lang="nl-NL" sz="800" b="1" i="0" u="none" strike="noStrike" baseline="0">
              <a:solidFill>
                <a:srgbClr val="000000"/>
              </a:solidFill>
              <a:latin typeface="Trebuchet MS"/>
            </a:rPr>
            <a:t>Main opportunities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opportunities the competition offers for the dealer.</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3. </a:t>
          </a:r>
          <a:r>
            <a:rPr lang="nl-NL" sz="800" b="1" i="0" u="none" strike="noStrike" baseline="0">
              <a:solidFill>
                <a:srgbClr val="000000"/>
              </a:solidFill>
              <a:latin typeface="Trebuchet MS"/>
            </a:rPr>
            <a:t>Main threats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threats which the dealer faces regarding the competition.</a:t>
          </a:r>
        </a:p>
        <a:p>
          <a:pPr algn="l" rtl="0">
            <a:defRPr sz="1000"/>
          </a:pPr>
          <a:endParaRPr lang="nl-NL"/>
        </a:p>
      </xdr:txBody>
    </xdr:sp>
    <xdr:clientData fLocksWithSheet="0"/>
  </xdr:twoCellAnchor>
  <xdr:twoCellAnchor editAs="oneCell">
    <xdr:from>
      <xdr:col>4</xdr:col>
      <xdr:colOff>558800</xdr:colOff>
      <xdr:row>0</xdr:row>
      <xdr:rowOff>177800</xdr:rowOff>
    </xdr:from>
    <xdr:to>
      <xdr:col>5</xdr:col>
      <xdr:colOff>279400</xdr:colOff>
      <xdr:row>2</xdr:row>
      <xdr:rowOff>50800</xdr:rowOff>
    </xdr:to>
    <xdr:pic>
      <xdr:nvPicPr>
        <xdr:cNvPr id="23567" name="CommandButton1">
          <a:extLst>
            <a:ext uri="{FF2B5EF4-FFF2-40B4-BE49-F238E27FC236}">
              <a16:creationId xmlns:a16="http://schemas.microsoft.com/office/drawing/2014/main" xmlns="" id="{00000000-0008-0000-1500-00000F5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3600" y="177800"/>
          <a:ext cx="749300" cy="393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47625</xdr:colOff>
      <xdr:row>20</xdr:row>
      <xdr:rowOff>28575</xdr:rowOff>
    </xdr:from>
    <xdr:to>
      <xdr:col>10</xdr:col>
      <xdr:colOff>95250</xdr:colOff>
      <xdr:row>28</xdr:row>
      <xdr:rowOff>0</xdr:rowOff>
    </xdr:to>
    <xdr:sp macro="" textlink="">
      <xdr:nvSpPr>
        <xdr:cNvPr id="30725" name="MyHelpTekst" hidden="1">
          <a:extLst>
            <a:ext uri="{FF2B5EF4-FFF2-40B4-BE49-F238E27FC236}">
              <a16:creationId xmlns:a16="http://schemas.microsoft.com/office/drawing/2014/main" xmlns="" id="{00000000-0008-0000-1600-000005780000}"/>
            </a:ext>
          </a:extLst>
        </xdr:cNvPr>
        <xdr:cNvSpPr>
          <a:spLocks noChangeArrowheads="1"/>
        </xdr:cNvSpPr>
      </xdr:nvSpPr>
      <xdr:spPr bwMode="auto">
        <a:xfrm>
          <a:off x="2905125" y="3819525"/>
          <a:ext cx="6715125" cy="13049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0" i="0" u="none" strike="noStrike" baseline="0">
              <a:solidFill>
                <a:srgbClr val="000000"/>
              </a:solidFill>
              <a:latin typeface="Trebuchet MS"/>
            </a:rPr>
            <a:t>5.4.3 Competitive Analysis SWOT</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Strengths and weaknesses of the competition in the dealer area.</a:t>
          </a:r>
        </a:p>
        <a:p>
          <a:pPr algn="l" rtl="0">
            <a:defRPr sz="1000"/>
          </a:pPr>
          <a:r>
            <a:rPr lang="nl-NL" sz="800" b="0" i="0" u="none" strike="noStrike" baseline="0">
              <a:solidFill>
                <a:srgbClr val="000000"/>
              </a:solidFill>
              <a:latin typeface="Trebuchet MS"/>
            </a:rPr>
            <a:t>For all competitors the three main strengths of the representation in the dealer area should be mentioned as well as the three main weaknesses. There is also space for another make than the makes already printed. </a:t>
          </a:r>
        </a:p>
        <a:p>
          <a:pPr algn="l" rtl="0">
            <a:defRPr sz="1000"/>
          </a:pPr>
          <a:endParaRPr lang="nl-NL" sz="800" b="0" i="0" u="none" strike="noStrike" baseline="0">
            <a:solidFill>
              <a:srgbClr val="000000"/>
            </a:solidFill>
            <a:latin typeface="Trebuchet MS"/>
          </a:endParaRPr>
        </a:p>
      </xdr:txBody>
    </xdr:sp>
    <xdr:clientData/>
  </xdr:twoCellAnchor>
  <xdr:twoCellAnchor editAs="oneCell">
    <xdr:from>
      <xdr:col>4</xdr:col>
      <xdr:colOff>787400</xdr:colOff>
      <xdr:row>0</xdr:row>
      <xdr:rowOff>177800</xdr:rowOff>
    </xdr:from>
    <xdr:to>
      <xdr:col>5</xdr:col>
      <xdr:colOff>406400</xdr:colOff>
      <xdr:row>2</xdr:row>
      <xdr:rowOff>50800</xdr:rowOff>
    </xdr:to>
    <xdr:pic>
      <xdr:nvPicPr>
        <xdr:cNvPr id="30724" name="CommandButton1">
          <a:extLst>
            <a:ext uri="{FF2B5EF4-FFF2-40B4-BE49-F238E27FC236}">
              <a16:creationId xmlns:a16="http://schemas.microsoft.com/office/drawing/2014/main" xmlns="" id="{00000000-0008-0000-1600-0000047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56200" y="177800"/>
          <a:ext cx="711200" cy="393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4</xdr:col>
      <xdr:colOff>552450</xdr:colOff>
      <xdr:row>9</xdr:row>
      <xdr:rowOff>9525</xdr:rowOff>
    </xdr:from>
    <xdr:to>
      <xdr:col>12</xdr:col>
      <xdr:colOff>600075</xdr:colOff>
      <xdr:row>37</xdr:row>
      <xdr:rowOff>28575</xdr:rowOff>
    </xdr:to>
    <xdr:sp macro="" textlink="">
      <xdr:nvSpPr>
        <xdr:cNvPr id="25633" name="MyHelpTekst" hidden="1">
          <a:extLst>
            <a:ext uri="{FF2B5EF4-FFF2-40B4-BE49-F238E27FC236}">
              <a16:creationId xmlns:a16="http://schemas.microsoft.com/office/drawing/2014/main" xmlns="" id="{00000000-0008-0000-1700-000021640000}"/>
            </a:ext>
          </a:extLst>
        </xdr:cNvPr>
        <xdr:cNvSpPr>
          <a:spLocks noChangeArrowheads="1"/>
        </xdr:cNvSpPr>
      </xdr:nvSpPr>
      <xdr:spPr bwMode="auto">
        <a:xfrm>
          <a:off x="3867150" y="1666875"/>
          <a:ext cx="6677025" cy="4962525"/>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5.5 Customers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Major customers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List the ten major customers of the dealer and their characteristics. Choose one of the pre-selected options for each customer. This analysis gives insight in the customer base of the dealer.</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Purchase behaviour customers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purchase behaviour of the customer; purchase on a regular basis or in batches? What are the main purchase criteria? Only trucks or including service packages (for example R&amp;M contracts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Major fleets in the area</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List the major fleets in the dealer area with their characteristics. Choose one of the pre-selected options for each customer. This analysis gives some insight in the potential and the position of DAF.</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Main opportunities/action plan</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opportunities the potential customer base is offering for your dealership. Provide an action plan how to make these potential customers to DAF customers.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Main threats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possible threats the dealership is facing because of the potential customer base.</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6. Customer satisfaction</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how to satisfy the customers. What are the most important factors?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7. Dealer Management IT system</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Is there a dealer management customer IT system? And which functionalities are available?</a:t>
          </a:r>
          <a:endParaRPr lang="nl-NL"/>
        </a:p>
      </xdr:txBody>
    </xdr:sp>
    <xdr:clientData/>
  </xdr:twoCellAnchor>
  <xdr:twoCellAnchor>
    <xdr:from>
      <xdr:col>0</xdr:col>
      <xdr:colOff>9525</xdr:colOff>
      <xdr:row>40</xdr:row>
      <xdr:rowOff>0</xdr:rowOff>
    </xdr:from>
    <xdr:to>
      <xdr:col>13</xdr:col>
      <xdr:colOff>0</xdr:colOff>
      <xdr:row>46</xdr:row>
      <xdr:rowOff>180975</xdr:rowOff>
    </xdr:to>
    <xdr:sp macro="" textlink="">
      <xdr:nvSpPr>
        <xdr:cNvPr id="25744" name="Rectangle 18">
          <a:extLst>
            <a:ext uri="{FF2B5EF4-FFF2-40B4-BE49-F238E27FC236}">
              <a16:creationId xmlns:a16="http://schemas.microsoft.com/office/drawing/2014/main" xmlns="" id="{00000000-0008-0000-1700-000090640000}"/>
            </a:ext>
          </a:extLst>
        </xdr:cNvPr>
        <xdr:cNvSpPr>
          <a:spLocks noChangeArrowheads="1"/>
        </xdr:cNvSpPr>
      </xdr:nvSpPr>
      <xdr:spPr bwMode="auto">
        <a:xfrm>
          <a:off x="9525" y="7172325"/>
          <a:ext cx="10763250" cy="1323975"/>
        </a:xfrm>
        <a:prstGeom prst="rect">
          <a:avLst/>
        </a:prstGeom>
        <a:solidFill>
          <a:srgbClr val="FFFFC0"/>
        </a:solidFill>
        <a:ln w="9525" algn="ctr">
          <a:solidFill>
            <a:srgbClr val="000000"/>
          </a:solidFill>
          <a:miter lim="800000"/>
          <a:headEnd/>
          <a:tailEnd/>
        </a:ln>
      </xdr:spPr>
    </xdr:sp>
    <xdr:clientData/>
  </xdr:twoCellAnchor>
  <xdr:twoCellAnchor>
    <xdr:from>
      <xdr:col>0</xdr:col>
      <xdr:colOff>9525</xdr:colOff>
      <xdr:row>50</xdr:row>
      <xdr:rowOff>0</xdr:rowOff>
    </xdr:from>
    <xdr:to>
      <xdr:col>12</xdr:col>
      <xdr:colOff>819150</xdr:colOff>
      <xdr:row>54</xdr:row>
      <xdr:rowOff>180975</xdr:rowOff>
    </xdr:to>
    <xdr:sp macro="" textlink="" fLocksText="0">
      <xdr:nvSpPr>
        <xdr:cNvPr id="25635" name="Rectangle 19">
          <a:extLst>
            <a:ext uri="{FF2B5EF4-FFF2-40B4-BE49-F238E27FC236}">
              <a16:creationId xmlns:a16="http://schemas.microsoft.com/office/drawing/2014/main" xmlns="" id="{00000000-0008-0000-1700-000023640000}"/>
            </a:ext>
          </a:extLst>
        </xdr:cNvPr>
        <xdr:cNvSpPr>
          <a:spLocks noChangeArrowheads="1"/>
        </xdr:cNvSpPr>
      </xdr:nvSpPr>
      <xdr:spPr bwMode="auto">
        <a:xfrm>
          <a:off x="9525" y="8886825"/>
          <a:ext cx="10753725" cy="942975"/>
        </a:xfrm>
        <a:prstGeom prst="rect">
          <a:avLst/>
        </a:prstGeom>
        <a:solidFill>
          <a:srgbClr val="FFFFC0"/>
        </a:solidFill>
        <a:ln w="9525" algn="ctr">
          <a:solidFill>
            <a:srgbClr val="000000"/>
          </a:solidFill>
          <a:miter lim="800000"/>
          <a:headEnd/>
          <a:tailEnd/>
        </a:ln>
      </xdr:spPr>
      <xdr:txBody>
        <a:bodyPr/>
        <a:lstStyle/>
        <a:p>
          <a:r>
            <a:rPr lang="fr-FR"/>
            <a:t>Fleet</a:t>
          </a:r>
          <a:r>
            <a:rPr lang="fr-FR" baseline="0"/>
            <a:t> owners tend to keep an homogeneous fleet                                                                                                                                                                                                                                                                                                  Truck prices and parts price availability is key in the decision making during the buying process </a:t>
          </a:r>
          <a:endParaRPr lang="fr-FR"/>
        </a:p>
      </xdr:txBody>
    </xdr:sp>
    <xdr:clientData/>
  </xdr:twoCellAnchor>
  <xdr:twoCellAnchor>
    <xdr:from>
      <xdr:col>0</xdr:col>
      <xdr:colOff>0</xdr:colOff>
      <xdr:row>67</xdr:row>
      <xdr:rowOff>0</xdr:rowOff>
    </xdr:from>
    <xdr:to>
      <xdr:col>12</xdr:col>
      <xdr:colOff>819150</xdr:colOff>
      <xdr:row>71</xdr:row>
      <xdr:rowOff>0</xdr:rowOff>
    </xdr:to>
    <xdr:sp macro="" textlink="" fLocksText="0">
      <xdr:nvSpPr>
        <xdr:cNvPr id="25636" name="Rectangle 20">
          <a:extLst>
            <a:ext uri="{FF2B5EF4-FFF2-40B4-BE49-F238E27FC236}">
              <a16:creationId xmlns:a16="http://schemas.microsoft.com/office/drawing/2014/main" xmlns="" id="{00000000-0008-0000-1700-000024640000}"/>
            </a:ext>
          </a:extLst>
        </xdr:cNvPr>
        <xdr:cNvSpPr>
          <a:spLocks noChangeArrowheads="1"/>
        </xdr:cNvSpPr>
      </xdr:nvSpPr>
      <xdr:spPr bwMode="auto">
        <a:xfrm>
          <a:off x="0" y="10220325"/>
          <a:ext cx="10763250" cy="762000"/>
        </a:xfrm>
        <a:prstGeom prst="rect">
          <a:avLst/>
        </a:prstGeom>
        <a:solidFill>
          <a:srgbClr val="FFFFC0"/>
        </a:solidFill>
        <a:ln w="9525" algn="ctr">
          <a:solidFill>
            <a:srgbClr val="000000"/>
          </a:solidFill>
          <a:miter lim="800000"/>
          <a:headEnd/>
          <a:tailEnd/>
        </a:ln>
      </xdr:spPr>
      <xdr:txBody>
        <a:bodyPr/>
        <a:lstStyle/>
        <a:p>
          <a:r>
            <a:rPr lang="fr-FR"/>
            <a:t>Parts availability and at</a:t>
          </a:r>
          <a:r>
            <a:rPr lang="fr-FR" baseline="0"/>
            <a:t> a competitive prices , efficient and reliable service and the extended network </a:t>
          </a:r>
          <a:endParaRPr lang="fr-FR"/>
        </a:p>
      </xdr:txBody>
    </xdr:sp>
    <xdr:clientData/>
  </xdr:twoCellAnchor>
  <xdr:twoCellAnchor>
    <xdr:from>
      <xdr:col>0</xdr:col>
      <xdr:colOff>0</xdr:colOff>
      <xdr:row>40</xdr:row>
      <xdr:rowOff>0</xdr:rowOff>
    </xdr:from>
    <xdr:to>
      <xdr:col>12</xdr:col>
      <xdr:colOff>819150</xdr:colOff>
      <xdr:row>46</xdr:row>
      <xdr:rowOff>180975</xdr:rowOff>
    </xdr:to>
    <xdr:sp macro="" textlink="" fLocksText="0">
      <xdr:nvSpPr>
        <xdr:cNvPr id="25637" name="Rectangle 24">
          <a:extLst>
            <a:ext uri="{FF2B5EF4-FFF2-40B4-BE49-F238E27FC236}">
              <a16:creationId xmlns:a16="http://schemas.microsoft.com/office/drawing/2014/main" xmlns="" id="{00000000-0008-0000-1700-000025640000}"/>
            </a:ext>
          </a:extLst>
        </xdr:cNvPr>
        <xdr:cNvSpPr>
          <a:spLocks noChangeArrowheads="1"/>
        </xdr:cNvSpPr>
      </xdr:nvSpPr>
      <xdr:spPr bwMode="auto">
        <a:xfrm>
          <a:off x="0" y="7172325"/>
          <a:ext cx="10763250" cy="1323975"/>
        </a:xfrm>
        <a:prstGeom prst="rect">
          <a:avLst/>
        </a:prstGeom>
        <a:solidFill>
          <a:srgbClr val="FFFFC0"/>
        </a:solidFill>
        <a:ln w="9525" algn="ctr">
          <a:solidFill>
            <a:srgbClr val="000000"/>
          </a:solidFill>
          <a:miter lim="800000"/>
          <a:headEnd/>
          <a:tailEnd/>
        </a:ln>
      </xdr:spPr>
      <xdr:txBody>
        <a:bodyPr/>
        <a:lstStyle/>
        <a:p>
          <a:r>
            <a:rPr lang="fr-FR"/>
            <a:t>For the construction</a:t>
          </a:r>
          <a:r>
            <a:rPr lang="fr-FR" baseline="0"/>
            <a:t> sector, major infrastructure investment in the future                                                                                                                                                                                                                                                          For container sector,  growth in export sector                                                                                                                                                                                                                                                                                                            For bulk and retail sector, overall economic recovery </a:t>
          </a:r>
          <a:endParaRPr lang="fr-FR"/>
        </a:p>
      </xdr:txBody>
    </xdr:sp>
    <xdr:clientData/>
  </xdr:twoCellAnchor>
  <xdr:twoCellAnchor editAs="oneCell">
    <xdr:from>
      <xdr:col>7</xdr:col>
      <xdr:colOff>787400</xdr:colOff>
      <xdr:row>0</xdr:row>
      <xdr:rowOff>177800</xdr:rowOff>
    </xdr:from>
    <xdr:to>
      <xdr:col>8</xdr:col>
      <xdr:colOff>0</xdr:colOff>
      <xdr:row>0</xdr:row>
      <xdr:rowOff>355600</xdr:rowOff>
    </xdr:to>
    <xdr:pic>
      <xdr:nvPicPr>
        <xdr:cNvPr id="25611" name="CommandButton1">
          <a:extLst>
            <a:ext uri="{FF2B5EF4-FFF2-40B4-BE49-F238E27FC236}">
              <a16:creationId xmlns:a16="http://schemas.microsoft.com/office/drawing/2014/main" xmlns="" id="{00000000-0008-0000-1700-00000B6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54900" y="177800"/>
          <a:ext cx="165100" cy="177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9525</xdr:colOff>
      <xdr:row>16</xdr:row>
      <xdr:rowOff>0</xdr:rowOff>
    </xdr:from>
    <xdr:to>
      <xdr:col>10</xdr:col>
      <xdr:colOff>2124075</xdr:colOff>
      <xdr:row>20</xdr:row>
      <xdr:rowOff>0</xdr:rowOff>
    </xdr:to>
    <xdr:sp macro="" textlink="" fLocksText="0">
      <xdr:nvSpPr>
        <xdr:cNvPr id="75789" name="Rectangle 3">
          <a:extLst>
            <a:ext uri="{FF2B5EF4-FFF2-40B4-BE49-F238E27FC236}">
              <a16:creationId xmlns:a16="http://schemas.microsoft.com/office/drawing/2014/main" xmlns="" id="{00000000-0008-0000-1800-00000D280100}"/>
            </a:ext>
          </a:extLst>
        </xdr:cNvPr>
        <xdr:cNvSpPr>
          <a:spLocks noChangeArrowheads="1"/>
        </xdr:cNvSpPr>
      </xdr:nvSpPr>
      <xdr:spPr bwMode="auto">
        <a:xfrm>
          <a:off x="9525" y="2952750"/>
          <a:ext cx="9925050" cy="647700"/>
        </a:xfrm>
        <a:prstGeom prst="rect">
          <a:avLst/>
        </a:prstGeom>
        <a:solidFill>
          <a:srgbClr val="FFFFC0"/>
        </a:solidFill>
        <a:ln w="9525" algn="ctr">
          <a:solidFill>
            <a:srgbClr val="000000"/>
          </a:solidFill>
          <a:miter lim="800000"/>
          <a:headEnd/>
          <a:tailEnd/>
        </a:ln>
      </xdr:spPr>
      <xdr:txBody>
        <a:bodyPr/>
        <a:lstStyle/>
        <a:p>
          <a:r>
            <a:rPr lang="fr-FR"/>
            <a:t>The market share is very low since it represents</a:t>
          </a:r>
          <a:r>
            <a:rPr lang="fr-FR" baseline="0"/>
            <a:t> less than 1%. </a:t>
          </a:r>
          <a:endParaRPr lang="fr-FR"/>
        </a:p>
      </xdr:txBody>
    </xdr:sp>
    <xdr:clientData/>
  </xdr:twoCellAnchor>
  <xdr:twoCellAnchor>
    <xdr:from>
      <xdr:col>0</xdr:col>
      <xdr:colOff>9525</xdr:colOff>
      <xdr:row>22</xdr:row>
      <xdr:rowOff>0</xdr:rowOff>
    </xdr:from>
    <xdr:to>
      <xdr:col>10</xdr:col>
      <xdr:colOff>2124075</xdr:colOff>
      <xdr:row>25</xdr:row>
      <xdr:rowOff>152400</xdr:rowOff>
    </xdr:to>
    <xdr:sp macro="" textlink="" fLocksText="0">
      <xdr:nvSpPr>
        <xdr:cNvPr id="75790" name="Rectangle 4">
          <a:extLst>
            <a:ext uri="{FF2B5EF4-FFF2-40B4-BE49-F238E27FC236}">
              <a16:creationId xmlns:a16="http://schemas.microsoft.com/office/drawing/2014/main" xmlns="" id="{00000000-0008-0000-1800-00000E280100}"/>
            </a:ext>
          </a:extLst>
        </xdr:cNvPr>
        <xdr:cNvSpPr>
          <a:spLocks noChangeArrowheads="1"/>
        </xdr:cNvSpPr>
      </xdr:nvSpPr>
      <xdr:spPr bwMode="auto">
        <a:xfrm>
          <a:off x="9525" y="3924300"/>
          <a:ext cx="9925050" cy="638175"/>
        </a:xfrm>
        <a:prstGeom prst="rect">
          <a:avLst/>
        </a:prstGeom>
        <a:solidFill>
          <a:srgbClr val="FFFFC0"/>
        </a:solidFill>
        <a:ln w="9525" algn="ctr">
          <a:solidFill>
            <a:srgbClr val="000000"/>
          </a:solidFill>
          <a:miter lim="800000"/>
          <a:headEnd/>
          <a:tailEnd/>
        </a:ln>
      </xdr:spPr>
      <xdr:txBody>
        <a:bodyPr/>
        <a:lstStyle/>
        <a:p>
          <a:r>
            <a:rPr lang="fr-FR"/>
            <a:t>60 % of the sales were</a:t>
          </a:r>
          <a:r>
            <a:rPr lang="fr-FR" baseline="0"/>
            <a:t> made in the 4x2 Tractor and 40% of the sales were made in the 8x4 Rigid </a:t>
          </a:r>
          <a:endParaRPr lang="fr-FR"/>
        </a:p>
      </xdr:txBody>
    </xdr:sp>
    <xdr:clientData/>
  </xdr:twoCellAnchor>
  <xdr:twoCellAnchor>
    <xdr:from>
      <xdr:col>0</xdr:col>
      <xdr:colOff>9525</xdr:colOff>
      <xdr:row>28</xdr:row>
      <xdr:rowOff>9525</xdr:rowOff>
    </xdr:from>
    <xdr:to>
      <xdr:col>10</xdr:col>
      <xdr:colOff>2124075</xdr:colOff>
      <xdr:row>32</xdr:row>
      <xdr:rowOff>9525</xdr:rowOff>
    </xdr:to>
    <xdr:sp macro="" textlink="" fLocksText="0">
      <xdr:nvSpPr>
        <xdr:cNvPr id="75791" name="Rectangle 5">
          <a:extLst>
            <a:ext uri="{FF2B5EF4-FFF2-40B4-BE49-F238E27FC236}">
              <a16:creationId xmlns:a16="http://schemas.microsoft.com/office/drawing/2014/main" xmlns="" id="{00000000-0008-0000-1800-00000F280100}"/>
            </a:ext>
          </a:extLst>
        </xdr:cNvPr>
        <xdr:cNvSpPr>
          <a:spLocks noChangeArrowheads="1"/>
        </xdr:cNvSpPr>
      </xdr:nvSpPr>
      <xdr:spPr bwMode="auto">
        <a:xfrm>
          <a:off x="9525" y="4905375"/>
          <a:ext cx="9925050" cy="647700"/>
        </a:xfrm>
        <a:prstGeom prst="rect">
          <a:avLst/>
        </a:prstGeom>
        <a:solidFill>
          <a:srgbClr val="FFFFC0"/>
        </a:solidFill>
        <a:ln w="9525" algn="ctr">
          <a:solidFill>
            <a:srgbClr val="000000"/>
          </a:solidFill>
          <a:miter lim="800000"/>
          <a:headEnd/>
          <a:tailEnd/>
        </a:ln>
      </xdr:spPr>
      <xdr:txBody>
        <a:bodyPr/>
        <a:lstStyle/>
        <a:p>
          <a:r>
            <a:rPr lang="fr-FR"/>
            <a:t>For price positioning we will aim at enhancing</a:t>
          </a:r>
          <a:r>
            <a:rPr lang="fr-FR" baseline="0"/>
            <a:t> the quality of the product, reliability quality and quality of after sales to be integreted in our offers to offset the attractiveness of low base price competiteveness. Price benchmarking above Iveco and Renault and close range to Scania, Volvo and Man to work on the trade in value.                                                                                               </a:t>
          </a:r>
          <a:r>
            <a:rPr lang="fr-FR" baseline="0">
              <a:solidFill>
                <a:sysClr val="windowText" lastClr="000000"/>
              </a:solidFill>
            </a:rPr>
            <a:t>We operate in a market where the product is homogeneous and the market is competitive. </a:t>
          </a:r>
          <a:endParaRPr lang="fr-FR">
            <a:solidFill>
              <a:sysClr val="windowText" lastClr="000000"/>
            </a:solidFill>
          </a:endParaRPr>
        </a:p>
      </xdr:txBody>
    </xdr:sp>
    <xdr:clientData/>
  </xdr:twoCellAnchor>
  <xdr:twoCellAnchor>
    <xdr:from>
      <xdr:col>0</xdr:col>
      <xdr:colOff>9525</xdr:colOff>
      <xdr:row>34</xdr:row>
      <xdr:rowOff>0</xdr:rowOff>
    </xdr:from>
    <xdr:to>
      <xdr:col>10</xdr:col>
      <xdr:colOff>2124075</xdr:colOff>
      <xdr:row>37</xdr:row>
      <xdr:rowOff>180975</xdr:rowOff>
    </xdr:to>
    <xdr:sp macro="" textlink="" fLocksText="0">
      <xdr:nvSpPr>
        <xdr:cNvPr id="75792" name="Rectangle 6">
          <a:extLst>
            <a:ext uri="{FF2B5EF4-FFF2-40B4-BE49-F238E27FC236}">
              <a16:creationId xmlns:a16="http://schemas.microsoft.com/office/drawing/2014/main" xmlns="" id="{00000000-0008-0000-1800-000010280100}"/>
            </a:ext>
          </a:extLst>
        </xdr:cNvPr>
        <xdr:cNvSpPr>
          <a:spLocks noChangeArrowheads="1"/>
        </xdr:cNvSpPr>
      </xdr:nvSpPr>
      <xdr:spPr bwMode="auto">
        <a:xfrm>
          <a:off x="9525" y="5924550"/>
          <a:ext cx="9925050" cy="752475"/>
        </a:xfrm>
        <a:prstGeom prst="rect">
          <a:avLst/>
        </a:prstGeom>
        <a:solidFill>
          <a:srgbClr val="FFFFC0"/>
        </a:solidFill>
        <a:ln w="9525" algn="ctr">
          <a:solidFill>
            <a:srgbClr val="000000"/>
          </a:solidFill>
          <a:miter lim="800000"/>
          <a:headEnd/>
          <a:tailEnd/>
        </a:ln>
      </xdr:spPr>
      <xdr:txBody>
        <a:bodyPr/>
        <a:lstStyle/>
        <a:p>
          <a:r>
            <a:rPr lang="fr-FR"/>
            <a:t>To</a:t>
          </a:r>
          <a:r>
            <a:rPr lang="fr-FR" baseline="0"/>
            <a:t> maximize our marketing  investment  we intend to use direct marketing tools such as face to face selling, local and national radio, newspapers, billboards, launch events, emailing, online marketing such as target ads using Google's Adwords and Microsoft's Bing Ads, to reach our aimed audience (fleet owners / decision makers, medium and small companies owners / decision makers and drivers owners</a:t>
          </a:r>
          <a:r>
            <a:rPr lang="fr-FR" baseline="0">
              <a:solidFill>
                <a:sysClr val="windowText" lastClr="000000"/>
              </a:solidFill>
            </a:rPr>
            <a:t>. Besides, we will create a facebook fan page in order to display our trucks and encourage blogs and reviews. </a:t>
          </a:r>
          <a:endParaRPr lang="fr-FR">
            <a:solidFill>
              <a:sysClr val="windowText" lastClr="000000"/>
            </a:solidFill>
          </a:endParaRPr>
        </a:p>
      </xdr:txBody>
    </xdr:sp>
    <xdr:clientData/>
  </xdr:twoCellAnchor>
  <xdr:twoCellAnchor>
    <xdr:from>
      <xdr:col>0</xdr:col>
      <xdr:colOff>19050</xdr:colOff>
      <xdr:row>40</xdr:row>
      <xdr:rowOff>9525</xdr:rowOff>
    </xdr:from>
    <xdr:to>
      <xdr:col>10</xdr:col>
      <xdr:colOff>2124075</xdr:colOff>
      <xdr:row>43</xdr:row>
      <xdr:rowOff>171450</xdr:rowOff>
    </xdr:to>
    <xdr:sp macro="" textlink="" fLocksText="0">
      <xdr:nvSpPr>
        <xdr:cNvPr id="75793" name="Rectangle 7">
          <a:extLst>
            <a:ext uri="{FF2B5EF4-FFF2-40B4-BE49-F238E27FC236}">
              <a16:creationId xmlns:a16="http://schemas.microsoft.com/office/drawing/2014/main" xmlns="" id="{00000000-0008-0000-1800-000011280100}"/>
            </a:ext>
          </a:extLst>
        </xdr:cNvPr>
        <xdr:cNvSpPr>
          <a:spLocks noChangeArrowheads="1"/>
        </xdr:cNvSpPr>
      </xdr:nvSpPr>
      <xdr:spPr bwMode="auto">
        <a:xfrm>
          <a:off x="19050" y="7077075"/>
          <a:ext cx="9915525" cy="733425"/>
        </a:xfrm>
        <a:prstGeom prst="rect">
          <a:avLst/>
        </a:prstGeom>
        <a:solidFill>
          <a:srgbClr val="FFFFC0"/>
        </a:solidFill>
        <a:ln w="9525" algn="ctr">
          <a:solidFill>
            <a:srgbClr val="000000"/>
          </a:solidFill>
          <a:miter lim="800000"/>
          <a:headEnd/>
          <a:tailEnd/>
        </a:ln>
      </xdr:spPr>
      <xdr:txBody>
        <a:bodyPr/>
        <a:lstStyle/>
        <a:p>
          <a:r>
            <a:rPr lang="fr-FR"/>
            <a:t>To focus on segment for which our products are suitable</a:t>
          </a:r>
          <a:r>
            <a:rPr lang="fr-FR" baseline="0"/>
            <a:t> and they have need to renew or expand their fleets / trucks.  For instance, the construction segment, we will target companies that won the latest state tenders.We can use all the direct marketing tools available to reach them. Also we have to convince influencers / opinion leaders to buy our products by selling trucks at promotional price, invitations to truck shows, DAF factory visit, one of our target audience will be the winners of the construction sector to send them to the </a:t>
          </a:r>
          <a:r>
            <a:rPr lang="fr-FR" baseline="0">
              <a:solidFill>
                <a:sysClr val="windowText" lastClr="000000"/>
              </a:solidFill>
            </a:rPr>
            <a:t>Bauma exhibition in Munich. </a:t>
          </a:r>
          <a:endParaRPr lang="fr-FR">
            <a:solidFill>
              <a:sysClr val="windowText" lastClr="000000"/>
            </a:solidFill>
          </a:endParaRPr>
        </a:p>
      </xdr:txBody>
    </xdr:sp>
    <xdr:clientData/>
  </xdr:twoCellAnchor>
  <xdr:twoCellAnchor>
    <xdr:from>
      <xdr:col>0</xdr:col>
      <xdr:colOff>9525</xdr:colOff>
      <xdr:row>45</xdr:row>
      <xdr:rowOff>180975</xdr:rowOff>
    </xdr:from>
    <xdr:to>
      <xdr:col>10</xdr:col>
      <xdr:colOff>2124075</xdr:colOff>
      <xdr:row>50</xdr:row>
      <xdr:rowOff>0</xdr:rowOff>
    </xdr:to>
    <xdr:sp macro="" textlink="" fLocksText="0">
      <xdr:nvSpPr>
        <xdr:cNvPr id="75794" name="Rectangle 8">
          <a:extLst>
            <a:ext uri="{FF2B5EF4-FFF2-40B4-BE49-F238E27FC236}">
              <a16:creationId xmlns:a16="http://schemas.microsoft.com/office/drawing/2014/main" xmlns="" id="{00000000-0008-0000-1800-000012280100}"/>
            </a:ext>
          </a:extLst>
        </xdr:cNvPr>
        <xdr:cNvSpPr>
          <a:spLocks noChangeArrowheads="1"/>
        </xdr:cNvSpPr>
      </xdr:nvSpPr>
      <xdr:spPr bwMode="auto">
        <a:xfrm>
          <a:off x="9525" y="8107892"/>
          <a:ext cx="9946217" cy="771525"/>
        </a:xfrm>
        <a:prstGeom prst="rect">
          <a:avLst/>
        </a:prstGeom>
        <a:solidFill>
          <a:srgbClr val="FFFFC0"/>
        </a:solidFill>
        <a:ln w="9525" algn="ctr">
          <a:solidFill>
            <a:srgbClr val="000000"/>
          </a:solidFill>
          <a:miter lim="800000"/>
          <a:headEnd/>
          <a:tailEnd/>
        </a:ln>
      </xdr:spPr>
      <xdr:txBody>
        <a:bodyPr/>
        <a:lstStyle/>
        <a:p>
          <a:r>
            <a:rPr lang="fr-FR"/>
            <a:t>Higly experimented</a:t>
          </a:r>
          <a:r>
            <a:rPr lang="fr-FR" baseline="0"/>
            <a:t> and ambitious team. Financially rewarded  when sales targets are met.                                                                                                                                                                                  Set up a presence on such tools as Twitter and Facebook to inform competitors'customers and customers of the newest vehicules in our park.                                                                                  Customer relationship management will be used to connect with potential and current clients. </a:t>
          </a:r>
          <a:endParaRPr lang="fr-FR">
            <a:solidFill>
              <a:srgbClr val="FF0000"/>
            </a:solidFill>
          </a:endParaRPr>
        </a:p>
      </xdr:txBody>
    </xdr:sp>
    <xdr:clientData/>
  </xdr:twoCellAnchor>
  <xdr:twoCellAnchor>
    <xdr:from>
      <xdr:col>0</xdr:col>
      <xdr:colOff>19050</xdr:colOff>
      <xdr:row>52</xdr:row>
      <xdr:rowOff>0</xdr:rowOff>
    </xdr:from>
    <xdr:to>
      <xdr:col>10</xdr:col>
      <xdr:colOff>2124075</xdr:colOff>
      <xdr:row>56</xdr:row>
      <xdr:rowOff>0</xdr:rowOff>
    </xdr:to>
    <xdr:sp macro="" textlink="" fLocksText="0">
      <xdr:nvSpPr>
        <xdr:cNvPr id="75795" name="Rectangle 9">
          <a:extLst>
            <a:ext uri="{FF2B5EF4-FFF2-40B4-BE49-F238E27FC236}">
              <a16:creationId xmlns:a16="http://schemas.microsoft.com/office/drawing/2014/main" xmlns="" id="{00000000-0008-0000-1800-000013280100}"/>
            </a:ext>
          </a:extLst>
        </xdr:cNvPr>
        <xdr:cNvSpPr>
          <a:spLocks noChangeArrowheads="1"/>
        </xdr:cNvSpPr>
      </xdr:nvSpPr>
      <xdr:spPr bwMode="auto">
        <a:xfrm>
          <a:off x="19050" y="9353550"/>
          <a:ext cx="9915525" cy="190500"/>
        </a:xfrm>
        <a:prstGeom prst="rect">
          <a:avLst/>
        </a:prstGeom>
        <a:solidFill>
          <a:srgbClr val="FFFFC0"/>
        </a:solidFill>
        <a:ln w="9525" algn="ctr">
          <a:solidFill>
            <a:srgbClr val="000000"/>
          </a:solidFill>
          <a:miter lim="800000"/>
          <a:headEnd/>
          <a:tailEnd/>
        </a:ln>
      </xdr:spPr>
      <xdr:txBody>
        <a:bodyPr/>
        <a:lstStyle/>
        <a:p>
          <a:r>
            <a:rPr lang="fr-FR"/>
            <a:t>Unfamiliar</a:t>
          </a:r>
          <a:r>
            <a:rPr lang="fr-FR" baseline="0"/>
            <a:t> with the product (technically), lack of knowledge of the </a:t>
          </a:r>
          <a:r>
            <a:rPr lang="fr-FR" sz="1100" baseline="0">
              <a:latin typeface="+mn-lt"/>
              <a:ea typeface="+mn-ea"/>
              <a:cs typeface="+mn-cs"/>
            </a:rPr>
            <a:t>management </a:t>
          </a:r>
          <a:r>
            <a:rPr lang="fr-FR" baseline="0"/>
            <a:t>IT tool </a:t>
          </a:r>
          <a:endParaRPr lang="fr-FR"/>
        </a:p>
      </xdr:txBody>
    </xdr:sp>
    <xdr:clientData/>
  </xdr:twoCellAnchor>
  <xdr:twoCellAnchor>
    <xdr:from>
      <xdr:col>0</xdr:col>
      <xdr:colOff>9525</xdr:colOff>
      <xdr:row>58</xdr:row>
      <xdr:rowOff>0</xdr:rowOff>
    </xdr:from>
    <xdr:to>
      <xdr:col>10</xdr:col>
      <xdr:colOff>2124075</xdr:colOff>
      <xdr:row>59</xdr:row>
      <xdr:rowOff>180975</xdr:rowOff>
    </xdr:to>
    <xdr:sp macro="" textlink="">
      <xdr:nvSpPr>
        <xdr:cNvPr id="75967" name="Rectangle 10">
          <a:extLst>
            <a:ext uri="{FF2B5EF4-FFF2-40B4-BE49-F238E27FC236}">
              <a16:creationId xmlns:a16="http://schemas.microsoft.com/office/drawing/2014/main" xmlns="" id="{00000000-0008-0000-1800-0000BF280100}"/>
            </a:ext>
          </a:extLst>
        </xdr:cNvPr>
        <xdr:cNvSpPr>
          <a:spLocks noChangeArrowheads="1"/>
        </xdr:cNvSpPr>
      </xdr:nvSpPr>
      <xdr:spPr bwMode="auto">
        <a:xfrm>
          <a:off x="9525" y="9544050"/>
          <a:ext cx="9925050" cy="0"/>
        </a:xfrm>
        <a:prstGeom prst="rect">
          <a:avLst/>
        </a:prstGeom>
        <a:solidFill>
          <a:srgbClr val="FFFFC0"/>
        </a:solidFill>
        <a:ln w="9525" algn="ctr">
          <a:solidFill>
            <a:srgbClr val="000000"/>
          </a:solidFill>
          <a:miter lim="800000"/>
          <a:headEnd/>
          <a:tailEnd/>
        </a:ln>
      </xdr:spPr>
    </xdr:sp>
    <xdr:clientData/>
  </xdr:twoCellAnchor>
  <xdr:twoCellAnchor>
    <xdr:from>
      <xdr:col>5</xdr:col>
      <xdr:colOff>657225</xdr:colOff>
      <xdr:row>3</xdr:row>
      <xdr:rowOff>85725</xdr:rowOff>
    </xdr:from>
    <xdr:to>
      <xdr:col>10</xdr:col>
      <xdr:colOff>2076450</xdr:colOff>
      <xdr:row>40</xdr:row>
      <xdr:rowOff>47625</xdr:rowOff>
    </xdr:to>
    <xdr:sp macro="" textlink="">
      <xdr:nvSpPr>
        <xdr:cNvPr id="75797" name="MyHelpTekst" hidden="1">
          <a:extLst>
            <a:ext uri="{FF2B5EF4-FFF2-40B4-BE49-F238E27FC236}">
              <a16:creationId xmlns:a16="http://schemas.microsoft.com/office/drawing/2014/main" xmlns="" id="{00000000-0008-0000-1800-000015280100}"/>
            </a:ext>
          </a:extLst>
        </xdr:cNvPr>
        <xdr:cNvSpPr>
          <a:spLocks noChangeArrowheads="1"/>
        </xdr:cNvSpPr>
      </xdr:nvSpPr>
      <xdr:spPr bwMode="auto">
        <a:xfrm>
          <a:off x="4562475" y="904875"/>
          <a:ext cx="5324475" cy="6210300"/>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6.0 New Truck Sales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New truck sales history</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number of trucks sold per series over the last three years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Analysis new truck sales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Analyze the development concerning the volume, the volume per series, the market shares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Positioning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split between rigids and tractors, the split between different series, sales to different segments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Price and costing</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position of DAF compared to the pricing of competitive vehicles, what pricing technique will you use? Explain why.</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Advertising and promotion</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strategy concerning this activity and the operational performance. Will you use direct marketing campaigns? What promotional literature will you be developing, i.e. flyers etc.? What other promotional tools will you use?</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6. Sales/Marketing Management</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strategy concerning this activity and the operational performance. Describe how potential customers are found and approached, what the target is at this moment, what kind of strategy there is concerning segment focusing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7. Strengths of the new truck sales process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strengths of the new truck sales business.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8. Weaknesses of the new truck sales process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weaknesses of the new truck sales business.</a:t>
          </a:r>
        </a:p>
        <a:p>
          <a:pPr algn="l" rtl="0">
            <a:defRPr sz="1000"/>
          </a:pP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endParaRPr lang="nl-NL"/>
        </a:p>
      </xdr:txBody>
    </xdr:sp>
    <xdr:clientData/>
  </xdr:twoCellAnchor>
  <xdr:twoCellAnchor editAs="oneCell">
    <xdr:from>
      <xdr:col>7</xdr:col>
      <xdr:colOff>457200</xdr:colOff>
      <xdr:row>0</xdr:row>
      <xdr:rowOff>127000</xdr:rowOff>
    </xdr:from>
    <xdr:to>
      <xdr:col>8</xdr:col>
      <xdr:colOff>431800</xdr:colOff>
      <xdr:row>1</xdr:row>
      <xdr:rowOff>342900</xdr:rowOff>
    </xdr:to>
    <xdr:pic>
      <xdr:nvPicPr>
        <xdr:cNvPr id="75777" name="CommandButton1">
          <a:extLst>
            <a:ext uri="{FF2B5EF4-FFF2-40B4-BE49-F238E27FC236}">
              <a16:creationId xmlns:a16="http://schemas.microsoft.com/office/drawing/2014/main" xmlns="" id="{00000000-0008-0000-1800-00000128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0200" y="127000"/>
          <a:ext cx="863600" cy="495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9525</xdr:colOff>
      <xdr:row>10</xdr:row>
      <xdr:rowOff>152400</xdr:rowOff>
    </xdr:from>
    <xdr:to>
      <xdr:col>10</xdr:col>
      <xdr:colOff>609600</xdr:colOff>
      <xdr:row>16</xdr:row>
      <xdr:rowOff>152400</xdr:rowOff>
    </xdr:to>
    <xdr:sp macro="" textlink="" fLocksText="0">
      <xdr:nvSpPr>
        <xdr:cNvPr id="76814" name="Rectangle 3">
          <a:extLst>
            <a:ext uri="{FF2B5EF4-FFF2-40B4-BE49-F238E27FC236}">
              <a16:creationId xmlns:a16="http://schemas.microsoft.com/office/drawing/2014/main" xmlns="" id="{00000000-0008-0000-1900-00000E2C0100}"/>
            </a:ext>
          </a:extLst>
        </xdr:cNvPr>
        <xdr:cNvSpPr>
          <a:spLocks noChangeArrowheads="1"/>
        </xdr:cNvSpPr>
      </xdr:nvSpPr>
      <xdr:spPr bwMode="auto">
        <a:xfrm>
          <a:off x="9525" y="2028825"/>
          <a:ext cx="10410825" cy="971550"/>
        </a:xfrm>
        <a:prstGeom prst="rect">
          <a:avLst/>
        </a:prstGeom>
        <a:solidFill>
          <a:srgbClr val="FFFFC0"/>
        </a:solidFill>
        <a:ln w="9525" algn="ctr">
          <a:solidFill>
            <a:srgbClr val="000000"/>
          </a:solidFill>
          <a:miter lim="800000"/>
          <a:headEnd/>
          <a:tailEnd/>
        </a:ln>
      </xdr:spPr>
      <xdr:txBody>
        <a:bodyPr/>
        <a:lstStyle/>
        <a:p>
          <a:r>
            <a:rPr lang="fr-FR"/>
            <a:t>Cf tab 5.2</a:t>
          </a:r>
        </a:p>
      </xdr:txBody>
    </xdr:sp>
    <xdr:clientData/>
  </xdr:twoCellAnchor>
  <xdr:twoCellAnchor>
    <xdr:from>
      <xdr:col>0</xdr:col>
      <xdr:colOff>9525</xdr:colOff>
      <xdr:row>18</xdr:row>
      <xdr:rowOff>152400</xdr:rowOff>
    </xdr:from>
    <xdr:to>
      <xdr:col>10</xdr:col>
      <xdr:colOff>609600</xdr:colOff>
      <xdr:row>23</xdr:row>
      <xdr:rowOff>9525</xdr:rowOff>
    </xdr:to>
    <xdr:sp macro="" textlink="" fLocksText="0">
      <xdr:nvSpPr>
        <xdr:cNvPr id="76815" name="Rectangle 4">
          <a:extLst>
            <a:ext uri="{FF2B5EF4-FFF2-40B4-BE49-F238E27FC236}">
              <a16:creationId xmlns:a16="http://schemas.microsoft.com/office/drawing/2014/main" xmlns="" id="{00000000-0008-0000-1900-00000F2C0100}"/>
            </a:ext>
          </a:extLst>
        </xdr:cNvPr>
        <xdr:cNvSpPr>
          <a:spLocks noChangeArrowheads="1"/>
        </xdr:cNvSpPr>
      </xdr:nvSpPr>
      <xdr:spPr bwMode="auto">
        <a:xfrm>
          <a:off x="9525" y="3324225"/>
          <a:ext cx="10410825" cy="695325"/>
        </a:xfrm>
        <a:prstGeom prst="rect">
          <a:avLst/>
        </a:prstGeom>
        <a:solidFill>
          <a:srgbClr val="FFFFC0"/>
        </a:solidFill>
        <a:ln w="9525" algn="ctr">
          <a:solidFill>
            <a:srgbClr val="000000"/>
          </a:solidFill>
          <a:miter lim="800000"/>
          <a:headEnd/>
          <a:tailEnd/>
        </a:ln>
      </xdr:spPr>
      <xdr:txBody>
        <a:bodyPr/>
        <a:lstStyle/>
        <a:p>
          <a:r>
            <a:rPr lang="fr-FR"/>
            <a:t>Cf tab 5.2</a:t>
          </a:r>
        </a:p>
      </xdr:txBody>
    </xdr:sp>
    <xdr:clientData/>
  </xdr:twoCellAnchor>
  <xdr:twoCellAnchor>
    <xdr:from>
      <xdr:col>0</xdr:col>
      <xdr:colOff>9525</xdr:colOff>
      <xdr:row>24</xdr:row>
      <xdr:rowOff>180975</xdr:rowOff>
    </xdr:from>
    <xdr:to>
      <xdr:col>10</xdr:col>
      <xdr:colOff>609600</xdr:colOff>
      <xdr:row>28</xdr:row>
      <xdr:rowOff>180975</xdr:rowOff>
    </xdr:to>
    <xdr:sp macro="" textlink="" fLocksText="0">
      <xdr:nvSpPr>
        <xdr:cNvPr id="76816" name="Rectangle 5">
          <a:extLst>
            <a:ext uri="{FF2B5EF4-FFF2-40B4-BE49-F238E27FC236}">
              <a16:creationId xmlns:a16="http://schemas.microsoft.com/office/drawing/2014/main" xmlns="" id="{00000000-0008-0000-1900-0000102C0100}"/>
            </a:ext>
          </a:extLst>
        </xdr:cNvPr>
        <xdr:cNvSpPr>
          <a:spLocks noChangeArrowheads="1"/>
        </xdr:cNvSpPr>
      </xdr:nvSpPr>
      <xdr:spPr bwMode="auto">
        <a:xfrm>
          <a:off x="9525" y="4381500"/>
          <a:ext cx="10410825" cy="762000"/>
        </a:xfrm>
        <a:prstGeom prst="rect">
          <a:avLst/>
        </a:prstGeom>
        <a:solidFill>
          <a:srgbClr val="FFFFC0"/>
        </a:solidFill>
        <a:ln w="9525" algn="ctr">
          <a:solidFill>
            <a:srgbClr val="000000"/>
          </a:solidFill>
          <a:miter lim="800000"/>
          <a:headEnd/>
          <a:tailEnd/>
        </a:ln>
      </xdr:spPr>
      <xdr:txBody>
        <a:bodyPr/>
        <a:lstStyle/>
        <a:p>
          <a:r>
            <a:rPr lang="fr-FR"/>
            <a:t>Cf</a:t>
          </a:r>
          <a:r>
            <a:rPr lang="fr-FR" baseline="0"/>
            <a:t> tab 5.2</a:t>
          </a:r>
          <a:endParaRPr lang="fr-FR"/>
        </a:p>
      </xdr:txBody>
    </xdr:sp>
    <xdr:clientData/>
  </xdr:twoCellAnchor>
  <xdr:twoCellAnchor>
    <xdr:from>
      <xdr:col>0</xdr:col>
      <xdr:colOff>38100</xdr:colOff>
      <xdr:row>31</xdr:row>
      <xdr:rowOff>9525</xdr:rowOff>
    </xdr:from>
    <xdr:to>
      <xdr:col>10</xdr:col>
      <xdr:colOff>609600</xdr:colOff>
      <xdr:row>34</xdr:row>
      <xdr:rowOff>180975</xdr:rowOff>
    </xdr:to>
    <xdr:sp macro="" textlink="" fLocksText="0">
      <xdr:nvSpPr>
        <xdr:cNvPr id="76817" name="Rectangle 6">
          <a:extLst>
            <a:ext uri="{FF2B5EF4-FFF2-40B4-BE49-F238E27FC236}">
              <a16:creationId xmlns:a16="http://schemas.microsoft.com/office/drawing/2014/main" xmlns="" id="{00000000-0008-0000-1900-0000112C0100}"/>
            </a:ext>
          </a:extLst>
        </xdr:cNvPr>
        <xdr:cNvSpPr>
          <a:spLocks noChangeArrowheads="1"/>
        </xdr:cNvSpPr>
      </xdr:nvSpPr>
      <xdr:spPr bwMode="auto">
        <a:xfrm>
          <a:off x="38100" y="5543550"/>
          <a:ext cx="10382250" cy="742950"/>
        </a:xfrm>
        <a:prstGeom prst="rect">
          <a:avLst/>
        </a:prstGeom>
        <a:solidFill>
          <a:srgbClr val="FFFFC0"/>
        </a:solidFill>
        <a:ln w="9525" algn="ctr">
          <a:solidFill>
            <a:srgbClr val="000000"/>
          </a:solidFill>
          <a:miter lim="800000"/>
          <a:headEnd/>
          <a:tailEnd/>
        </a:ln>
      </xdr:spPr>
      <xdr:txBody>
        <a:bodyPr/>
        <a:lstStyle/>
        <a:p>
          <a:r>
            <a:rPr lang="fr-FR"/>
            <a:t>Cf tab 5.2</a:t>
          </a:r>
        </a:p>
      </xdr:txBody>
    </xdr:sp>
    <xdr:clientData/>
  </xdr:twoCellAnchor>
  <xdr:twoCellAnchor>
    <xdr:from>
      <xdr:col>0</xdr:col>
      <xdr:colOff>9525</xdr:colOff>
      <xdr:row>37</xdr:row>
      <xdr:rowOff>0</xdr:rowOff>
    </xdr:from>
    <xdr:to>
      <xdr:col>10</xdr:col>
      <xdr:colOff>609600</xdr:colOff>
      <xdr:row>41</xdr:row>
      <xdr:rowOff>0</xdr:rowOff>
    </xdr:to>
    <xdr:sp macro="" textlink="" fLocksText="0">
      <xdr:nvSpPr>
        <xdr:cNvPr id="76818" name="Rectangle 7">
          <a:extLst>
            <a:ext uri="{FF2B5EF4-FFF2-40B4-BE49-F238E27FC236}">
              <a16:creationId xmlns:a16="http://schemas.microsoft.com/office/drawing/2014/main" xmlns="" id="{00000000-0008-0000-1900-0000122C0100}"/>
            </a:ext>
          </a:extLst>
        </xdr:cNvPr>
        <xdr:cNvSpPr>
          <a:spLocks noChangeArrowheads="1"/>
        </xdr:cNvSpPr>
      </xdr:nvSpPr>
      <xdr:spPr bwMode="auto">
        <a:xfrm>
          <a:off x="9525" y="6677025"/>
          <a:ext cx="10410825" cy="762000"/>
        </a:xfrm>
        <a:prstGeom prst="rect">
          <a:avLst/>
        </a:prstGeom>
        <a:solidFill>
          <a:srgbClr val="FFFFC0"/>
        </a:solidFill>
        <a:ln w="9525" algn="ctr">
          <a:solidFill>
            <a:srgbClr val="000000"/>
          </a:solidFill>
          <a:miter lim="800000"/>
          <a:headEnd/>
          <a:tailEnd/>
        </a:ln>
      </xdr:spPr>
      <xdr:txBody>
        <a:bodyPr/>
        <a:lstStyle/>
        <a:p>
          <a:r>
            <a:rPr lang="fr-FR"/>
            <a:t>CF tab 5.2</a:t>
          </a:r>
        </a:p>
      </xdr:txBody>
    </xdr:sp>
    <xdr:clientData/>
  </xdr:twoCellAnchor>
  <xdr:twoCellAnchor>
    <xdr:from>
      <xdr:col>0</xdr:col>
      <xdr:colOff>9525</xdr:colOff>
      <xdr:row>43</xdr:row>
      <xdr:rowOff>9525</xdr:rowOff>
    </xdr:from>
    <xdr:to>
      <xdr:col>10</xdr:col>
      <xdr:colOff>609600</xdr:colOff>
      <xdr:row>46</xdr:row>
      <xdr:rowOff>180975</xdr:rowOff>
    </xdr:to>
    <xdr:sp macro="" textlink="" fLocksText="0">
      <xdr:nvSpPr>
        <xdr:cNvPr id="76819" name="Rectangle 8">
          <a:extLst>
            <a:ext uri="{FF2B5EF4-FFF2-40B4-BE49-F238E27FC236}">
              <a16:creationId xmlns:a16="http://schemas.microsoft.com/office/drawing/2014/main" xmlns="" id="{00000000-0008-0000-1900-0000132C0100}"/>
            </a:ext>
          </a:extLst>
        </xdr:cNvPr>
        <xdr:cNvSpPr>
          <a:spLocks noChangeArrowheads="1"/>
        </xdr:cNvSpPr>
      </xdr:nvSpPr>
      <xdr:spPr bwMode="auto">
        <a:xfrm>
          <a:off x="9525" y="7829550"/>
          <a:ext cx="10410825" cy="742950"/>
        </a:xfrm>
        <a:prstGeom prst="rect">
          <a:avLst/>
        </a:prstGeom>
        <a:solidFill>
          <a:srgbClr val="FFFFC0"/>
        </a:solidFill>
        <a:ln w="9525" algn="ctr">
          <a:solidFill>
            <a:srgbClr val="000000"/>
          </a:solidFill>
          <a:miter lim="800000"/>
          <a:headEnd/>
          <a:tailEnd/>
        </a:ln>
      </xdr:spPr>
      <xdr:txBody>
        <a:bodyPr/>
        <a:lstStyle/>
        <a:p>
          <a:r>
            <a:rPr lang="fr-FR"/>
            <a:t>Cf tab 5.2</a:t>
          </a:r>
        </a:p>
      </xdr:txBody>
    </xdr:sp>
    <xdr:clientData/>
  </xdr:twoCellAnchor>
  <xdr:twoCellAnchor>
    <xdr:from>
      <xdr:col>0</xdr:col>
      <xdr:colOff>9525</xdr:colOff>
      <xdr:row>49</xdr:row>
      <xdr:rowOff>0</xdr:rowOff>
    </xdr:from>
    <xdr:to>
      <xdr:col>10</xdr:col>
      <xdr:colOff>609600</xdr:colOff>
      <xdr:row>52</xdr:row>
      <xdr:rowOff>171450</xdr:rowOff>
    </xdr:to>
    <xdr:sp macro="" textlink="" fLocksText="0">
      <xdr:nvSpPr>
        <xdr:cNvPr id="76820" name="Rectangle 10">
          <a:extLst>
            <a:ext uri="{FF2B5EF4-FFF2-40B4-BE49-F238E27FC236}">
              <a16:creationId xmlns:a16="http://schemas.microsoft.com/office/drawing/2014/main" xmlns="" id="{00000000-0008-0000-1900-0000142C0100}"/>
            </a:ext>
          </a:extLst>
        </xdr:cNvPr>
        <xdr:cNvSpPr>
          <a:spLocks noChangeArrowheads="1"/>
        </xdr:cNvSpPr>
      </xdr:nvSpPr>
      <xdr:spPr bwMode="auto">
        <a:xfrm>
          <a:off x="9525" y="8963025"/>
          <a:ext cx="10410825" cy="742950"/>
        </a:xfrm>
        <a:prstGeom prst="rect">
          <a:avLst/>
        </a:prstGeom>
        <a:solidFill>
          <a:srgbClr val="FFFFC0"/>
        </a:solidFill>
        <a:ln w="9525" algn="ctr">
          <a:solidFill>
            <a:srgbClr val="000000"/>
          </a:solidFill>
          <a:miter lim="800000"/>
          <a:headEnd/>
          <a:tailEnd/>
        </a:ln>
      </xdr:spPr>
      <xdr:txBody>
        <a:bodyPr/>
        <a:lstStyle/>
        <a:p>
          <a:r>
            <a:rPr lang="fr-FR"/>
            <a:t>Cf tab 5.2</a:t>
          </a:r>
        </a:p>
      </xdr:txBody>
    </xdr:sp>
    <xdr:clientData/>
  </xdr:twoCellAnchor>
  <xdr:twoCellAnchor>
    <xdr:from>
      <xdr:col>0</xdr:col>
      <xdr:colOff>9525</xdr:colOff>
      <xdr:row>54</xdr:row>
      <xdr:rowOff>180975</xdr:rowOff>
    </xdr:from>
    <xdr:to>
      <xdr:col>10</xdr:col>
      <xdr:colOff>609600</xdr:colOff>
      <xdr:row>58</xdr:row>
      <xdr:rowOff>180975</xdr:rowOff>
    </xdr:to>
    <xdr:sp macro="" textlink="" fLocksText="0">
      <xdr:nvSpPr>
        <xdr:cNvPr id="76821" name="Rectangle 11">
          <a:extLst>
            <a:ext uri="{FF2B5EF4-FFF2-40B4-BE49-F238E27FC236}">
              <a16:creationId xmlns:a16="http://schemas.microsoft.com/office/drawing/2014/main" xmlns="" id="{00000000-0008-0000-1900-0000152C0100}"/>
            </a:ext>
          </a:extLst>
        </xdr:cNvPr>
        <xdr:cNvSpPr>
          <a:spLocks noChangeArrowheads="1"/>
        </xdr:cNvSpPr>
      </xdr:nvSpPr>
      <xdr:spPr bwMode="auto">
        <a:xfrm>
          <a:off x="9525" y="10096500"/>
          <a:ext cx="10410825" cy="762000"/>
        </a:xfrm>
        <a:prstGeom prst="rect">
          <a:avLst/>
        </a:prstGeom>
        <a:solidFill>
          <a:srgbClr val="FFFFC0"/>
        </a:solidFill>
        <a:ln w="9525" algn="ctr">
          <a:solidFill>
            <a:srgbClr val="000000"/>
          </a:solidFill>
          <a:miter lim="800000"/>
          <a:headEnd/>
          <a:tailEnd/>
        </a:ln>
      </xdr:spPr>
      <xdr:txBody>
        <a:bodyPr/>
        <a:lstStyle/>
        <a:p>
          <a:r>
            <a:rPr lang="fr-FR"/>
            <a:t>Cf</a:t>
          </a:r>
          <a:r>
            <a:rPr lang="fr-FR" baseline="0"/>
            <a:t> tab 5.2</a:t>
          </a:r>
          <a:endParaRPr lang="fr-FR"/>
        </a:p>
      </xdr:txBody>
    </xdr:sp>
    <xdr:clientData/>
  </xdr:twoCellAnchor>
  <xdr:twoCellAnchor>
    <xdr:from>
      <xdr:col>3</xdr:col>
      <xdr:colOff>561975</xdr:colOff>
      <xdr:row>2</xdr:row>
      <xdr:rowOff>133350</xdr:rowOff>
    </xdr:from>
    <xdr:to>
      <xdr:col>255</xdr:col>
      <xdr:colOff>561975</xdr:colOff>
      <xdr:row>36</xdr:row>
      <xdr:rowOff>9525</xdr:rowOff>
    </xdr:to>
    <xdr:sp macro="" textlink="">
      <xdr:nvSpPr>
        <xdr:cNvPr id="76812" name="MyHelpTekst" hidden="1">
          <a:extLst>
            <a:ext uri="{FF2B5EF4-FFF2-40B4-BE49-F238E27FC236}">
              <a16:creationId xmlns:a16="http://schemas.microsoft.com/office/drawing/2014/main" xmlns="" id="{00000000-0008-0000-1900-00000C2C0100}"/>
            </a:ext>
          </a:extLst>
        </xdr:cNvPr>
        <xdr:cNvSpPr>
          <a:spLocks noChangeArrowheads="1"/>
        </xdr:cNvSpPr>
      </xdr:nvSpPr>
      <xdr:spPr bwMode="auto">
        <a:xfrm>
          <a:off x="3505200" y="657225"/>
          <a:ext cx="6991350" cy="58388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1. Used truck sales history</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number of trucks sold per series over the last three years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Analysis used truck sales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Analyze the development concerning the volume, the market shares, the competition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Positioning</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approach concerning used trucks; there are basically three ways to the used truck department acquires a used truck to sell: trade-in, repossession and open market</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Price and costing</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position of DAF compared to the pricing of used vehicles, what pricing technique will you use? Explain why.</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Advertising and promotion</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strategy concerning this activity in the field of used trucks and the operational performance. Is there a difference compared to new trucks or after sales performance?</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6. Sales / Marketing management</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strategy concerning this activity in the field of used trucks and the operational performance. Is there a difference compared to new trucks or after sales performance?</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7. Strengths of the used truck sales process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strengths of the used truck sales business.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8. Weaknesses of the used truck sales process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weaknesses of the used truck sales business.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9. Advantages towards competitors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issues for the coming planning period.</a:t>
          </a:r>
        </a:p>
        <a:p>
          <a:pPr algn="l" rtl="0">
            <a:defRPr sz="1000"/>
          </a:pPr>
          <a:endParaRPr lang="nl-NL" sz="800" b="0" i="0" u="none" strike="noStrike" baseline="0">
            <a:solidFill>
              <a:srgbClr val="000000"/>
            </a:solidFill>
            <a:latin typeface="Trebuchet MS"/>
          </a:endParaRPr>
        </a:p>
      </xdr:txBody>
    </xdr:sp>
    <xdr:clientData/>
  </xdr:twoCellAnchor>
  <xdr:twoCellAnchor editAs="oneCell">
    <xdr:from>
      <xdr:col>7</xdr:col>
      <xdr:colOff>0</xdr:colOff>
      <xdr:row>0</xdr:row>
      <xdr:rowOff>152400</xdr:rowOff>
    </xdr:from>
    <xdr:to>
      <xdr:col>8</xdr:col>
      <xdr:colOff>382</xdr:colOff>
      <xdr:row>2</xdr:row>
      <xdr:rowOff>38100</xdr:rowOff>
    </xdr:to>
    <xdr:pic>
      <xdr:nvPicPr>
        <xdr:cNvPr id="76801" name="CommandButton1">
          <a:extLst>
            <a:ext uri="{FF2B5EF4-FFF2-40B4-BE49-F238E27FC236}">
              <a16:creationId xmlns:a16="http://schemas.microsoft.com/office/drawing/2014/main" xmlns="" id="{00000000-0008-0000-1900-0000012C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152400"/>
          <a:ext cx="1117600" cy="406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9525</xdr:colOff>
      <xdr:row>22</xdr:row>
      <xdr:rowOff>9525</xdr:rowOff>
    </xdr:from>
    <xdr:to>
      <xdr:col>10</xdr:col>
      <xdr:colOff>771525</xdr:colOff>
      <xdr:row>27</xdr:row>
      <xdr:rowOff>180975</xdr:rowOff>
    </xdr:to>
    <xdr:sp macro="" textlink="" fLocksText="0">
      <xdr:nvSpPr>
        <xdr:cNvPr id="77838" name="Rectangle 3">
          <a:extLst>
            <a:ext uri="{FF2B5EF4-FFF2-40B4-BE49-F238E27FC236}">
              <a16:creationId xmlns:a16="http://schemas.microsoft.com/office/drawing/2014/main" xmlns="" id="{00000000-0008-0000-1A00-00000E300100}"/>
            </a:ext>
          </a:extLst>
        </xdr:cNvPr>
        <xdr:cNvSpPr>
          <a:spLocks noChangeArrowheads="1"/>
        </xdr:cNvSpPr>
      </xdr:nvSpPr>
      <xdr:spPr bwMode="auto">
        <a:xfrm>
          <a:off x="9525" y="4152900"/>
          <a:ext cx="9048750" cy="1123950"/>
        </a:xfrm>
        <a:prstGeom prst="rect">
          <a:avLst/>
        </a:prstGeom>
        <a:solidFill>
          <a:srgbClr val="FFFFC0"/>
        </a:solidFill>
        <a:ln w="9525" algn="ctr">
          <a:solidFill>
            <a:srgbClr val="000000"/>
          </a:solidFill>
          <a:miter lim="800000"/>
          <a:headEnd/>
          <a:tailEnd/>
        </a:ln>
      </xdr:spPr>
      <xdr:txBody>
        <a:bodyPr/>
        <a:lstStyle/>
        <a:p>
          <a:r>
            <a:rPr lang="fr-FR"/>
            <a:t>Due to weak past</a:t>
          </a:r>
          <a:r>
            <a:rPr lang="fr-FR" baseline="0"/>
            <a:t> sales performance, </a:t>
          </a:r>
          <a:r>
            <a:rPr lang="fr-FR"/>
            <a:t> the</a:t>
          </a:r>
          <a:r>
            <a:rPr lang="fr-FR" baseline="0"/>
            <a:t> running park will not generate substantial parts revenues during the first three years., except fast moving parts since the average age of the fleet will be young                                                                 </a:t>
          </a:r>
          <a:endParaRPr lang="fr-FR"/>
        </a:p>
      </xdr:txBody>
    </xdr:sp>
    <xdr:clientData/>
  </xdr:twoCellAnchor>
  <xdr:twoCellAnchor>
    <xdr:from>
      <xdr:col>0</xdr:col>
      <xdr:colOff>9525</xdr:colOff>
      <xdr:row>30</xdr:row>
      <xdr:rowOff>9525</xdr:rowOff>
    </xdr:from>
    <xdr:to>
      <xdr:col>10</xdr:col>
      <xdr:colOff>771525</xdr:colOff>
      <xdr:row>34</xdr:row>
      <xdr:rowOff>50800</xdr:rowOff>
    </xdr:to>
    <xdr:sp macro="" textlink="" fLocksText="0">
      <xdr:nvSpPr>
        <xdr:cNvPr id="77839" name="Rectangle 4">
          <a:extLst>
            <a:ext uri="{FF2B5EF4-FFF2-40B4-BE49-F238E27FC236}">
              <a16:creationId xmlns:a16="http://schemas.microsoft.com/office/drawing/2014/main" xmlns="" id="{00000000-0008-0000-1A00-00000F300100}"/>
            </a:ext>
          </a:extLst>
        </xdr:cNvPr>
        <xdr:cNvSpPr>
          <a:spLocks noChangeArrowheads="1"/>
        </xdr:cNvSpPr>
      </xdr:nvSpPr>
      <xdr:spPr bwMode="auto">
        <a:xfrm>
          <a:off x="9525" y="5165725"/>
          <a:ext cx="9436100" cy="727075"/>
        </a:xfrm>
        <a:prstGeom prst="rect">
          <a:avLst/>
        </a:prstGeom>
        <a:solidFill>
          <a:srgbClr val="FFFFC0"/>
        </a:solidFill>
        <a:ln w="9525" algn="ctr">
          <a:solidFill>
            <a:srgbClr val="000000"/>
          </a:solidFill>
          <a:miter lim="800000"/>
          <a:headEnd/>
          <a:tailEnd/>
        </a:ln>
      </xdr:spPr>
      <xdr:txBody>
        <a:bodyPr/>
        <a:lstStyle/>
        <a:p>
          <a:r>
            <a:rPr lang="fr-FR"/>
            <a:t>Our positioning for captive</a:t>
          </a:r>
          <a:r>
            <a:rPr lang="fr-FR" baseline="0"/>
            <a:t> parts pricing policy will take into considerations the captive pricing policy of the main competitors in order not to hinder the sale of trucks when the buyer compare the total cost of operation                                                                                                                                                                                                                                                          To ward off the competion from OEM parts we would aim at having  a price differential of no more than 10 percent for DAF branded parts                                                                                                                                                                                                                                                                                                                     To grasp the largest market share for parts sales we will also rely on supplies from TRP to face the competition                                                      </a:t>
          </a:r>
          <a:endParaRPr lang="fr-FR"/>
        </a:p>
      </xdr:txBody>
    </xdr:sp>
    <xdr:clientData/>
  </xdr:twoCellAnchor>
  <xdr:twoCellAnchor>
    <xdr:from>
      <xdr:col>0</xdr:col>
      <xdr:colOff>9525</xdr:colOff>
      <xdr:row>36</xdr:row>
      <xdr:rowOff>9525</xdr:rowOff>
    </xdr:from>
    <xdr:to>
      <xdr:col>10</xdr:col>
      <xdr:colOff>771525</xdr:colOff>
      <xdr:row>40</xdr:row>
      <xdr:rowOff>0</xdr:rowOff>
    </xdr:to>
    <xdr:sp macro="" textlink="" fLocksText="0">
      <xdr:nvSpPr>
        <xdr:cNvPr id="77840" name="Rectangle 5">
          <a:extLst>
            <a:ext uri="{FF2B5EF4-FFF2-40B4-BE49-F238E27FC236}">
              <a16:creationId xmlns:a16="http://schemas.microsoft.com/office/drawing/2014/main" xmlns="" id="{00000000-0008-0000-1A00-000010300100}"/>
            </a:ext>
          </a:extLst>
        </xdr:cNvPr>
        <xdr:cNvSpPr>
          <a:spLocks noChangeArrowheads="1"/>
        </xdr:cNvSpPr>
      </xdr:nvSpPr>
      <xdr:spPr bwMode="auto">
        <a:xfrm>
          <a:off x="9525" y="6819900"/>
          <a:ext cx="9048750" cy="752475"/>
        </a:xfrm>
        <a:prstGeom prst="rect">
          <a:avLst/>
        </a:prstGeom>
        <a:solidFill>
          <a:srgbClr val="FFFFC0"/>
        </a:solidFill>
        <a:ln w="9525" algn="ctr">
          <a:solidFill>
            <a:srgbClr val="000000"/>
          </a:solidFill>
          <a:miter lim="800000"/>
          <a:headEnd/>
          <a:tailEnd/>
        </a:ln>
      </xdr:spPr>
      <xdr:txBody>
        <a:bodyPr/>
        <a:lstStyle/>
        <a:p>
          <a:r>
            <a:rPr lang="fr-FR"/>
            <a:t>For</a:t>
          </a:r>
          <a:r>
            <a:rPr lang="fr-FR" baseline="0"/>
            <a:t> price and costing positioning we will use the competition based pricing. Price benchmarking against the competition for captive parts (truck manufacturer) and second benchmarking against OEM parts manufacturer.   </a:t>
          </a:r>
          <a:endParaRPr lang="fr-FR"/>
        </a:p>
      </xdr:txBody>
    </xdr:sp>
    <xdr:clientData/>
  </xdr:twoCellAnchor>
  <xdr:twoCellAnchor>
    <xdr:from>
      <xdr:col>0</xdr:col>
      <xdr:colOff>9525</xdr:colOff>
      <xdr:row>42</xdr:row>
      <xdr:rowOff>9525</xdr:rowOff>
    </xdr:from>
    <xdr:to>
      <xdr:col>10</xdr:col>
      <xdr:colOff>771525</xdr:colOff>
      <xdr:row>46</xdr:row>
      <xdr:rowOff>9525</xdr:rowOff>
    </xdr:to>
    <xdr:sp macro="" textlink="" fLocksText="0">
      <xdr:nvSpPr>
        <xdr:cNvPr id="77841" name="Rectangle 6">
          <a:extLst>
            <a:ext uri="{FF2B5EF4-FFF2-40B4-BE49-F238E27FC236}">
              <a16:creationId xmlns:a16="http://schemas.microsoft.com/office/drawing/2014/main" xmlns="" id="{00000000-0008-0000-1A00-000011300100}"/>
            </a:ext>
          </a:extLst>
        </xdr:cNvPr>
        <xdr:cNvSpPr>
          <a:spLocks noChangeArrowheads="1"/>
        </xdr:cNvSpPr>
      </xdr:nvSpPr>
      <xdr:spPr bwMode="auto">
        <a:xfrm>
          <a:off x="9525" y="7962900"/>
          <a:ext cx="9048750" cy="762000"/>
        </a:xfrm>
        <a:prstGeom prst="rect">
          <a:avLst/>
        </a:prstGeom>
        <a:solidFill>
          <a:srgbClr val="FFFFC0"/>
        </a:solidFill>
        <a:ln w="9525" algn="ctr">
          <a:solidFill>
            <a:srgbClr val="000000"/>
          </a:solidFill>
          <a:miter lim="800000"/>
          <a:headEnd/>
          <a:tailEnd/>
        </a:ln>
      </xdr:spPr>
      <xdr:txBody>
        <a:bodyPr/>
        <a:lstStyle/>
        <a:p>
          <a:r>
            <a:rPr lang="fr-FR"/>
            <a:t>TIM</a:t>
          </a:r>
          <a:r>
            <a:rPr lang="fr-FR" baseline="0"/>
            <a:t> will be proactive in parts sales. To maximize our marketing investment we intend to use direct marketing tools such as face to face selling, local and national radio, newspapers, billboards, lauching events, emailing, online marketing such as target ads using Google's Adwords and Microsoft's Bing Ads, to reach our aimed audience (fleet owners (target the techncial staffs and mechanics) , medium and small companies owners and drivers owners).   </a:t>
          </a:r>
          <a:endParaRPr lang="fr-FR"/>
        </a:p>
      </xdr:txBody>
    </xdr:sp>
    <xdr:clientData/>
  </xdr:twoCellAnchor>
  <xdr:twoCellAnchor>
    <xdr:from>
      <xdr:col>0</xdr:col>
      <xdr:colOff>9525</xdr:colOff>
      <xdr:row>48</xdr:row>
      <xdr:rowOff>0</xdr:rowOff>
    </xdr:from>
    <xdr:to>
      <xdr:col>10</xdr:col>
      <xdr:colOff>771525</xdr:colOff>
      <xdr:row>52</xdr:row>
      <xdr:rowOff>0</xdr:rowOff>
    </xdr:to>
    <xdr:sp macro="" textlink="" fLocksText="0">
      <xdr:nvSpPr>
        <xdr:cNvPr id="77842" name="Rectangle 8">
          <a:extLst>
            <a:ext uri="{FF2B5EF4-FFF2-40B4-BE49-F238E27FC236}">
              <a16:creationId xmlns:a16="http://schemas.microsoft.com/office/drawing/2014/main" xmlns="" id="{00000000-0008-0000-1A00-000012300100}"/>
            </a:ext>
          </a:extLst>
        </xdr:cNvPr>
        <xdr:cNvSpPr>
          <a:spLocks noChangeArrowheads="1"/>
        </xdr:cNvSpPr>
      </xdr:nvSpPr>
      <xdr:spPr bwMode="auto">
        <a:xfrm>
          <a:off x="9525" y="9096375"/>
          <a:ext cx="9048750" cy="762000"/>
        </a:xfrm>
        <a:prstGeom prst="rect">
          <a:avLst/>
        </a:prstGeom>
        <a:solidFill>
          <a:srgbClr val="FFFFC0"/>
        </a:solidFill>
        <a:ln w="9525" algn="ctr">
          <a:solidFill>
            <a:srgbClr val="000000"/>
          </a:solidFill>
          <a:miter lim="800000"/>
          <a:headEnd/>
          <a:tailEnd/>
        </a:ln>
      </xdr:spPr>
      <xdr:txBody>
        <a:bodyPr/>
        <a:lstStyle/>
        <a:p>
          <a:r>
            <a:rPr lang="fr-FR"/>
            <a:t>From our customers database </a:t>
          </a:r>
          <a:r>
            <a:rPr lang="fr-FR" baseline="0"/>
            <a:t> will target fleet owners'technical managers and mechanics with campaigns, on site visits and tehnical sessions to promote DAF parts in order to generate customers fidelity                                                                                                                                                                                                                                                                         Price discounting incentive based on  quaterly turnover for major customers </a:t>
          </a:r>
          <a:endParaRPr lang="fr-FR"/>
        </a:p>
      </xdr:txBody>
    </xdr:sp>
    <xdr:clientData/>
  </xdr:twoCellAnchor>
  <xdr:twoCellAnchor>
    <xdr:from>
      <xdr:col>0</xdr:col>
      <xdr:colOff>9525</xdr:colOff>
      <xdr:row>54</xdr:row>
      <xdr:rowOff>0</xdr:rowOff>
    </xdr:from>
    <xdr:to>
      <xdr:col>10</xdr:col>
      <xdr:colOff>771525</xdr:colOff>
      <xdr:row>57</xdr:row>
      <xdr:rowOff>180975</xdr:rowOff>
    </xdr:to>
    <xdr:sp macro="" textlink="" fLocksText="0">
      <xdr:nvSpPr>
        <xdr:cNvPr id="77843" name="Rectangle 9">
          <a:extLst>
            <a:ext uri="{FF2B5EF4-FFF2-40B4-BE49-F238E27FC236}">
              <a16:creationId xmlns:a16="http://schemas.microsoft.com/office/drawing/2014/main" xmlns="" id="{00000000-0008-0000-1A00-000013300100}"/>
            </a:ext>
          </a:extLst>
        </xdr:cNvPr>
        <xdr:cNvSpPr>
          <a:spLocks noChangeArrowheads="1"/>
        </xdr:cNvSpPr>
      </xdr:nvSpPr>
      <xdr:spPr bwMode="auto">
        <a:xfrm>
          <a:off x="9525" y="10239375"/>
          <a:ext cx="9048750" cy="752475"/>
        </a:xfrm>
        <a:prstGeom prst="rect">
          <a:avLst/>
        </a:prstGeom>
        <a:solidFill>
          <a:srgbClr val="FFFFC0"/>
        </a:solidFill>
        <a:ln w="9525" algn="ctr">
          <a:solidFill>
            <a:srgbClr val="000000"/>
          </a:solidFill>
          <a:miter lim="800000"/>
          <a:headEnd/>
          <a:tailEnd/>
        </a:ln>
      </xdr:spPr>
      <xdr:txBody>
        <a:bodyPr/>
        <a:lstStyle/>
        <a:p>
          <a:r>
            <a:rPr lang="fr-FR"/>
            <a:t>Workshop sales:</a:t>
          </a:r>
          <a:r>
            <a:rPr lang="fr-FR" baseline="0"/>
            <a:t> </a:t>
          </a:r>
          <a:r>
            <a:rPr lang="fr-FR"/>
            <a:t>Skilled and experienced technicians</a:t>
          </a:r>
          <a:r>
            <a:rPr lang="fr-FR" baseline="0"/>
            <a:t>, right sized, fully equipped and well positioned workshops                                                                                                                    Over the counter: credit and payment terms for fleet owners                                                                                                                                                                                                       Proactive parts sales policy by the parts sales team </a:t>
          </a:r>
          <a:endParaRPr lang="fr-FR"/>
        </a:p>
      </xdr:txBody>
    </xdr:sp>
    <xdr:clientData/>
  </xdr:twoCellAnchor>
  <xdr:twoCellAnchor>
    <xdr:from>
      <xdr:col>0</xdr:col>
      <xdr:colOff>0</xdr:colOff>
      <xdr:row>60</xdr:row>
      <xdr:rowOff>0</xdr:rowOff>
    </xdr:from>
    <xdr:to>
      <xdr:col>10</xdr:col>
      <xdr:colOff>771525</xdr:colOff>
      <xdr:row>64</xdr:row>
      <xdr:rowOff>0</xdr:rowOff>
    </xdr:to>
    <xdr:sp macro="" textlink="" fLocksText="0">
      <xdr:nvSpPr>
        <xdr:cNvPr id="77844" name="Rectangle 10">
          <a:extLst>
            <a:ext uri="{FF2B5EF4-FFF2-40B4-BE49-F238E27FC236}">
              <a16:creationId xmlns:a16="http://schemas.microsoft.com/office/drawing/2014/main" xmlns="" id="{00000000-0008-0000-1A00-000014300100}"/>
            </a:ext>
          </a:extLst>
        </xdr:cNvPr>
        <xdr:cNvSpPr>
          <a:spLocks noChangeArrowheads="1"/>
        </xdr:cNvSpPr>
      </xdr:nvSpPr>
      <xdr:spPr bwMode="auto">
        <a:xfrm>
          <a:off x="0" y="11382375"/>
          <a:ext cx="9058275" cy="762000"/>
        </a:xfrm>
        <a:prstGeom prst="rect">
          <a:avLst/>
        </a:prstGeom>
        <a:solidFill>
          <a:srgbClr val="FFFFC0"/>
        </a:solidFill>
        <a:ln w="9525" algn="ctr">
          <a:solidFill>
            <a:srgbClr val="000000"/>
          </a:solidFill>
          <a:miter lim="800000"/>
          <a:headEnd/>
          <a:tailEnd/>
        </a:ln>
      </xdr:spPr>
      <xdr:txBody>
        <a:bodyPr/>
        <a:lstStyle/>
        <a:p>
          <a:r>
            <a:rPr lang="fr-FR"/>
            <a:t>Learning curve stage for</a:t>
          </a:r>
          <a:r>
            <a:rPr lang="fr-FR" baseline="0"/>
            <a:t> the first year and lack of visibility of the DAF parts brand</a:t>
          </a:r>
          <a:endParaRPr lang="fr-FR"/>
        </a:p>
      </xdr:txBody>
    </xdr:sp>
    <xdr:clientData/>
  </xdr:twoCellAnchor>
  <xdr:twoCellAnchor>
    <xdr:from>
      <xdr:col>0</xdr:col>
      <xdr:colOff>9525</xdr:colOff>
      <xdr:row>66</xdr:row>
      <xdr:rowOff>0</xdr:rowOff>
    </xdr:from>
    <xdr:to>
      <xdr:col>10</xdr:col>
      <xdr:colOff>771525</xdr:colOff>
      <xdr:row>67</xdr:row>
      <xdr:rowOff>180975</xdr:rowOff>
    </xdr:to>
    <xdr:sp macro="" textlink="" fLocksText="0">
      <xdr:nvSpPr>
        <xdr:cNvPr id="77845" name="Rectangle 11">
          <a:extLst>
            <a:ext uri="{FF2B5EF4-FFF2-40B4-BE49-F238E27FC236}">
              <a16:creationId xmlns:a16="http://schemas.microsoft.com/office/drawing/2014/main" xmlns="" id="{00000000-0008-0000-1A00-000015300100}"/>
            </a:ext>
          </a:extLst>
        </xdr:cNvPr>
        <xdr:cNvSpPr>
          <a:spLocks noChangeArrowheads="1"/>
        </xdr:cNvSpPr>
      </xdr:nvSpPr>
      <xdr:spPr bwMode="auto">
        <a:xfrm>
          <a:off x="9525" y="12525375"/>
          <a:ext cx="9048750" cy="371475"/>
        </a:xfrm>
        <a:prstGeom prst="rect">
          <a:avLst/>
        </a:prstGeom>
        <a:solidFill>
          <a:srgbClr val="FFFFC0"/>
        </a:solidFill>
        <a:ln w="9525" algn="ctr">
          <a:solidFill>
            <a:srgbClr val="000000"/>
          </a:solidFill>
          <a:miter lim="800000"/>
          <a:headEnd/>
          <a:tailEnd/>
        </a:ln>
      </xdr:spPr>
      <xdr:txBody>
        <a:bodyPr/>
        <a:lstStyle/>
        <a:p>
          <a:r>
            <a:rPr lang="fr-FR"/>
            <a:t>Facing </a:t>
          </a:r>
          <a:r>
            <a:rPr lang="fr-FR" baseline="0"/>
            <a:t> a highly competitve parts market from OEM and from pirates parts                                                                                                                                                                                       </a:t>
          </a:r>
          <a:r>
            <a:rPr lang="fr-FR"/>
            <a:t>TRP</a:t>
          </a:r>
          <a:r>
            <a:rPr lang="fr-FR" baseline="0"/>
            <a:t> take advantage to match OEM policy </a:t>
          </a:r>
          <a:endParaRPr lang="fr-FR"/>
        </a:p>
      </xdr:txBody>
    </xdr:sp>
    <xdr:clientData/>
  </xdr:twoCellAnchor>
  <xdr:twoCellAnchor>
    <xdr:from>
      <xdr:col>3</xdr:col>
      <xdr:colOff>561975</xdr:colOff>
      <xdr:row>3</xdr:row>
      <xdr:rowOff>76200</xdr:rowOff>
    </xdr:from>
    <xdr:to>
      <xdr:col>10</xdr:col>
      <xdr:colOff>771525</xdr:colOff>
      <xdr:row>36</xdr:row>
      <xdr:rowOff>152400</xdr:rowOff>
    </xdr:to>
    <xdr:sp macro="" textlink="">
      <xdr:nvSpPr>
        <xdr:cNvPr id="77836" name="MyHelpTekst" hidden="1">
          <a:extLst>
            <a:ext uri="{FF2B5EF4-FFF2-40B4-BE49-F238E27FC236}">
              <a16:creationId xmlns:a16="http://schemas.microsoft.com/office/drawing/2014/main" xmlns="" id="{00000000-0008-0000-1A00-00000C300100}"/>
            </a:ext>
          </a:extLst>
        </xdr:cNvPr>
        <xdr:cNvSpPr>
          <a:spLocks noChangeArrowheads="1"/>
        </xdr:cNvSpPr>
      </xdr:nvSpPr>
      <xdr:spPr bwMode="auto">
        <a:xfrm>
          <a:off x="2552700" y="819150"/>
          <a:ext cx="6505575" cy="61436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6.2 After Sales - Parts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Parts policy</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general policy regarding parts sales and the warehouse and also the present performance (more details on Help-button 6.2.1).</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Analysis part sales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strenght, weaknesses, opportunities and threats of the part sales.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Positioning</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approach concerning parts.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Pricing and costing</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position of DAF compared to the pricing of parts, what pricing technique will you use? Explain why.</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Advertising and promotion</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strategy concerning this activity in the field of parts. Customer approach: Is the dealer pro-active in parts sales or passive by waiting the customers to ask for parts?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6. Sales / Marketing strategy</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the strategy concerning this activity in the field of parts and the operational performance.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7. Strengths of the after sales service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strengths of the after sales service.</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8. Weaknesses of the after sales service</a:t>
          </a:r>
        </a:p>
        <a:p>
          <a:pPr algn="l" rtl="0">
            <a:defRPr sz="1000"/>
          </a:pPr>
          <a:r>
            <a:rPr lang="nl-NL" sz="800" b="0" i="0" u="none" strike="noStrike" baseline="0">
              <a:solidFill>
                <a:srgbClr val="000000"/>
              </a:solidFill>
              <a:latin typeface="Trebuchet MS"/>
            </a:rPr>
            <a:t>Indicate the main weaknesses of the after sales service.</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9. Advantages towards competitors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issues for the coming planning period.</a:t>
          </a:r>
          <a:endParaRPr lang="nl-NL" sz="1000" b="1" i="0" u="sng" strike="noStrike" baseline="0">
            <a:solidFill>
              <a:srgbClr val="000000"/>
            </a:solidFill>
            <a:latin typeface="Trebuchet MS"/>
          </a:endParaRPr>
        </a:p>
        <a:p>
          <a:pPr algn="l" rtl="0">
            <a:defRPr sz="1000"/>
          </a:pPr>
          <a:endParaRPr lang="nl-NL" sz="1000" b="1" i="0" u="sng" strike="noStrike" baseline="0">
            <a:solidFill>
              <a:srgbClr val="000000"/>
            </a:solidFill>
            <a:latin typeface="Trebuchet MS"/>
          </a:endParaRPr>
        </a:p>
      </xdr:txBody>
    </xdr:sp>
    <xdr:clientData/>
  </xdr:twoCellAnchor>
  <xdr:twoCellAnchor editAs="oneCell">
    <xdr:from>
      <xdr:col>6</xdr:col>
      <xdr:colOff>1295400</xdr:colOff>
      <xdr:row>0</xdr:row>
      <xdr:rowOff>177800</xdr:rowOff>
    </xdr:from>
    <xdr:to>
      <xdr:col>7</xdr:col>
      <xdr:colOff>635000</xdr:colOff>
      <xdr:row>2</xdr:row>
      <xdr:rowOff>50800</xdr:rowOff>
    </xdr:to>
    <xdr:pic>
      <xdr:nvPicPr>
        <xdr:cNvPr id="77825" name="CommandButton1">
          <a:extLst>
            <a:ext uri="{FF2B5EF4-FFF2-40B4-BE49-F238E27FC236}">
              <a16:creationId xmlns:a16="http://schemas.microsoft.com/office/drawing/2014/main" xmlns="" id="{00000000-0008-0000-1A00-00000130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53100" y="177800"/>
          <a:ext cx="635000" cy="393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9525</xdr:colOff>
      <xdr:row>6</xdr:row>
      <xdr:rowOff>0</xdr:rowOff>
    </xdr:from>
    <xdr:to>
      <xdr:col>10</xdr:col>
      <xdr:colOff>914400</xdr:colOff>
      <xdr:row>10</xdr:row>
      <xdr:rowOff>180975</xdr:rowOff>
    </xdr:to>
    <xdr:sp macro="" textlink="" fLocksText="0">
      <xdr:nvSpPr>
        <xdr:cNvPr id="78862" name="Rectangle 6">
          <a:extLst>
            <a:ext uri="{FF2B5EF4-FFF2-40B4-BE49-F238E27FC236}">
              <a16:creationId xmlns:a16="http://schemas.microsoft.com/office/drawing/2014/main" xmlns="" id="{00000000-0008-0000-1B00-00000E340100}"/>
            </a:ext>
          </a:extLst>
        </xdr:cNvPr>
        <xdr:cNvSpPr>
          <a:spLocks noChangeArrowheads="1"/>
        </xdr:cNvSpPr>
      </xdr:nvSpPr>
      <xdr:spPr bwMode="auto">
        <a:xfrm>
          <a:off x="9525" y="1285875"/>
          <a:ext cx="10144125" cy="942975"/>
        </a:xfrm>
        <a:prstGeom prst="rect">
          <a:avLst/>
        </a:prstGeom>
        <a:solidFill>
          <a:srgbClr val="FFFFC0"/>
        </a:solidFill>
        <a:ln w="9525" algn="ctr">
          <a:solidFill>
            <a:srgbClr val="000000"/>
          </a:solidFill>
          <a:miter lim="800000"/>
          <a:headEnd/>
          <a:tailEnd/>
        </a:ln>
      </xdr:spPr>
      <xdr:txBody>
        <a:bodyPr/>
        <a:lstStyle/>
        <a:p>
          <a:r>
            <a:rPr lang="fr-FR"/>
            <a:t>To</a:t>
          </a:r>
          <a:r>
            <a:rPr lang="fr-FR" baseline="0"/>
            <a:t> have the adequate number of bays and technicians with respect to the running population (not absolute but the retained population).                                                                                                             To reduce the gap between total potential service hours billable and the actual total service hours billed (to aim at reaching standard time).                                                                                                                             To perform competence gap analysis and adress the gaps by providing the adequate competence development plan.                                                                                                                                                  To rely on managers and technicains  to promote and develop parts and service sales. </a:t>
          </a:r>
          <a:endParaRPr lang="fr-FR"/>
        </a:p>
      </xdr:txBody>
    </xdr:sp>
    <xdr:clientData/>
  </xdr:twoCellAnchor>
  <xdr:twoCellAnchor>
    <xdr:from>
      <xdr:col>2</xdr:col>
      <xdr:colOff>9525</xdr:colOff>
      <xdr:row>16</xdr:row>
      <xdr:rowOff>180975</xdr:rowOff>
    </xdr:from>
    <xdr:to>
      <xdr:col>11</xdr:col>
      <xdr:colOff>0</xdr:colOff>
      <xdr:row>19</xdr:row>
      <xdr:rowOff>180975</xdr:rowOff>
    </xdr:to>
    <xdr:sp macro="" textlink="" fLocksText="0">
      <xdr:nvSpPr>
        <xdr:cNvPr id="78863" name="Rectangle 7">
          <a:extLst>
            <a:ext uri="{FF2B5EF4-FFF2-40B4-BE49-F238E27FC236}">
              <a16:creationId xmlns:a16="http://schemas.microsoft.com/office/drawing/2014/main" xmlns="" id="{00000000-0008-0000-1B00-00000F340100}"/>
            </a:ext>
          </a:extLst>
        </xdr:cNvPr>
        <xdr:cNvSpPr>
          <a:spLocks noChangeArrowheads="1"/>
        </xdr:cNvSpPr>
      </xdr:nvSpPr>
      <xdr:spPr bwMode="auto">
        <a:xfrm>
          <a:off x="1857375" y="3371850"/>
          <a:ext cx="8305800" cy="571500"/>
        </a:xfrm>
        <a:prstGeom prst="rect">
          <a:avLst/>
        </a:prstGeom>
        <a:solidFill>
          <a:srgbClr val="FFFFC0"/>
        </a:solidFill>
        <a:ln w="9525" algn="ctr">
          <a:solidFill>
            <a:srgbClr val="000000"/>
          </a:solidFill>
          <a:miter lim="800000"/>
          <a:headEnd/>
          <a:tailEnd/>
        </a:ln>
      </xdr:spPr>
    </xdr:sp>
    <xdr:clientData/>
  </xdr:twoCellAnchor>
  <xdr:twoCellAnchor>
    <xdr:from>
      <xdr:col>2</xdr:col>
      <xdr:colOff>9525</xdr:colOff>
      <xdr:row>23</xdr:row>
      <xdr:rowOff>0</xdr:rowOff>
    </xdr:from>
    <xdr:to>
      <xdr:col>10</xdr:col>
      <xdr:colOff>914400</xdr:colOff>
      <xdr:row>25</xdr:row>
      <xdr:rowOff>180975</xdr:rowOff>
    </xdr:to>
    <xdr:sp macro="" textlink="" fLocksText="0">
      <xdr:nvSpPr>
        <xdr:cNvPr id="78864" name="Rectangle 8">
          <a:extLst>
            <a:ext uri="{FF2B5EF4-FFF2-40B4-BE49-F238E27FC236}">
              <a16:creationId xmlns:a16="http://schemas.microsoft.com/office/drawing/2014/main" xmlns="" id="{00000000-0008-0000-1B00-000010340100}"/>
            </a:ext>
          </a:extLst>
        </xdr:cNvPr>
        <xdr:cNvSpPr>
          <a:spLocks noChangeArrowheads="1"/>
        </xdr:cNvSpPr>
      </xdr:nvSpPr>
      <xdr:spPr bwMode="auto">
        <a:xfrm>
          <a:off x="1857375" y="4524375"/>
          <a:ext cx="8296275" cy="561975"/>
        </a:xfrm>
        <a:prstGeom prst="rect">
          <a:avLst/>
        </a:prstGeom>
        <a:solidFill>
          <a:srgbClr val="FFFFC0"/>
        </a:solidFill>
        <a:ln w="9525" algn="ctr">
          <a:solidFill>
            <a:srgbClr val="000000"/>
          </a:solidFill>
          <a:miter lim="800000"/>
          <a:headEnd/>
          <a:tailEnd/>
        </a:ln>
      </xdr:spPr>
    </xdr:sp>
    <xdr:clientData/>
  </xdr:twoCellAnchor>
  <xdr:twoCellAnchor>
    <xdr:from>
      <xdr:col>0</xdr:col>
      <xdr:colOff>9525</xdr:colOff>
      <xdr:row>28</xdr:row>
      <xdr:rowOff>0</xdr:rowOff>
    </xdr:from>
    <xdr:to>
      <xdr:col>11</xdr:col>
      <xdr:colOff>0</xdr:colOff>
      <xdr:row>32</xdr:row>
      <xdr:rowOff>0</xdr:rowOff>
    </xdr:to>
    <xdr:sp macro="" textlink="" fLocksText="0">
      <xdr:nvSpPr>
        <xdr:cNvPr id="78865" name="Rectangle 9">
          <a:extLst>
            <a:ext uri="{FF2B5EF4-FFF2-40B4-BE49-F238E27FC236}">
              <a16:creationId xmlns:a16="http://schemas.microsoft.com/office/drawing/2014/main" xmlns="" id="{00000000-0008-0000-1B00-000011340100}"/>
            </a:ext>
          </a:extLst>
        </xdr:cNvPr>
        <xdr:cNvSpPr>
          <a:spLocks noChangeArrowheads="1"/>
        </xdr:cNvSpPr>
      </xdr:nvSpPr>
      <xdr:spPr bwMode="auto">
        <a:xfrm>
          <a:off x="9525" y="5476875"/>
          <a:ext cx="10153650" cy="762000"/>
        </a:xfrm>
        <a:prstGeom prst="rect">
          <a:avLst/>
        </a:prstGeom>
        <a:solidFill>
          <a:srgbClr val="FFFFC0"/>
        </a:solidFill>
        <a:ln w="9525" algn="ctr">
          <a:solidFill>
            <a:srgbClr val="000000"/>
          </a:solidFill>
          <a:miter lim="800000"/>
          <a:headEnd/>
          <a:tailEnd/>
        </a:ln>
      </xdr:spPr>
      <xdr:txBody>
        <a:bodyPr/>
        <a:lstStyle/>
        <a:p>
          <a:r>
            <a:rPr lang="fr-FR"/>
            <a:t>Skilled and experienced</a:t>
          </a:r>
          <a:r>
            <a:rPr lang="fr-FR" baseline="0"/>
            <a:t> technicians, right sized, fully equipped and well positioned workshops, available mobile workshops, proactive after sales services                                                                                   We will provide a service quality in order to improve efficiency and to reduce the downtime by providing assistance to achieve preventive maintenance policy by promoting IT tools such as remote maintenance. </a:t>
          </a:r>
          <a:endParaRPr lang="fr-FR"/>
        </a:p>
      </xdr:txBody>
    </xdr:sp>
    <xdr:clientData/>
  </xdr:twoCellAnchor>
  <xdr:twoCellAnchor>
    <xdr:from>
      <xdr:col>0</xdr:col>
      <xdr:colOff>9525</xdr:colOff>
      <xdr:row>34</xdr:row>
      <xdr:rowOff>9525</xdr:rowOff>
    </xdr:from>
    <xdr:to>
      <xdr:col>10</xdr:col>
      <xdr:colOff>914400</xdr:colOff>
      <xdr:row>37</xdr:row>
      <xdr:rowOff>180975</xdr:rowOff>
    </xdr:to>
    <xdr:sp macro="" textlink="" fLocksText="0">
      <xdr:nvSpPr>
        <xdr:cNvPr id="78866" name="Rectangle 10">
          <a:extLst>
            <a:ext uri="{FF2B5EF4-FFF2-40B4-BE49-F238E27FC236}">
              <a16:creationId xmlns:a16="http://schemas.microsoft.com/office/drawing/2014/main" xmlns="" id="{00000000-0008-0000-1B00-000012340100}"/>
            </a:ext>
          </a:extLst>
        </xdr:cNvPr>
        <xdr:cNvSpPr>
          <a:spLocks noChangeArrowheads="1"/>
        </xdr:cNvSpPr>
      </xdr:nvSpPr>
      <xdr:spPr bwMode="auto">
        <a:xfrm>
          <a:off x="9525" y="6629400"/>
          <a:ext cx="10144125" cy="742950"/>
        </a:xfrm>
        <a:prstGeom prst="rect">
          <a:avLst/>
        </a:prstGeom>
        <a:solidFill>
          <a:srgbClr val="FFFFC0"/>
        </a:solidFill>
        <a:ln w="9525" algn="ctr">
          <a:solidFill>
            <a:srgbClr val="000000"/>
          </a:solidFill>
          <a:miter lim="800000"/>
          <a:headEnd/>
          <a:tailEnd/>
        </a:ln>
      </xdr:spPr>
      <xdr:txBody>
        <a:bodyPr/>
        <a:lstStyle/>
        <a:p>
          <a:r>
            <a:rPr lang="fr-FR"/>
            <a:t>For the first year technical team unfamiliar</a:t>
          </a:r>
          <a:r>
            <a:rPr lang="fr-FR" baseline="0"/>
            <a:t> with the trucks specification                                                                                                                                                                                                                               Due to weak past sales performance, the running fleet will not generate substantial parts revenues during the first three years.   </a:t>
          </a:r>
          <a:endParaRPr lang="fr-FR"/>
        </a:p>
      </xdr:txBody>
    </xdr:sp>
    <xdr:clientData/>
  </xdr:twoCellAnchor>
  <xdr:twoCellAnchor>
    <xdr:from>
      <xdr:col>0</xdr:col>
      <xdr:colOff>9525</xdr:colOff>
      <xdr:row>40</xdr:row>
      <xdr:rowOff>0</xdr:rowOff>
    </xdr:from>
    <xdr:to>
      <xdr:col>10</xdr:col>
      <xdr:colOff>914400</xdr:colOff>
      <xdr:row>41</xdr:row>
      <xdr:rowOff>180975</xdr:rowOff>
    </xdr:to>
    <xdr:sp macro="" textlink="" fLocksText="0">
      <xdr:nvSpPr>
        <xdr:cNvPr id="78867" name="Rectangle 11">
          <a:extLst>
            <a:ext uri="{FF2B5EF4-FFF2-40B4-BE49-F238E27FC236}">
              <a16:creationId xmlns:a16="http://schemas.microsoft.com/office/drawing/2014/main" xmlns="" id="{00000000-0008-0000-1B00-000013340100}"/>
            </a:ext>
          </a:extLst>
        </xdr:cNvPr>
        <xdr:cNvSpPr>
          <a:spLocks noChangeArrowheads="1"/>
        </xdr:cNvSpPr>
      </xdr:nvSpPr>
      <xdr:spPr bwMode="auto">
        <a:xfrm>
          <a:off x="9525" y="7762875"/>
          <a:ext cx="10144125" cy="371475"/>
        </a:xfrm>
        <a:prstGeom prst="rect">
          <a:avLst/>
        </a:prstGeom>
        <a:solidFill>
          <a:srgbClr val="FFFFC0"/>
        </a:solidFill>
        <a:ln w="9525" algn="ctr">
          <a:solidFill>
            <a:srgbClr val="000000"/>
          </a:solidFill>
          <a:miter lim="800000"/>
          <a:headEnd/>
          <a:tailEnd/>
        </a:ln>
      </xdr:spPr>
      <xdr:txBody>
        <a:bodyPr/>
        <a:lstStyle/>
        <a:p>
          <a:r>
            <a:rPr lang="fr-FR"/>
            <a:t>TRP programme</a:t>
          </a:r>
          <a:r>
            <a:rPr lang="fr-FR" baseline="0"/>
            <a:t> offers several opportunities such as the payment terms for oil and lubricants. </a:t>
          </a:r>
          <a:endParaRPr lang="fr-FR"/>
        </a:p>
      </xdr:txBody>
    </xdr:sp>
    <xdr:clientData/>
  </xdr:twoCellAnchor>
  <xdr:twoCellAnchor>
    <xdr:from>
      <xdr:col>3</xdr:col>
      <xdr:colOff>400050</xdr:colOff>
      <xdr:row>5</xdr:row>
      <xdr:rowOff>133350</xdr:rowOff>
    </xdr:from>
    <xdr:to>
      <xdr:col>10</xdr:col>
      <xdr:colOff>447675</xdr:colOff>
      <xdr:row>29</xdr:row>
      <xdr:rowOff>152400</xdr:rowOff>
    </xdr:to>
    <xdr:sp macro="" textlink="">
      <xdr:nvSpPr>
        <xdr:cNvPr id="78860" name="MyHelpTekst" hidden="1">
          <a:extLst>
            <a:ext uri="{FF2B5EF4-FFF2-40B4-BE49-F238E27FC236}">
              <a16:creationId xmlns:a16="http://schemas.microsoft.com/office/drawing/2014/main" xmlns="" id="{00000000-0008-0000-1B00-00000C340100}"/>
            </a:ext>
          </a:extLst>
        </xdr:cNvPr>
        <xdr:cNvSpPr>
          <a:spLocks noChangeArrowheads="1"/>
        </xdr:cNvSpPr>
      </xdr:nvSpPr>
      <xdr:spPr bwMode="auto">
        <a:xfrm>
          <a:off x="3171825" y="1228725"/>
          <a:ext cx="6515100" cy="459105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0" i="0" u="none" strike="noStrike" baseline="0">
              <a:solidFill>
                <a:srgbClr val="000000"/>
              </a:solidFill>
              <a:latin typeface="Trebuchet MS"/>
            </a:rPr>
            <a:t>6.3 After Sales - Service</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1. Service policy</a:t>
          </a:r>
        </a:p>
        <a:p>
          <a:pPr algn="l" rtl="0">
            <a:defRPr sz="1000"/>
          </a:pPr>
          <a:r>
            <a:rPr lang="nl-NL" sz="800" b="0" i="0" u="none" strike="noStrike" baseline="0">
              <a:solidFill>
                <a:srgbClr val="000000"/>
              </a:solidFill>
              <a:latin typeface="Trebuchet MS"/>
            </a:rPr>
            <a:t>Describe in general the policy regarding service, what is the target, etc.</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2. Effectivity of the workshop</a:t>
          </a:r>
        </a:p>
        <a:p>
          <a:pPr algn="l" rtl="0">
            <a:defRPr sz="1000"/>
          </a:pPr>
          <a:r>
            <a:rPr lang="nl-NL" sz="800" b="0" i="0" u="none" strike="noStrike" baseline="0">
              <a:solidFill>
                <a:srgbClr val="000000"/>
              </a:solidFill>
              <a:latin typeface="Trebuchet MS"/>
            </a:rPr>
            <a:t>Definition: Output of the workshop as a result of productivity and efficiency.</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3. Service retention</a:t>
          </a:r>
        </a:p>
        <a:p>
          <a:pPr algn="l" rtl="0">
            <a:defRPr sz="1000"/>
          </a:pPr>
          <a:r>
            <a:rPr lang="nl-NL" sz="800" b="0" i="0" u="none" strike="noStrike" baseline="0">
              <a:solidFill>
                <a:srgbClr val="000000"/>
              </a:solidFill>
              <a:latin typeface="Trebuchet MS"/>
            </a:rPr>
            <a:t>Definition: The numbers of workshop hours spend on DAF in relation to the potential DAF workshop hour’s consumption in the dealer area. The potential workshop hour’s consumption is a figure which DAF supplies based on the running park of DAF vehicles not older than 10 years.</a:t>
          </a:r>
        </a:p>
        <a:p>
          <a:pPr algn="l" rtl="0">
            <a:defRPr sz="1000"/>
          </a:pPr>
          <a:r>
            <a:rPr lang="nl-NL" sz="800" b="0" i="0" u="none" strike="noStrike" baseline="0">
              <a:solidFill>
                <a:srgbClr val="000000"/>
              </a:solidFill>
              <a:latin typeface="Trebuchet MS"/>
            </a:rPr>
            <a:t>Service retention is an objective way to measure what part of the potential business is taken by the dealer. It is also a good tool to forecast hour’s turnover based on a trend of retention instead of absolute turnover. See also [7.2.3 Turnover Service &amp; Body shop].</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4. Strengths of the after sales service</a:t>
          </a:r>
        </a:p>
        <a:p>
          <a:pPr algn="l" rtl="0">
            <a:defRPr sz="1000"/>
          </a:pPr>
          <a:r>
            <a:rPr lang="nl-NL" sz="800" b="0" i="0" u="none" strike="noStrike" baseline="0">
              <a:solidFill>
                <a:srgbClr val="000000"/>
              </a:solidFill>
              <a:latin typeface="Trebuchet MS"/>
            </a:rPr>
            <a:t>Indicate the main strengths of the after sales service.</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5. Weaknesses of the after sales service</a:t>
          </a:r>
        </a:p>
        <a:p>
          <a:pPr algn="l" rtl="0">
            <a:defRPr sz="1000"/>
          </a:pPr>
          <a:r>
            <a:rPr lang="nl-NL" sz="800" b="0" i="0" u="none" strike="noStrike" baseline="0">
              <a:solidFill>
                <a:srgbClr val="000000"/>
              </a:solidFill>
              <a:latin typeface="Trebuchet MS"/>
            </a:rPr>
            <a:t>Indicate the main weaknesses of the after sales service.</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6. Advantages towards competitors</a:t>
          </a:r>
        </a:p>
        <a:p>
          <a:pPr algn="l" rtl="0">
            <a:defRPr sz="1000"/>
          </a:pPr>
          <a:r>
            <a:rPr lang="nl-NL" sz="800" b="0" i="0" u="none" strike="noStrike" baseline="0">
              <a:solidFill>
                <a:srgbClr val="000000"/>
              </a:solidFill>
              <a:latin typeface="Trebuchet MS"/>
            </a:rPr>
            <a:t>Indicate the main issues for the coming planning period.</a:t>
          </a:r>
        </a:p>
        <a:p>
          <a:pPr algn="l" rtl="0">
            <a:defRPr sz="1000"/>
          </a:pP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xdr:txBody>
    </xdr:sp>
    <xdr:clientData/>
  </xdr:twoCellAnchor>
  <xdr:twoCellAnchor editAs="oneCell">
    <xdr:from>
      <xdr:col>6</xdr:col>
      <xdr:colOff>762000</xdr:colOff>
      <xdr:row>0</xdr:row>
      <xdr:rowOff>127000</xdr:rowOff>
    </xdr:from>
    <xdr:to>
      <xdr:col>7</xdr:col>
      <xdr:colOff>444500</xdr:colOff>
      <xdr:row>1</xdr:row>
      <xdr:rowOff>167105</xdr:rowOff>
    </xdr:to>
    <xdr:pic>
      <xdr:nvPicPr>
        <xdr:cNvPr id="78849" name="CommandButton1">
          <a:extLst>
            <a:ext uri="{FF2B5EF4-FFF2-40B4-BE49-F238E27FC236}">
              <a16:creationId xmlns:a16="http://schemas.microsoft.com/office/drawing/2014/main" xmlns="" id="{00000000-0008-0000-1B00-00000134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127000"/>
          <a:ext cx="736600" cy="393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0</xdr:row>
      <xdr:rowOff>76200</xdr:rowOff>
    </xdr:from>
    <xdr:to>
      <xdr:col>5</xdr:col>
      <xdr:colOff>85725</xdr:colOff>
      <xdr:row>1</xdr:row>
      <xdr:rowOff>400050</xdr:rowOff>
    </xdr:to>
    <xdr:pic>
      <xdr:nvPicPr>
        <xdr:cNvPr id="64534" name="Picture 2" descr="DAF Logo">
          <a:extLst>
            <a:ext uri="{FF2B5EF4-FFF2-40B4-BE49-F238E27FC236}">
              <a16:creationId xmlns:a16="http://schemas.microsoft.com/office/drawing/2014/main" xmlns="" id="{00000000-0008-0000-1C00-000016F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76200"/>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0</xdr:colOff>
      <xdr:row>0</xdr:row>
      <xdr:rowOff>76200</xdr:rowOff>
    </xdr:from>
    <xdr:to>
      <xdr:col>4</xdr:col>
      <xdr:colOff>447675</xdr:colOff>
      <xdr:row>1</xdr:row>
      <xdr:rowOff>400050</xdr:rowOff>
    </xdr:to>
    <xdr:pic>
      <xdr:nvPicPr>
        <xdr:cNvPr id="96277" name="Picture 1" descr="DAF Logo">
          <a:extLst>
            <a:ext uri="{FF2B5EF4-FFF2-40B4-BE49-F238E27FC236}">
              <a16:creationId xmlns:a16="http://schemas.microsoft.com/office/drawing/2014/main" xmlns="" id="{00000000-0008-0000-1D00-0000157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76200"/>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8</xdr:row>
      <xdr:rowOff>0</xdr:rowOff>
    </xdr:from>
    <xdr:to>
      <xdr:col>11</xdr:col>
      <xdr:colOff>342900</xdr:colOff>
      <xdr:row>61</xdr:row>
      <xdr:rowOff>66675</xdr:rowOff>
    </xdr:to>
    <xdr:sp macro="" textlink="" fLocksText="0">
      <xdr:nvSpPr>
        <xdr:cNvPr id="26646" name="Tekst 7">
          <a:extLst>
            <a:ext uri="{FF2B5EF4-FFF2-40B4-BE49-F238E27FC236}">
              <a16:creationId xmlns:a16="http://schemas.microsoft.com/office/drawing/2014/main" xmlns="" id="{00000000-0008-0000-0300-000016680000}"/>
            </a:ext>
          </a:extLst>
        </xdr:cNvPr>
        <xdr:cNvSpPr txBox="1">
          <a:spLocks noChangeArrowheads="1"/>
        </xdr:cNvSpPr>
      </xdr:nvSpPr>
      <xdr:spPr bwMode="auto">
        <a:xfrm>
          <a:off x="409575" y="1619250"/>
          <a:ext cx="9153525" cy="10163175"/>
        </a:xfrm>
        <a:prstGeom prst="rect">
          <a:avLst/>
        </a:prstGeom>
        <a:solidFill>
          <a:srgbClr val="FFFFC0"/>
        </a:solidFill>
        <a:ln w="9525">
          <a:solidFill>
            <a:srgbClr val="000000"/>
          </a:solidFill>
          <a:miter lim="800000"/>
          <a:headEnd/>
          <a:tailEnd/>
        </a:ln>
      </xdr:spPr>
      <xdr:txBody>
        <a:bodyPr vertOverflow="clip" wrap="square" lIns="27432" tIns="22860" rIns="0" bIns="0" anchor="t" upright="1"/>
        <a:lstStyle/>
        <a:p>
          <a:pPr algn="l" rtl="0">
            <a:defRPr sz="1000"/>
          </a:pPr>
          <a:r>
            <a:rPr lang="nl-NL"/>
            <a:t>1.) Business Concept:       </a:t>
          </a:r>
        </a:p>
        <a:p>
          <a:pPr algn="l" rtl="0">
            <a:defRPr sz="1000"/>
          </a:pPr>
          <a:r>
            <a:rPr lang="nl-NL">
              <a:solidFill>
                <a:schemeClr val="tx1"/>
              </a:solidFill>
            </a:rPr>
            <a:t>TIM</a:t>
          </a:r>
          <a:r>
            <a:rPr lang="nl-NL" baseline="0">
              <a:solidFill>
                <a:schemeClr val="tx1"/>
              </a:solidFill>
            </a:rPr>
            <a:t> throughout its network of facilities; Sousse 3S (Sales, Service and Spare Parts), Tunis 1 3S, Tunis 2 (showroom), Sfax (service and parts), Gafsa (service and parts) and Jendouba (service and parts),  will be selling DAF's CF85 FT and CF85 FAD trucks and offering after sales services across the Tunisian Market.</a:t>
          </a:r>
        </a:p>
        <a:p>
          <a:pPr algn="l" rtl="0">
            <a:defRPr sz="1000"/>
          </a:pPr>
          <a:r>
            <a:rPr lang="nl-NL" baseline="0"/>
            <a:t>These producst will be sold to various customers, which include, but are not limited to, construction companies, bulk transport companies, food/beverages and retail companies .                                           The majority of sales will be done through direct sales and seldomly through tenders issued by local governments, municipalities and state owned companies.                                                                              TIM will benefit from a team enjoying extensive experience in the automotive business, well connected to the administrative and ministerial networks.                                                                                      TIM's management entertains close relationships to major Tunisian banks and leasing companies.                                                                                                                                                                                                                                                                                    2.) For the first year, total turnover will be hovering aroud 4,000,000.00 EUR, truck sales will represent 93% of the total turnover while the rest will come from after sales activity.                                                                                                                                                                                                                                                                                                             A  profit of 53,000.00 EUR will be recorded for the first year generating a positive cash flow of 502,000.00 EUR.                                                                                                                                                                                                                                        For the second year, total sales will be above 5,500,000.00 EUR, truck sales will represent 93% of the total turnover while the rest will come from after sales activity.                                                                                                                                                                                                                                                                                                                  A loss of 258,000.00 EUR will be recorded for the second year generating a positive cash flow of 138,000.00 EUR.                                                                                                                                                                                                                                                                                                            For the third year, total revenues will be more or less 8,150,00.00 EUR, truck sales will represent 93% of the total turnover while the reste comes from after sales activitity.  A loss of 109,000.00 EUR will be recorded for the third year generating a positive cash flow of 23,000.00 EUR.      </a:t>
          </a:r>
        </a:p>
        <a:p>
          <a:pPr algn="l" rtl="0">
            <a:defRPr sz="1000"/>
          </a:pPr>
          <a:r>
            <a:rPr lang="nl-NL" baseline="0"/>
            <a:t>For the fourth year, total revenues will be more or less 10,500,00.00 EUR, truck sales will represent 90% of the total turnover while the reste comes from after sales activitity.  A profit of 5,000.00 EUR will be recorded for the fourth year generating a negative cash flow of 123,000.00 EUR.</a:t>
          </a:r>
        </a:p>
        <a:p>
          <a:pPr algn="l" rtl="0">
            <a:defRPr sz="1000"/>
          </a:pPr>
          <a:r>
            <a:rPr lang="nl-NL" baseline="0"/>
            <a:t>For the fifth year, total turnover will be around 12,800,000.00 EUR, truck sales will represent 90% of the total turnover while the reste comes from after sales activitiy. A profit of 193,000.00 EUR will be recorded for the fifth year generating a negative cash flow of 113,000.00 EUR. </a:t>
          </a:r>
        </a:p>
        <a:p>
          <a:pPr algn="l" rtl="0">
            <a:defRPr sz="1000"/>
          </a:pPr>
          <a:r>
            <a:rPr lang="nl-NL" baseline="0"/>
            <a:t>3.) Initial capital at inception will be around 500,000.00 EUR, for the second year of operation we will increase the capital by another 500,000.00 EUR and for the third year an increase of 250,000.00 EUR                                                                                                                                                                                                                                                                        First year:</a:t>
          </a:r>
        </a:p>
        <a:p>
          <a:pPr algn="l" rtl="0">
            <a:defRPr sz="1000"/>
          </a:pPr>
          <a:r>
            <a:rPr lang="nl-NL" baseline="0"/>
            <a:t>a.) Building 80,000.00 EUR                                                                                                                                                                                                                                                                                                                         b.) Installations and equipment 40,000.EUR                                                                                                                                                                                                                                                                                          c.) Vehicules and cars 26,000.00 EUR                                                                                                                                                                                                                                                                                                        d.) Parts 32,000.00 EUR                                                                                                                                                                                                                                                                                                                              e.) Computers and IT 9,000.00 EUR                                                                                                                                                                                                                                                                                                             f.) Furnitures 8,000.00 EUR    </a:t>
          </a:r>
        </a:p>
        <a:p>
          <a:pPr algn="l" rtl="0">
            <a:defRPr sz="1000"/>
          </a:pPr>
          <a:r>
            <a:rPr lang="nl-NL" baseline="0"/>
            <a:t>Second year:</a:t>
          </a:r>
        </a:p>
        <a:p>
          <a:pPr algn="l" rtl="0">
            <a:defRPr sz="1000"/>
          </a:pPr>
          <a:r>
            <a:rPr lang="nl-NL" baseline="0"/>
            <a:t>a.) Building 240,000.00 EUR                                                                                                                                                                                                                                                                                                                         b.) Installations and equipment 120,000.EUR                                                                                                                                                                                                                                                                                          c.) Vehicules and cars 78,000.00 EUR                                                                                                                                                                                                                                                                                                     d.) Parts 96,000.00 EUR                                                                                                                                                                                                                                                                                                                              e.) Computers and IT 27,000.00 EUR                                                                                                                                                                                                                                                                                                             f.) Furnitures 24,000.00 EUR    </a:t>
          </a:r>
        </a:p>
        <a:p>
          <a:pPr algn="l" rtl="0">
            <a:defRPr sz="1000"/>
          </a:pPr>
          <a:r>
            <a:rPr lang="nl-NL" baseline="0"/>
            <a:t>Third year:   </a:t>
          </a:r>
        </a:p>
        <a:p>
          <a:pPr algn="l" rtl="0">
            <a:defRPr sz="1000"/>
          </a:pPr>
          <a:r>
            <a:rPr lang="nl-NL" baseline="0"/>
            <a:t>a.) Building 80,000.00 EUR                                                                                                                                                                                                                                                                                                                         b.) Installations and equipment 40,000.EUR                                                                                                                                                                                                                                                                                          c.) Vehicules and cars 26,000.00 EUR                                                                                                                                                                                                                                                                                                        d.) Parts 32,000.00 EUR                                                                                                                                                                                                                                                                                                                              e.) Computers and IT 9,000.00 EUR                                                                                                                                                                                                                                                                                                             f.) Furnitures 8,000.00 EUR    </a:t>
          </a:r>
        </a:p>
        <a:p>
          <a:pPr algn="l" rtl="0">
            <a:defRPr sz="1000"/>
          </a:pPr>
          <a:r>
            <a:rPr lang="nl-NL" baseline="0"/>
            <a:t>In order to finance this investment, 60% will come from equity and 40% from bank financing. The land and personal assets will be used as collateral.                                                                                                   4.) Current Business Position:                                                                                                                                                                                                                                                                                                                     TIM is a Limited company, which is currently under the process of incorporation for the sole purpose of selling DAF trucks in Tunisia. The majority owners will be Mr Mohamed Jamil ABBAS and Mr Selim Kilani ABBAS.                                                                                                                                                                                                                                                                                                                                                  The key personnel will consist of the following:                                                                                                                                                                                                                                                                                       a.) Managing Director                                                                                                                                                                                                                                                                                                                                   b.) Sales and Marketing Director                                                                                                                                                                                                                                                                                                                 c.) After Sales Director                                                                                                                                                                                                                                                                                                                                   d.) Financial and Administration Director                                                                                                                                                                                                                                                                                                   e.) Internal Audit &amp; Business Controller                                                                                                                                                                                                                                                                                                   f.) Legal &amp; Compliance Director                                                                                                                                                                                                                                                                                                                  g.) IT Director                                                                                                                                                                                                                                                                                                                                               5.) Major Achievements:                                                                                                                                                                                                                                                                                                                                  A network strategic planning has been conducted to identify optimal locations to market and service DAF products and services.                                                                                                                                        A competence gap analysis will be carried out to identify the weaknesses compared to the standards required. A training and an upgraded policy will be implemented to reach the best practises standards.                                                    </a:t>
          </a:r>
          <a:endParaRPr lang="nl-NL"/>
        </a:p>
      </xdr:txBody>
    </xdr:sp>
    <xdr:clientData/>
  </xdr:twoCellAnchor>
  <xdr:twoCellAnchor>
    <xdr:from>
      <xdr:col>3</xdr:col>
      <xdr:colOff>628650</xdr:colOff>
      <xdr:row>12</xdr:row>
      <xdr:rowOff>28575</xdr:rowOff>
    </xdr:from>
    <xdr:to>
      <xdr:col>13</xdr:col>
      <xdr:colOff>752475</xdr:colOff>
      <xdr:row>26</xdr:row>
      <xdr:rowOff>142875</xdr:rowOff>
    </xdr:to>
    <xdr:sp macro="" textlink="">
      <xdr:nvSpPr>
        <xdr:cNvPr id="26667" name="MyHelpTekst" hidden="1">
          <a:extLst>
            <a:ext uri="{FF2B5EF4-FFF2-40B4-BE49-F238E27FC236}">
              <a16:creationId xmlns:a16="http://schemas.microsoft.com/office/drawing/2014/main" xmlns="" id="{00000000-0008-0000-0300-00002B680000}"/>
            </a:ext>
          </a:extLst>
        </xdr:cNvPr>
        <xdr:cNvSpPr>
          <a:spLocks noChangeArrowheads="1"/>
        </xdr:cNvSpPr>
      </xdr:nvSpPr>
      <xdr:spPr bwMode="auto">
        <a:xfrm>
          <a:off x="3143250" y="2409825"/>
          <a:ext cx="8505825" cy="2781300"/>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1.0 Executive summary</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Within this space, you'll need to provide a synopsis of your entire business plan. Please make this summary after filling in the business plan.</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Key elements that should be included are:</a:t>
          </a:r>
        </a:p>
        <a:p>
          <a:pPr algn="l" rtl="0">
            <a:defRPr sz="1000"/>
          </a:pPr>
          <a:r>
            <a:rPr lang="nl-NL" sz="800" b="0" i="0" u="none" strike="noStrike" baseline="0">
              <a:solidFill>
                <a:srgbClr val="000000"/>
              </a:solidFill>
              <a:latin typeface="Trebuchet MS"/>
            </a:rPr>
            <a:t>1. Business concept. Describe the business, its product and the market it will serve. It should point out just exactly what will be sold, to whom and why the business will hold a competitive advantage.</a:t>
          </a:r>
        </a:p>
        <a:p>
          <a:pPr algn="l" rtl="0">
            <a:defRPr sz="1000"/>
          </a:pPr>
          <a:r>
            <a:rPr lang="nl-NL" sz="800" b="0" i="0" u="none" strike="noStrike" baseline="0">
              <a:solidFill>
                <a:srgbClr val="000000"/>
              </a:solidFill>
              <a:latin typeface="Trebuchet MS"/>
            </a:rPr>
            <a:t>2. Financial features. Highlight the important financial points of the business including sales, profits, cash flows and return on investment.</a:t>
          </a:r>
        </a:p>
        <a:p>
          <a:pPr algn="l" rtl="0">
            <a:defRPr sz="1000"/>
          </a:pPr>
          <a:r>
            <a:rPr lang="nl-NL" sz="800" b="0" i="0" u="none" strike="noStrike" baseline="0">
              <a:solidFill>
                <a:srgbClr val="000000"/>
              </a:solidFill>
              <a:latin typeface="Trebuchet MS"/>
            </a:rPr>
            <a:t>3. Financial requirements. Clearly states the capital needed to start the business and to expand. It should detail how the capital will be used, and the equity, if any, that will be provided for funding. If the loan for initial capital will be based on security instead of equity, you should also specify the source of collateral.</a:t>
          </a:r>
        </a:p>
        <a:p>
          <a:pPr algn="l" rtl="0">
            <a:defRPr sz="1000"/>
          </a:pPr>
          <a:r>
            <a:rPr lang="nl-NL" sz="800" b="0" i="0" u="none" strike="noStrike" baseline="0">
              <a:solidFill>
                <a:srgbClr val="000000"/>
              </a:solidFill>
              <a:latin typeface="Trebuchet MS"/>
            </a:rPr>
            <a:t>4. Current business position. Furnish relevant information about the company, its legal form of operation, when it was formed, the principal owners and key personnel.</a:t>
          </a:r>
        </a:p>
        <a:p>
          <a:pPr algn="l" rtl="0">
            <a:defRPr sz="1000"/>
          </a:pPr>
          <a:r>
            <a:rPr lang="nl-NL" sz="800" b="0" i="0" u="none" strike="noStrike" baseline="0">
              <a:solidFill>
                <a:srgbClr val="000000"/>
              </a:solidFill>
              <a:latin typeface="Trebuchet MS"/>
            </a:rPr>
            <a:t>5. Major achievements. Detail any developments within the company that are essential to the success of the business. Major achievements include items like location of the facility, any crucial contracts, or results from any test marketing that has been conducted.</a:t>
          </a:r>
          <a:endParaRPr lang="nl-NL" sz="1000" b="1" i="0" u="sng" strike="noStrike" baseline="0">
            <a:solidFill>
              <a:srgbClr val="000000"/>
            </a:solidFill>
            <a:latin typeface="Trebuchet MS"/>
          </a:endParaRPr>
        </a:p>
        <a:p>
          <a:pPr algn="l" rtl="0">
            <a:defRPr sz="1000"/>
          </a:pPr>
          <a:endParaRPr lang="nl-NL"/>
        </a:p>
      </xdr:txBody>
    </xdr:sp>
    <xdr:clientData/>
  </xdr:twoCellAnchor>
  <xdr:twoCellAnchor editAs="oneCell">
    <xdr:from>
      <xdr:col>5</xdr:col>
      <xdr:colOff>152400</xdr:colOff>
      <xdr:row>0</xdr:row>
      <xdr:rowOff>177800</xdr:rowOff>
    </xdr:from>
    <xdr:to>
      <xdr:col>6</xdr:col>
      <xdr:colOff>2424</xdr:colOff>
      <xdr:row>1</xdr:row>
      <xdr:rowOff>1954</xdr:rowOff>
    </xdr:to>
    <xdr:pic>
      <xdr:nvPicPr>
        <xdr:cNvPr id="26663" name="CommandButton2">
          <a:extLst>
            <a:ext uri="{FF2B5EF4-FFF2-40B4-BE49-F238E27FC236}">
              <a16:creationId xmlns:a16="http://schemas.microsoft.com/office/drawing/2014/main" xmlns="" id="{00000000-0008-0000-0300-0000276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0" y="177800"/>
          <a:ext cx="800100" cy="1905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9525</xdr:colOff>
      <xdr:row>0</xdr:row>
      <xdr:rowOff>66675</xdr:rowOff>
    </xdr:from>
    <xdr:to>
      <xdr:col>5</xdr:col>
      <xdr:colOff>95250</xdr:colOff>
      <xdr:row>1</xdr:row>
      <xdr:rowOff>390525</xdr:rowOff>
    </xdr:to>
    <xdr:pic>
      <xdr:nvPicPr>
        <xdr:cNvPr id="65558" name="Picture 2" descr="DAF Logo">
          <a:extLst>
            <a:ext uri="{FF2B5EF4-FFF2-40B4-BE49-F238E27FC236}">
              <a16:creationId xmlns:a16="http://schemas.microsoft.com/office/drawing/2014/main" xmlns="" id="{00000000-0008-0000-1E00-0000160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66675"/>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2</xdr:col>
      <xdr:colOff>9525</xdr:colOff>
      <xdr:row>0</xdr:row>
      <xdr:rowOff>66675</xdr:rowOff>
    </xdr:from>
    <xdr:to>
      <xdr:col>4</xdr:col>
      <xdr:colOff>457200</xdr:colOff>
      <xdr:row>1</xdr:row>
      <xdr:rowOff>390525</xdr:rowOff>
    </xdr:to>
    <xdr:pic>
      <xdr:nvPicPr>
        <xdr:cNvPr id="97301" name="Picture 1" descr="DAF Logo">
          <a:extLst>
            <a:ext uri="{FF2B5EF4-FFF2-40B4-BE49-F238E27FC236}">
              <a16:creationId xmlns:a16="http://schemas.microsoft.com/office/drawing/2014/main" xmlns="" id="{00000000-0008-0000-1F00-0000157C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66675"/>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2</xdr:col>
      <xdr:colOff>0</xdr:colOff>
      <xdr:row>0</xdr:row>
      <xdr:rowOff>66675</xdr:rowOff>
    </xdr:from>
    <xdr:to>
      <xdr:col>5</xdr:col>
      <xdr:colOff>85725</xdr:colOff>
      <xdr:row>1</xdr:row>
      <xdr:rowOff>390525</xdr:rowOff>
    </xdr:to>
    <xdr:pic>
      <xdr:nvPicPr>
        <xdr:cNvPr id="66582" name="Picture 2" descr="DAF Logo">
          <a:extLst>
            <a:ext uri="{FF2B5EF4-FFF2-40B4-BE49-F238E27FC236}">
              <a16:creationId xmlns:a16="http://schemas.microsoft.com/office/drawing/2014/main" xmlns="" id="{00000000-0008-0000-2000-0000160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66675"/>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2</xdr:col>
      <xdr:colOff>9525</xdr:colOff>
      <xdr:row>0</xdr:row>
      <xdr:rowOff>66675</xdr:rowOff>
    </xdr:from>
    <xdr:to>
      <xdr:col>4</xdr:col>
      <xdr:colOff>457200</xdr:colOff>
      <xdr:row>1</xdr:row>
      <xdr:rowOff>390525</xdr:rowOff>
    </xdr:to>
    <xdr:pic>
      <xdr:nvPicPr>
        <xdr:cNvPr id="99349" name="Picture 1" descr="DAF Logo">
          <a:extLst>
            <a:ext uri="{FF2B5EF4-FFF2-40B4-BE49-F238E27FC236}">
              <a16:creationId xmlns:a16="http://schemas.microsoft.com/office/drawing/2014/main" xmlns="" id="{00000000-0008-0000-2100-0000158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66675"/>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2</xdr:col>
      <xdr:colOff>19050</xdr:colOff>
      <xdr:row>0</xdr:row>
      <xdr:rowOff>66675</xdr:rowOff>
    </xdr:from>
    <xdr:to>
      <xdr:col>4</xdr:col>
      <xdr:colOff>38100</xdr:colOff>
      <xdr:row>1</xdr:row>
      <xdr:rowOff>390525</xdr:rowOff>
    </xdr:to>
    <xdr:pic>
      <xdr:nvPicPr>
        <xdr:cNvPr id="67607" name="Picture 2" descr="DAF Logo">
          <a:extLst>
            <a:ext uri="{FF2B5EF4-FFF2-40B4-BE49-F238E27FC236}">
              <a16:creationId xmlns:a16="http://schemas.microsoft.com/office/drawing/2014/main" xmlns="" id="{00000000-0008-0000-2200-0000170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 y="66675"/>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2</xdr:col>
      <xdr:colOff>19050</xdr:colOff>
      <xdr:row>0</xdr:row>
      <xdr:rowOff>66675</xdr:rowOff>
    </xdr:from>
    <xdr:to>
      <xdr:col>4</xdr:col>
      <xdr:colOff>38100</xdr:colOff>
      <xdr:row>1</xdr:row>
      <xdr:rowOff>390525</xdr:rowOff>
    </xdr:to>
    <xdr:pic>
      <xdr:nvPicPr>
        <xdr:cNvPr id="100373" name="Picture 1" descr="DAF Logo">
          <a:extLst>
            <a:ext uri="{FF2B5EF4-FFF2-40B4-BE49-F238E27FC236}">
              <a16:creationId xmlns:a16="http://schemas.microsoft.com/office/drawing/2014/main" xmlns="" id="{00000000-0008-0000-2300-0000158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 y="66675"/>
          <a:ext cx="11239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1</xdr:col>
      <xdr:colOff>247650</xdr:colOff>
      <xdr:row>11</xdr:row>
      <xdr:rowOff>47625</xdr:rowOff>
    </xdr:from>
    <xdr:to>
      <xdr:col>6</xdr:col>
      <xdr:colOff>1390650</xdr:colOff>
      <xdr:row>19</xdr:row>
      <xdr:rowOff>76200</xdr:rowOff>
    </xdr:to>
    <xdr:sp macro="" textlink="">
      <xdr:nvSpPr>
        <xdr:cNvPr id="79874" name="MyHelpTekst" hidden="1">
          <a:extLst>
            <a:ext uri="{FF2B5EF4-FFF2-40B4-BE49-F238E27FC236}">
              <a16:creationId xmlns:a16="http://schemas.microsoft.com/office/drawing/2014/main" xmlns="" id="{00000000-0008-0000-2500-000002380100}"/>
            </a:ext>
          </a:extLst>
        </xdr:cNvPr>
        <xdr:cNvSpPr>
          <a:spLocks noChangeArrowheads="1"/>
        </xdr:cNvSpPr>
      </xdr:nvSpPr>
      <xdr:spPr bwMode="auto">
        <a:xfrm>
          <a:off x="3400425" y="2505075"/>
          <a:ext cx="4695825" cy="155257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1000" b="1" i="0" u="none" strike="noStrike" baseline="0">
              <a:solidFill>
                <a:srgbClr val="000000"/>
              </a:solidFill>
              <a:latin typeface="Trebuchet MS"/>
            </a:rPr>
            <a:t>6.4 SWOT Analysis &amp; Action Plan</a:t>
          </a:r>
          <a:endParaRPr lang="nl-NL" sz="1000" b="0" i="0" u="none" strike="noStrike" baseline="0">
            <a:solidFill>
              <a:srgbClr val="000000"/>
            </a:solidFill>
            <a:latin typeface="Trebuchet MS"/>
          </a:endParaRP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Fill in the left tables to identify your main strengths, weaknesses, opportunities and threats of your dealership. </a:t>
          </a:r>
        </a:p>
        <a:p>
          <a:pPr algn="l" rtl="0">
            <a:defRPr sz="1000"/>
          </a:pPr>
          <a:r>
            <a:rPr lang="nl-NL" sz="1000" b="0" i="0" u="none" strike="noStrike" baseline="0">
              <a:solidFill>
                <a:srgbClr val="000000"/>
              </a:solidFill>
              <a:latin typeface="Trebuchet MS"/>
            </a:rPr>
            <a:t>Fill in the right tables a description how you will take advantage of each strength and opportunity and what action you will take to counter each weakness or threat.</a:t>
          </a:r>
          <a:endParaRPr lang="nl-NL" sz="1000" b="1" i="0" u="sng" strike="noStrike" baseline="0">
            <a:solidFill>
              <a:srgbClr val="000000"/>
            </a:solidFill>
            <a:latin typeface="Trebuchet MS"/>
          </a:endParaRPr>
        </a:p>
        <a:p>
          <a:pPr algn="l" rtl="0">
            <a:defRPr sz="1000"/>
          </a:pPr>
          <a:endParaRPr lang="nl-NL" sz="1000" b="1" i="0" u="sng" strike="noStrike" baseline="0">
            <a:solidFill>
              <a:srgbClr val="000000"/>
            </a:solidFill>
            <a:latin typeface="Trebuchet MS"/>
          </a:endParaRPr>
        </a:p>
      </xdr:txBody>
    </xdr:sp>
    <xdr:clientData/>
  </xdr:twoCellAnchor>
  <xdr:twoCellAnchor editAs="oneCell">
    <xdr:from>
      <xdr:col>4</xdr:col>
      <xdr:colOff>508000</xdr:colOff>
      <xdr:row>0</xdr:row>
      <xdr:rowOff>25400</xdr:rowOff>
    </xdr:from>
    <xdr:to>
      <xdr:col>4</xdr:col>
      <xdr:colOff>2108200</xdr:colOff>
      <xdr:row>0</xdr:row>
      <xdr:rowOff>889000</xdr:rowOff>
    </xdr:to>
    <xdr:pic>
      <xdr:nvPicPr>
        <xdr:cNvPr id="79873" name="CommandButton1">
          <a:extLst>
            <a:ext uri="{FF2B5EF4-FFF2-40B4-BE49-F238E27FC236}">
              <a16:creationId xmlns:a16="http://schemas.microsoft.com/office/drawing/2014/main" xmlns="" id="{00000000-0008-0000-2500-00000138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78500" y="25400"/>
          <a:ext cx="1206500" cy="330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3</xdr:col>
      <xdr:colOff>257175</xdr:colOff>
      <xdr:row>2</xdr:row>
      <xdr:rowOff>76200</xdr:rowOff>
    </xdr:from>
    <xdr:to>
      <xdr:col>10</xdr:col>
      <xdr:colOff>847725</xdr:colOff>
      <xdr:row>50</xdr:row>
      <xdr:rowOff>104775</xdr:rowOff>
    </xdr:to>
    <xdr:sp macro="" textlink="">
      <xdr:nvSpPr>
        <xdr:cNvPr id="80899" name="MyHelpTekst" hidden="1">
          <a:extLst>
            <a:ext uri="{FF2B5EF4-FFF2-40B4-BE49-F238E27FC236}">
              <a16:creationId xmlns:a16="http://schemas.microsoft.com/office/drawing/2014/main" xmlns="" id="{00000000-0008-0000-2600-0000033C0100}"/>
            </a:ext>
          </a:extLst>
        </xdr:cNvPr>
        <xdr:cNvSpPr>
          <a:spLocks noChangeArrowheads="1"/>
        </xdr:cNvSpPr>
      </xdr:nvSpPr>
      <xdr:spPr bwMode="auto">
        <a:xfrm>
          <a:off x="3457575" y="628650"/>
          <a:ext cx="8020050" cy="6943725"/>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7.1 Dealer Area Analysis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This module is the basis of the financial business plan.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Market size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number of registrations of the total market.</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size of the market is best be measured by the number of registrations. If registrations are not available, the number of deliveries is best suited.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 distinction is made between the segment of vehicles with a Gross Vehicle Weight (GVW) between 6 and 15 tons and vehicles with a GVW above 15 tons.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Market share DAF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your DAF’s market share.</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expected market share should reflect a realistic estimation mentioned in the action plan and should be filled in for both segments. Take into account that the market share relates to the DAF volume which will be invoiced in the concerning year.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An assumption is made that sales of a particular year equal deliveries and registrations of that year.</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DAF volume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This volume is a result of the expected market share and the market size and is calculated automatically.</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DAF volume mix</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expected split of the DAF volume in the basic year over the different DAF series. The sum of the volume mix per series should always be equal to 100%; otherwise a message will appear on the screen. The assumption is made that the split will stay the same in time. However, the mix-split-fields may be overwritten when the mix changes in time.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Fleet vs. total DAF sales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Fleet sales as a percentage of total sales, per series. The assumption is made that the percentage per series is the same for every year. If not, the percentages in the blue cells can be overwritten.</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6. Running parc DAF</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figures are filled in automatically and are based on:</a:t>
          </a:r>
        </a:p>
        <a:p>
          <a:pPr algn="l" rtl="0">
            <a:defRPr sz="1000"/>
          </a:pPr>
          <a:r>
            <a:rPr lang="nl-NL" sz="800" b="0" i="0" u="none" strike="noStrike" baseline="0">
              <a:solidFill>
                <a:srgbClr val="000000"/>
              </a:solidFill>
              <a:latin typeface="Trebuchet MS"/>
            </a:rPr>
            <a:t>• historical parc as filled in [5.3 Running Parc]</a:t>
          </a:r>
        </a:p>
        <a:p>
          <a:pPr algn="l" rtl="0">
            <a:defRPr sz="1000"/>
          </a:pPr>
          <a:r>
            <a:rPr lang="nl-NL" sz="800" b="0" i="0" u="none" strike="noStrike" baseline="0">
              <a:solidFill>
                <a:srgbClr val="000000"/>
              </a:solidFill>
              <a:latin typeface="Trebuchet MS"/>
            </a:rPr>
            <a:t>• survival rate (given by DAF Trucks and already included in the formulas)</a:t>
          </a:r>
        </a:p>
        <a:p>
          <a:pPr algn="l" rtl="0">
            <a:defRPr sz="1000"/>
          </a:pPr>
          <a:r>
            <a:rPr lang="nl-NL" sz="800" b="0" i="0" u="none" strike="noStrike" baseline="0">
              <a:solidFill>
                <a:srgbClr val="000000"/>
              </a:solidFill>
              <a:latin typeface="Trebuchet MS"/>
            </a:rPr>
            <a:t>• new registrations by the dealer as stated in paragraph 4 of this sheet</a:t>
          </a:r>
        </a:p>
        <a:p>
          <a:pPr algn="l" rtl="0">
            <a:defRPr sz="1000"/>
          </a:pPr>
          <a:endParaRPr lang="nl-NL"/>
        </a:p>
      </xdr:txBody>
    </xdr:sp>
    <xdr:clientData/>
  </xdr:twoCellAnchor>
  <xdr:twoCellAnchor editAs="oneCell">
    <xdr:from>
      <xdr:col>2</xdr:col>
      <xdr:colOff>1473200</xdr:colOff>
      <xdr:row>0</xdr:row>
      <xdr:rowOff>76200</xdr:rowOff>
    </xdr:from>
    <xdr:to>
      <xdr:col>3</xdr:col>
      <xdr:colOff>5644</xdr:colOff>
      <xdr:row>1</xdr:row>
      <xdr:rowOff>2822</xdr:rowOff>
    </xdr:to>
    <xdr:pic>
      <xdr:nvPicPr>
        <xdr:cNvPr id="80897" name="CommandButton1">
          <a:extLst>
            <a:ext uri="{FF2B5EF4-FFF2-40B4-BE49-F238E27FC236}">
              <a16:creationId xmlns:a16="http://schemas.microsoft.com/office/drawing/2014/main" xmlns="" id="{00000000-0008-0000-2600-0000013C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76200"/>
          <a:ext cx="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2</xdr:col>
      <xdr:colOff>581025</xdr:colOff>
      <xdr:row>8</xdr:row>
      <xdr:rowOff>19050</xdr:rowOff>
    </xdr:from>
    <xdr:to>
      <xdr:col>10</xdr:col>
      <xdr:colOff>733425</xdr:colOff>
      <xdr:row>55</xdr:row>
      <xdr:rowOff>0</xdr:rowOff>
    </xdr:to>
    <xdr:sp macro="" textlink="">
      <xdr:nvSpPr>
        <xdr:cNvPr id="81922" name="MyHelpTekst" hidden="1">
          <a:extLst>
            <a:ext uri="{FF2B5EF4-FFF2-40B4-BE49-F238E27FC236}">
              <a16:creationId xmlns:a16="http://schemas.microsoft.com/office/drawing/2014/main" xmlns="" id="{00000000-0008-0000-2700-000002400100}"/>
            </a:ext>
          </a:extLst>
        </xdr:cNvPr>
        <xdr:cNvSpPr>
          <a:spLocks noChangeArrowheads="1"/>
        </xdr:cNvSpPr>
      </xdr:nvSpPr>
      <xdr:spPr bwMode="auto">
        <a:xfrm>
          <a:off x="2924175" y="1838325"/>
          <a:ext cx="6781800" cy="929640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1000" b="1" i="0" u="none" strike="noStrike" baseline="0">
              <a:solidFill>
                <a:srgbClr val="000000"/>
              </a:solidFill>
              <a:latin typeface="Trebuchet MS"/>
            </a:rPr>
            <a:t>7.2.1 Turnover Vehicles</a:t>
          </a:r>
          <a:endParaRPr lang="nl-NL" sz="1000" b="0" i="0" u="none" strike="noStrike" baseline="0">
            <a:solidFill>
              <a:srgbClr val="000000"/>
            </a:solidFill>
            <a:latin typeface="Trebuchet MS"/>
          </a:endParaRP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1. New DAF vehicles</a:t>
          </a: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1.1.1 Average turnover per vehicle excluding bodies and VAT but including accessories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Fill in the average sales price in the basis year per series and estimate the price increase per year. </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1.1.2 Average turnover fleet sales per vehicle excluding bodies and VAT but including accessories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Provide also the average discount given on fleet sales. The turnover per vehicle of all other years and of the fleet sales of all years will be calculated automatically. </a:t>
          </a:r>
        </a:p>
        <a:p>
          <a:pPr algn="l" rtl="0">
            <a:defRPr sz="1000"/>
          </a:pPr>
          <a:r>
            <a:rPr lang="nl-NL" sz="1000" b="0" i="0" u="none" strike="noStrike" baseline="0">
              <a:solidFill>
                <a:srgbClr val="000000"/>
              </a:solidFill>
              <a:latin typeface="Trebuchet MS"/>
            </a:rPr>
            <a:t>The turnover on the body should be excluded from the turnover on the vehicle.</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1.2. Total turnover DAF vehicles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Total turnover is automatically calculated as a result of the expected turnover per vehicle and the number of trucks delivered per series in [7.1 Dealer Area Analysis].</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2. Used trucks</a:t>
          </a: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2.1. Turnover</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The expected number of delivered used trucks and the average sales price per vehicle in every year (including bodies).</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2.2. Stock used trucks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Enter the expected number of used trucks in stock at the end of the concerning year and enter also the initial stock of the basis year in value. The stock value at the end of the year is automatically calculated taking into account the margin on used trucks which will be given by the user.</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3. Other products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Fill in the type of product and the expected turnover per year. Product categories are trailers, vans and bodies. Not meant here are products like parts, tyres and oil.</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4. Decision required number of salesmen</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Fill in the expected sales volume of DAF trucks for each year. The program is using this parameter for the forecast. However, when this parameter changes, the parameter for the other years can be overwritten. Based on the total volume to be sold, the program gives a suggestion of the number of DAF salesmen requested. The decision maker (dealer principal) always decides the actual number of salesmen. For used trucks and other products the decision maker needs to assess how many people he needs. Also take into account the role of the Managing Director and the Sales Manager; especially in small and medium sized dealerships they have a sales task as well. The salaries &amp; wages (see 7.4.1 Salaries &amp; Wages) are based on the decided number and not on the suggested one.</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In case a salesman is selling both new and used vehicles, one should make an estimation of the time spent on each of them and allocates accordingly. </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Example: </a:t>
          </a:r>
        </a:p>
        <a:p>
          <a:pPr algn="l" rtl="0">
            <a:defRPr sz="1000"/>
          </a:pPr>
          <a:r>
            <a:rPr lang="nl-NL" sz="1000" b="0" i="0" u="none" strike="noStrike" baseline="0">
              <a:solidFill>
                <a:srgbClr val="000000"/>
              </a:solidFill>
              <a:latin typeface="Trebuchet MS"/>
            </a:rPr>
            <a:t>Activity Time to spend Required salesmen</a:t>
          </a:r>
        </a:p>
        <a:p>
          <a:pPr algn="l" rtl="0">
            <a:defRPr sz="1000"/>
          </a:pPr>
          <a:r>
            <a:rPr lang="nl-NL" sz="1000" b="0" i="0" u="none" strike="noStrike" baseline="0">
              <a:solidFill>
                <a:srgbClr val="000000"/>
              </a:solidFill>
              <a:latin typeface="Trebuchet MS"/>
            </a:rPr>
            <a:t>new trucks 75% 0,75</a:t>
          </a:r>
        </a:p>
        <a:p>
          <a:pPr algn="l" rtl="0">
            <a:defRPr sz="1000"/>
          </a:pPr>
          <a:r>
            <a:rPr lang="nl-NL" sz="1000" b="0" i="0" u="none" strike="noStrike" baseline="0">
              <a:solidFill>
                <a:srgbClr val="000000"/>
              </a:solidFill>
              <a:latin typeface="Trebuchet MS"/>
            </a:rPr>
            <a:t>used trucks 25% 0,25</a:t>
          </a:r>
        </a:p>
        <a:p>
          <a:pPr algn="l" rtl="0">
            <a:defRPr sz="1000"/>
          </a:pPr>
          <a:r>
            <a:rPr lang="nl-NL" sz="1000" b="0" i="0" u="none" strike="noStrike" baseline="0">
              <a:solidFill>
                <a:srgbClr val="000000"/>
              </a:solidFill>
              <a:latin typeface="Trebuchet MS"/>
            </a:rPr>
            <a:t> 100% 1</a:t>
          </a:r>
        </a:p>
        <a:p>
          <a:pPr algn="l" rtl="0">
            <a:defRPr sz="1000"/>
          </a:pPr>
          <a:endParaRPr lang="nl-NL" sz="1000" b="0" i="0" u="none" strike="noStrike" baseline="0">
            <a:solidFill>
              <a:srgbClr val="000000"/>
            </a:solidFill>
            <a:latin typeface="Trebuchet MS"/>
          </a:endParaRPr>
        </a:p>
      </xdr:txBody>
    </xdr:sp>
    <xdr:clientData/>
  </xdr:twoCellAnchor>
  <xdr:twoCellAnchor editAs="oneCell">
    <xdr:from>
      <xdr:col>1</xdr:col>
      <xdr:colOff>1447800</xdr:colOff>
      <xdr:row>0</xdr:row>
      <xdr:rowOff>76200</xdr:rowOff>
    </xdr:from>
    <xdr:to>
      <xdr:col>2</xdr:col>
      <xdr:colOff>6505</xdr:colOff>
      <xdr:row>1</xdr:row>
      <xdr:rowOff>4323</xdr:rowOff>
    </xdr:to>
    <xdr:pic>
      <xdr:nvPicPr>
        <xdr:cNvPr id="81921" name="CommandButton1">
          <a:extLst>
            <a:ext uri="{FF2B5EF4-FFF2-40B4-BE49-F238E27FC236}">
              <a16:creationId xmlns:a16="http://schemas.microsoft.com/office/drawing/2014/main" xmlns="" id="{00000000-0008-0000-2700-00000140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9700" y="76200"/>
          <a:ext cx="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2</xdr:col>
      <xdr:colOff>819150</xdr:colOff>
      <xdr:row>1</xdr:row>
      <xdr:rowOff>95250</xdr:rowOff>
    </xdr:from>
    <xdr:to>
      <xdr:col>10</xdr:col>
      <xdr:colOff>257175</xdr:colOff>
      <xdr:row>68</xdr:row>
      <xdr:rowOff>57150</xdr:rowOff>
    </xdr:to>
    <xdr:sp macro="" textlink="">
      <xdr:nvSpPr>
        <xdr:cNvPr id="12518" name="MyHelpTekst" hidden="1">
          <a:extLst>
            <a:ext uri="{FF2B5EF4-FFF2-40B4-BE49-F238E27FC236}">
              <a16:creationId xmlns:a16="http://schemas.microsoft.com/office/drawing/2014/main" xmlns="" id="{00000000-0008-0000-2800-0000E6300000}"/>
            </a:ext>
          </a:extLst>
        </xdr:cNvPr>
        <xdr:cNvSpPr>
          <a:spLocks noChangeArrowheads="1"/>
        </xdr:cNvSpPr>
      </xdr:nvSpPr>
      <xdr:spPr bwMode="auto">
        <a:xfrm>
          <a:off x="3171825" y="457200"/>
          <a:ext cx="6591300" cy="13144500"/>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7.2.2 Turnover Parts </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Potential parts consumption on DAF vehicles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Based on the mix of the parc, the potential parts consumption per vehicle and the weighted average margin of the dealer, the total parts potential for the dealer area is calculated. The potential includes R&amp;M, damage repairs, accessories and warranty parts. Source of the consumption figures is the DAF Trucks After Sales Department in Eindhoven.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Maximum years in parts potential: This number of years will be taken into account for the calcullationof the potential parts consumption. The lower the number of years the lower the potential parts consumption will be.</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2.1 Total parts turnover (after discount)</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parts retention is calculated as the relation between the parts turnover on DAF vehicles and the potential parts consumption on DAF vehicles. The parts retention of the basic year is used to forecast the parts retention of the coming years.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Oil and lubricants: Based upon potential parc a turnover is automatically calculated. This turnover can be overwritten.</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Existing dealer: The parts retention of the basic year is a result of the actual parts turnover on DAF vehicles in the basic year and the potential parts consumption on DAF vehicles. </a:t>
          </a:r>
        </a:p>
        <a:p>
          <a:pPr algn="l" rtl="0">
            <a:defRPr sz="1000"/>
          </a:pPr>
          <a:r>
            <a:rPr lang="nl-NL" sz="800" b="0" i="0" u="none" strike="noStrike" baseline="0">
              <a:solidFill>
                <a:srgbClr val="000000"/>
              </a:solidFill>
              <a:latin typeface="Trebuchet MS"/>
            </a:rPr>
            <a:t>New dealer: The parts retention of the basic year is a result of the estimated parts turnover on DAF vehicles in the basic year and the potential parts consumption on DAF vehicles. </a:t>
          </a:r>
        </a:p>
        <a:p>
          <a:pPr algn="l" rtl="0">
            <a:defRPr sz="1000"/>
          </a:pPr>
          <a:r>
            <a:rPr lang="nl-NL" sz="800" b="0" i="0" u="none" strike="noStrike" baseline="0">
              <a:solidFill>
                <a:srgbClr val="000000"/>
              </a:solidFill>
              <a:latin typeface="Trebuchet MS"/>
            </a:rPr>
            <a:t> </a:t>
          </a:r>
        </a:p>
        <a:p>
          <a:pPr algn="l" rtl="0">
            <a:defRPr sz="1000"/>
          </a:pPr>
          <a:r>
            <a:rPr lang="nl-NL" sz="800" b="0" i="0" u="none" strike="noStrike" baseline="0">
              <a:solidFill>
                <a:srgbClr val="000000"/>
              </a:solidFill>
              <a:latin typeface="Trebuchet MS"/>
            </a:rPr>
            <a:t>A distinction is made between:</a:t>
          </a:r>
        </a:p>
        <a:p>
          <a:pPr algn="l" rtl="0">
            <a:defRPr sz="1000"/>
          </a:pPr>
          <a:r>
            <a:rPr lang="nl-NL" sz="800" b="0" i="0" u="none" strike="noStrike" baseline="0">
              <a:solidFill>
                <a:srgbClr val="000000"/>
              </a:solidFill>
              <a:latin typeface="Trebuchet MS"/>
            </a:rPr>
            <a:t>• parts turnover on DAF vehicles; DAF vehicles only</a:t>
          </a:r>
        </a:p>
        <a:p>
          <a:pPr algn="l" rtl="0">
            <a:defRPr sz="1000"/>
          </a:pPr>
          <a:r>
            <a:rPr lang="nl-NL" sz="800" b="0" i="0" u="none" strike="noStrike" baseline="0">
              <a:solidFill>
                <a:srgbClr val="000000"/>
              </a:solidFill>
              <a:latin typeface="Trebuchet MS"/>
            </a:rPr>
            <a:t>• parts turnover on other activities; other makes than DAF, used trucks, buses, trailers, bodies,…</a:t>
          </a:r>
        </a:p>
        <a:p>
          <a:pPr algn="l" rtl="0">
            <a:defRPr sz="1000"/>
          </a:pPr>
          <a:r>
            <a:rPr lang="nl-NL" sz="800" b="0" i="0" u="none" strike="noStrike" baseline="0">
              <a:solidFill>
                <a:srgbClr val="000000"/>
              </a:solidFill>
              <a:latin typeface="Trebuchet MS"/>
            </a:rPr>
            <a:t>• tyres</a:t>
          </a:r>
        </a:p>
        <a:p>
          <a:pPr algn="l" rtl="0">
            <a:defRPr sz="1000"/>
          </a:pPr>
          <a:r>
            <a:rPr lang="nl-NL" sz="800" b="0" i="0" u="none" strike="noStrike" baseline="0">
              <a:solidFill>
                <a:srgbClr val="000000"/>
              </a:solidFill>
              <a:latin typeface="Trebuchet MS"/>
            </a:rPr>
            <a:t>• oil and lubricants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2.2 Preparation new and used trucks (internal invoiced parts as part of the total invoiced parts)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Meant here are the parts/accessories mounted by the dealer for the preparation of new and used vehicles, at sales price.</a:t>
          </a:r>
        </a:p>
        <a:p>
          <a:pPr algn="l" rtl="0">
            <a:defRPr sz="1000"/>
          </a:pPr>
          <a:r>
            <a:rPr lang="nl-NL" sz="800" b="0" i="0" u="none" strike="noStrike" baseline="0">
              <a:solidFill>
                <a:srgbClr val="000000"/>
              </a:solidFill>
              <a:latin typeface="Trebuchet MS"/>
            </a:rPr>
            <a:t>This module is part of the total turnover in paragraph [2.1 Total parts turnover (after discount)]. The parts/accessories are sold by the parts department to the sales department through internal invoicing. This implies that the parts, which represents an internal turnover for the parts department is an internal cost for the sales department. The sales department itself is responsible for the invoicing to the customer. In the philosophy of lean profit centers the turnover is registered in two different places; once in the parts department and once in the sales department. </a:t>
          </a:r>
        </a:p>
        <a:p>
          <a:pPr algn="l" rtl="0">
            <a:defRPr sz="1000"/>
          </a:pPr>
          <a:r>
            <a:rPr lang="nl-NL" sz="800" b="0" i="0" u="none" strike="noStrike" baseline="0">
              <a:solidFill>
                <a:srgbClr val="000000"/>
              </a:solidFill>
              <a:latin typeface="Trebuchet MS"/>
            </a:rPr>
            <a:t>From an accounting point of view, this turnover is only registered once in total turnover, namely in the profit center where external invoicing takes place.</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 distinction is made between the consumption per vehicle for:</a:t>
          </a:r>
        </a:p>
        <a:p>
          <a:pPr algn="l" rtl="0">
            <a:defRPr sz="1000"/>
          </a:pPr>
          <a:r>
            <a:rPr lang="nl-NL" sz="800" b="0" i="0" u="none" strike="noStrike" baseline="0">
              <a:solidFill>
                <a:srgbClr val="000000"/>
              </a:solidFill>
              <a:latin typeface="Trebuchet MS"/>
            </a:rPr>
            <a:t>• new trucks; as a part of parts turnover on DAF vehicles </a:t>
          </a:r>
        </a:p>
        <a:p>
          <a:pPr algn="l" rtl="0">
            <a:defRPr sz="1000"/>
          </a:pPr>
          <a:r>
            <a:rPr lang="nl-NL" sz="800" b="0" i="0" u="none" strike="noStrike" baseline="0">
              <a:solidFill>
                <a:srgbClr val="000000"/>
              </a:solidFill>
              <a:latin typeface="Trebuchet MS"/>
            </a:rPr>
            <a:t>• used trucks; as a part of parts turnover on other activities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2.2. Split parts turnover over counter and workshop</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To take into account the possible difference in margin between parts sold over the counter and through the workshop, the percentage of the workshop is asked in relation to the total parts turnover. </a:t>
          </a:r>
        </a:p>
        <a:p>
          <a:pPr algn="l" rtl="0">
            <a:defRPr sz="1000"/>
          </a:pPr>
          <a:r>
            <a:rPr lang="nl-NL" sz="800" b="0" i="0" u="none" strike="noStrike" baseline="0">
              <a:solidFill>
                <a:srgbClr val="000000"/>
              </a:solidFill>
              <a:latin typeface="Trebuchet MS"/>
            </a:rPr>
            <a:t>The counter sales itself can be divided into sales to spokes/service dealer and ordinary counter sales.</a:t>
          </a:r>
        </a:p>
        <a:p>
          <a:pPr algn="l" rtl="0">
            <a:defRPr sz="1000"/>
          </a:pPr>
          <a:r>
            <a:rPr lang="nl-NL" sz="800" b="0" i="0" u="none" strike="noStrike" baseline="0">
              <a:solidFill>
                <a:srgbClr val="000000"/>
              </a:solidFill>
              <a:latin typeface="Trebuchet MS"/>
            </a:rPr>
            <a:t>A general distinction is made between parts on DAF vehicles and other activities.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Decision required number of parts personnel</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Based on the total parts turnover and the estimated turnover per person (DTNV can give guidelines when requested), the program makes a suggestion on the number of parts employees required. The turnover per parts employee is kept constant over time. However, when this parameter changes, the calculated fields may be overwritten. The decision maker has to decide how many employees he really wants. A distinction is made between:</a:t>
          </a:r>
        </a:p>
        <a:p>
          <a:pPr algn="l" rtl="0">
            <a:defRPr sz="1000"/>
          </a:pPr>
          <a:r>
            <a:rPr lang="nl-NL" sz="800" b="0" i="0" u="none" strike="noStrike" baseline="0">
              <a:solidFill>
                <a:srgbClr val="000000"/>
              </a:solidFill>
              <a:latin typeface="Trebuchet MS"/>
            </a:rPr>
            <a:t>• warehouse clerks (all makes)</a:t>
          </a:r>
        </a:p>
        <a:p>
          <a:pPr algn="l" rtl="0">
            <a:defRPr sz="1000"/>
          </a:pPr>
          <a:r>
            <a:rPr lang="nl-NL" sz="800" b="0" i="0" u="none" strike="noStrike" baseline="0">
              <a:solidFill>
                <a:srgbClr val="000000"/>
              </a:solidFill>
              <a:latin typeface="Trebuchet MS"/>
            </a:rPr>
            <a:t>• parts sales managers</a:t>
          </a:r>
        </a:p>
        <a:p>
          <a:pPr algn="l" rtl="0">
            <a:defRPr sz="1000"/>
          </a:pPr>
          <a:r>
            <a:rPr lang="nl-NL" sz="800" b="0" i="0" u="none" strike="noStrike" baseline="0">
              <a:solidFill>
                <a:srgbClr val="000000"/>
              </a:solidFill>
              <a:latin typeface="Trebuchet MS"/>
            </a:rPr>
            <a:t>• parts manager (= warehouse manager)</a:t>
          </a:r>
        </a:p>
        <a:p>
          <a:pPr algn="l" rtl="0">
            <a:defRPr sz="1000"/>
          </a:pPr>
          <a:r>
            <a:rPr lang="nl-NL" sz="800" b="0" i="0" u="none" strike="noStrike" baseline="0">
              <a:solidFill>
                <a:srgbClr val="000000"/>
              </a:solidFill>
              <a:latin typeface="Trebuchet MS"/>
            </a:rPr>
            <a:t>• administration and other</a:t>
          </a:r>
        </a:p>
        <a:p>
          <a:pPr algn="l" rtl="0">
            <a:defRPr sz="1000"/>
          </a:pPr>
          <a:r>
            <a:rPr lang="nl-NL" sz="800" b="0" i="0" u="none" strike="noStrike" baseline="0">
              <a:solidFill>
                <a:srgbClr val="000000"/>
              </a:solidFill>
              <a:latin typeface="Trebuchet MS"/>
            </a:rPr>
            <a:t>The salaries &amp; wages (see 7.4.1) are based on the decisions and not on the suggestion.</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Parts stock</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order to determine the closing stock, both the total parts turnover and the stock rotation are used. Finally, the value at sales price is discounted by means of the weighted average parts margin.</a:t>
          </a:r>
        </a:p>
        <a:p>
          <a:pPr algn="l" rtl="0">
            <a:defRPr sz="1000"/>
          </a:pPr>
          <a:r>
            <a:rPr lang="nl-NL" sz="800" b="1" i="0" u="none" strike="noStrike" baseline="0">
              <a:solidFill>
                <a:srgbClr val="000000"/>
              </a:solidFill>
              <a:latin typeface="Trebuchet MS"/>
            </a:rPr>
            <a:t>4.1  Stock rotation</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number of times the stock turns in relation to the turnover. Based on this input, the stock rotation in months is calculated. At the same time, the closing stock at sales price is given.</a:t>
          </a:r>
        </a:p>
        <a:p>
          <a:pPr algn="l" rtl="0">
            <a:defRPr sz="1000"/>
          </a:pPr>
          <a:r>
            <a:rPr lang="nl-NL" sz="800" b="1" i="0" u="none" strike="noStrike" baseline="0">
              <a:solidFill>
                <a:srgbClr val="000000"/>
              </a:solidFill>
              <a:latin typeface="Trebuchet MS"/>
            </a:rPr>
            <a:t>4.2  Change in stock at purchase price (based on sales price)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Both for a new dealer as for an existing dealer, the initial parts stock at purchase price should be filled in.</a:t>
          </a:r>
        </a:p>
        <a:p>
          <a:pPr algn="l" rtl="0">
            <a:defRPr sz="1000"/>
          </a:pPr>
          <a:r>
            <a:rPr lang="nl-NL" sz="800" b="1" i="0" u="none" strike="noStrike" baseline="0">
              <a:solidFill>
                <a:srgbClr val="000000"/>
              </a:solidFill>
              <a:latin typeface="Trebuchet MS"/>
            </a:rPr>
            <a:t>4.3  Purchases during year</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This module calculates the total purchases (of all makes) during the year. The amounts calculated here are only for your information and have no further consequences in the business plan whatsoever.</a:t>
          </a:r>
          <a:endParaRPr lang="nl-NL" sz="1000" b="1" i="0" u="sng" strike="noStrike" baseline="0">
            <a:solidFill>
              <a:srgbClr val="000000"/>
            </a:solidFill>
            <a:latin typeface="Trebuchet MS"/>
          </a:endParaRPr>
        </a:p>
        <a:p>
          <a:pPr algn="l" rtl="0">
            <a:defRPr sz="1000"/>
          </a:pPr>
          <a:endParaRPr lang="nl-NL"/>
        </a:p>
      </xdr:txBody>
    </xdr:sp>
    <xdr:clientData/>
  </xdr:twoCellAnchor>
  <xdr:twoCellAnchor editAs="oneCell">
    <xdr:from>
      <xdr:col>2</xdr:col>
      <xdr:colOff>177800</xdr:colOff>
      <xdr:row>0</xdr:row>
      <xdr:rowOff>76200</xdr:rowOff>
    </xdr:from>
    <xdr:to>
      <xdr:col>2</xdr:col>
      <xdr:colOff>787400</xdr:colOff>
      <xdr:row>0</xdr:row>
      <xdr:rowOff>355600</xdr:rowOff>
    </xdr:to>
    <xdr:pic>
      <xdr:nvPicPr>
        <xdr:cNvPr id="12516" name="CommandButton1">
          <a:extLst>
            <a:ext uri="{FF2B5EF4-FFF2-40B4-BE49-F238E27FC236}">
              <a16:creationId xmlns:a16="http://schemas.microsoft.com/office/drawing/2014/main" xmlns="" id="{00000000-0008-0000-2800-0000E43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0" y="76200"/>
          <a:ext cx="6096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xdr:row>
      <xdr:rowOff>0</xdr:rowOff>
    </xdr:from>
    <xdr:to>
      <xdr:col>10</xdr:col>
      <xdr:colOff>600075</xdr:colOff>
      <xdr:row>11</xdr:row>
      <xdr:rowOff>0</xdr:rowOff>
    </xdr:to>
    <xdr:sp macro="" textlink="" fLocksText="0">
      <xdr:nvSpPr>
        <xdr:cNvPr id="2064" name="Rectangle 5">
          <a:extLst>
            <a:ext uri="{FF2B5EF4-FFF2-40B4-BE49-F238E27FC236}">
              <a16:creationId xmlns:a16="http://schemas.microsoft.com/office/drawing/2014/main" xmlns="" id="{00000000-0008-0000-0400-000010080000}"/>
            </a:ext>
          </a:extLst>
        </xdr:cNvPr>
        <xdr:cNvSpPr>
          <a:spLocks noChangeArrowheads="1"/>
        </xdr:cNvSpPr>
      </xdr:nvSpPr>
      <xdr:spPr bwMode="auto">
        <a:xfrm>
          <a:off x="0" y="1266825"/>
          <a:ext cx="8877300" cy="952500"/>
        </a:xfrm>
        <a:prstGeom prst="rect">
          <a:avLst/>
        </a:prstGeom>
        <a:solidFill>
          <a:srgbClr val="FFFFC0"/>
        </a:solidFill>
        <a:ln w="9525" algn="ctr">
          <a:solidFill>
            <a:srgbClr val="000000"/>
          </a:solidFill>
          <a:miter lim="800000"/>
          <a:headEnd/>
          <a:tailEnd/>
        </a:ln>
      </xdr:spPr>
      <xdr:txBody>
        <a:bodyPr/>
        <a:lstStyle/>
        <a:p>
          <a:r>
            <a:rPr lang="en-GB"/>
            <a:t>TIM</a:t>
          </a:r>
          <a:r>
            <a:rPr lang="en-GB" baseline="0"/>
            <a:t>'s vision is to be among the top 3 players in truck sales and number one in customer satisfaction.</a:t>
          </a:r>
          <a:endParaRPr lang="en-GB"/>
        </a:p>
      </xdr:txBody>
    </xdr:sp>
    <xdr:clientData/>
  </xdr:twoCellAnchor>
  <xdr:twoCellAnchor>
    <xdr:from>
      <xdr:col>0</xdr:col>
      <xdr:colOff>0</xdr:colOff>
      <xdr:row>13</xdr:row>
      <xdr:rowOff>0</xdr:rowOff>
    </xdr:from>
    <xdr:to>
      <xdr:col>11</xdr:col>
      <xdr:colOff>0</xdr:colOff>
      <xdr:row>24</xdr:row>
      <xdr:rowOff>9525</xdr:rowOff>
    </xdr:to>
    <xdr:sp macro="" textlink="" fLocksText="0">
      <xdr:nvSpPr>
        <xdr:cNvPr id="2065" name="Rectangle 10">
          <a:extLst>
            <a:ext uri="{FF2B5EF4-FFF2-40B4-BE49-F238E27FC236}">
              <a16:creationId xmlns:a16="http://schemas.microsoft.com/office/drawing/2014/main" xmlns="" id="{00000000-0008-0000-0400-000011080000}"/>
            </a:ext>
          </a:extLst>
        </xdr:cNvPr>
        <xdr:cNvSpPr>
          <a:spLocks noChangeArrowheads="1"/>
        </xdr:cNvSpPr>
      </xdr:nvSpPr>
      <xdr:spPr bwMode="auto">
        <a:xfrm>
          <a:off x="0" y="2600325"/>
          <a:ext cx="8886825" cy="1952625"/>
        </a:xfrm>
        <a:prstGeom prst="rect">
          <a:avLst/>
        </a:prstGeom>
        <a:solidFill>
          <a:srgbClr val="FFFFC0"/>
        </a:solidFill>
        <a:ln w="9525" algn="ctr">
          <a:solidFill>
            <a:srgbClr val="000000"/>
          </a:solidFill>
          <a:miter lim="800000"/>
          <a:headEnd/>
          <a:tailEnd/>
        </a:ln>
      </xdr:spPr>
      <xdr:txBody>
        <a:bodyPr/>
        <a:lstStyle/>
        <a:p>
          <a:pPr rtl="0" eaLnBrk="0" latinLnBrk="0" hangingPunct="0"/>
          <a:r>
            <a:rPr lang="en-GB" baseline="0">
              <a:solidFill>
                <a:sysClr val="windowText" lastClr="000000"/>
              </a:solidFill>
              <a:effectLst/>
            </a:rPr>
            <a:t>TIM mission is to  sell trucks which meet clients technical requirements and to offer high level after sales services throughout our network that will conduce DAF clients to have an optimized total cost of ownership and help our clients to consolidate and expand their business.                                                                                                                                          An offshoot of a well recognized group of companies active in the truck and bus business for over 40 years.                                                                                                                           We thrive to grow a sucessfull truck business operation aiming at the best practise in the field.                                                                                                                                                  We stand for integrity, reliability, trustworthiness, achieve our commitments and performance.                                                                                                                                                To fulfill our goals and ambitions sustained by an entrepreunership spirit.  </a:t>
          </a:r>
          <a:endParaRPr lang="en-GB">
            <a:solidFill>
              <a:sysClr val="windowText" lastClr="000000"/>
            </a:solidFill>
            <a:effectLst/>
          </a:endParaRPr>
        </a:p>
      </xdr:txBody>
    </xdr:sp>
    <xdr:clientData/>
  </xdr:twoCellAnchor>
  <xdr:twoCellAnchor>
    <xdr:from>
      <xdr:col>0</xdr:col>
      <xdr:colOff>0</xdr:colOff>
      <xdr:row>26</xdr:row>
      <xdr:rowOff>11206</xdr:rowOff>
    </xdr:from>
    <xdr:to>
      <xdr:col>10</xdr:col>
      <xdr:colOff>600075</xdr:colOff>
      <xdr:row>38</xdr:row>
      <xdr:rowOff>6163</xdr:rowOff>
    </xdr:to>
    <xdr:sp macro="" textlink="" fLocksText="0">
      <xdr:nvSpPr>
        <xdr:cNvPr id="2066" name="Rectangle 11">
          <a:extLst>
            <a:ext uri="{FF2B5EF4-FFF2-40B4-BE49-F238E27FC236}">
              <a16:creationId xmlns:a16="http://schemas.microsoft.com/office/drawing/2014/main" xmlns="" id="{00000000-0008-0000-0400-000012080000}"/>
            </a:ext>
          </a:extLst>
        </xdr:cNvPr>
        <xdr:cNvSpPr>
          <a:spLocks noChangeArrowheads="1"/>
        </xdr:cNvSpPr>
      </xdr:nvSpPr>
      <xdr:spPr bwMode="auto">
        <a:xfrm>
          <a:off x="0" y="4930588"/>
          <a:ext cx="8847604" cy="2684369"/>
        </a:xfrm>
        <a:prstGeom prst="rect">
          <a:avLst/>
        </a:prstGeom>
        <a:solidFill>
          <a:srgbClr val="FFFFC0"/>
        </a:solidFill>
        <a:ln w="9525" algn="ctr">
          <a:solidFill>
            <a:srgbClr val="000000"/>
          </a:solidFill>
          <a:miter lim="800000"/>
          <a:headEnd/>
          <a:tailEnd/>
        </a:ln>
      </xdr:spPr>
      <xdr:txBody>
        <a:bodyPr/>
        <a:lstStyle/>
        <a:p>
          <a:r>
            <a:rPr lang="nl-NL"/>
            <a:t>TIM will allocate the financial resources to support</a:t>
          </a:r>
          <a:r>
            <a:rPr lang="nl-NL" baseline="0"/>
            <a:t> </a:t>
          </a:r>
          <a:r>
            <a:rPr lang="nl-NL"/>
            <a:t>the</a:t>
          </a:r>
          <a:r>
            <a:rPr lang="nl-NL" baseline="0"/>
            <a:t> growth of the business.                                                                                                                                                                          Hire an experienced team already identified to promote the sales and after sales activities of DAF products.  </a:t>
          </a:r>
        </a:p>
        <a:p>
          <a:r>
            <a:rPr lang="nl-NL" baseline="0">
              <a:solidFill>
                <a:schemeClr val="tx1"/>
              </a:solidFill>
            </a:rPr>
            <a:t>The first year TIM will set up a facility in Sousse.</a:t>
          </a:r>
        </a:p>
        <a:p>
          <a:r>
            <a:rPr lang="nl-NL" baseline="0">
              <a:solidFill>
                <a:schemeClr val="tx1"/>
              </a:solidFill>
            </a:rPr>
            <a:t>The second year of operation TIM will set up 2 more facilities in the following order: Tunis 1 3S and Tunis 2 showroom.      </a:t>
          </a:r>
        </a:p>
        <a:p>
          <a:r>
            <a:rPr lang="nl-NL" baseline="0">
              <a:solidFill>
                <a:schemeClr val="tx1"/>
              </a:solidFill>
            </a:rPr>
            <a:t>The third year TIM will establish a new 3S facility in Sfax.                                                                                                                                                                                                                </a:t>
          </a:r>
          <a:r>
            <a:rPr lang="nl-NL" baseline="0"/>
            <a:t>The fourth year of operation </a:t>
          </a:r>
          <a:r>
            <a:rPr lang="nl-NL" baseline="0">
              <a:solidFill>
                <a:sysClr val="windowText" lastClr="000000"/>
              </a:solidFill>
            </a:rPr>
            <a:t>TIM will set up two more facilities (service and parts): Gafsa and Jendouba.                                                                                                                                 The fifth year of operation TIM will set up an additionnal facility service and parts in Gabes.                                                                                                                                                  Once this network is deployed most customers willl be in a range of less than 100 km from our service facility.                                                                                                                  TIM aims at reaching a suistainable market share of 15% to 17% within a five year </a:t>
          </a:r>
          <a:r>
            <a:rPr lang="nl-NL" baseline="0">
              <a:solidFill>
                <a:schemeClr val="tx1"/>
              </a:solidFill>
            </a:rPr>
            <a:t>period for the two combined segments (4X2T and 8X4R).                                                                                                                                                     </a:t>
          </a:r>
          <a:r>
            <a:rPr lang="nl-NL" baseline="0">
              <a:solidFill>
                <a:sysClr val="windowText" lastClr="000000"/>
              </a:solidFill>
            </a:rPr>
            <a:t>TIM will introduce and actively support DAF relevant innovations in terms of products and after sales services suitable for the Tunisian market.                                                   Human resources policy based on motivation, performance bonuses and attractive career plan.              </a:t>
          </a:r>
          <a:endParaRPr lang="nl-NL">
            <a:solidFill>
              <a:sysClr val="windowText" lastClr="000000"/>
            </a:solidFill>
          </a:endParaRPr>
        </a:p>
      </xdr:txBody>
    </xdr:sp>
    <xdr:clientData/>
  </xdr:twoCellAnchor>
  <xdr:twoCellAnchor>
    <xdr:from>
      <xdr:col>3</xdr:col>
      <xdr:colOff>142875</xdr:colOff>
      <xdr:row>6</xdr:row>
      <xdr:rowOff>57150</xdr:rowOff>
    </xdr:from>
    <xdr:to>
      <xdr:col>9</xdr:col>
      <xdr:colOff>466725</xdr:colOff>
      <xdr:row>20</xdr:row>
      <xdr:rowOff>95250</xdr:rowOff>
    </xdr:to>
    <xdr:sp macro="" textlink="">
      <xdr:nvSpPr>
        <xdr:cNvPr id="2067" name="MyHelpTekst" hidden="1">
          <a:extLst>
            <a:ext uri="{FF2B5EF4-FFF2-40B4-BE49-F238E27FC236}">
              <a16:creationId xmlns:a16="http://schemas.microsoft.com/office/drawing/2014/main" xmlns="" id="{00000000-0008-0000-0400-000013080000}"/>
            </a:ext>
          </a:extLst>
        </xdr:cNvPr>
        <xdr:cNvSpPr>
          <a:spLocks noChangeArrowheads="1"/>
        </xdr:cNvSpPr>
      </xdr:nvSpPr>
      <xdr:spPr bwMode="auto">
        <a:xfrm>
          <a:off x="4010025" y="1323975"/>
          <a:ext cx="4124325" cy="2667000"/>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1.1 Mission &amp; Objectives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Business vision</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vision of the company.</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Business mission</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Your mission statement is an opportunity to define your business at the most basic level. It should tell your company story and ideals in less than 30 seconds: who your company is, what you do, what you stand for, and why you do it.</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Strategic objectives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objectives, the goals of the planning period of this Business Plan. </a:t>
          </a:r>
        </a:p>
        <a:p>
          <a:pPr algn="l" rtl="0">
            <a:defRPr sz="1000"/>
          </a:pPr>
          <a:endParaRPr lang="nl-NL"/>
        </a:p>
      </xdr:txBody>
    </xdr:sp>
    <xdr:clientData/>
  </xdr:twoCellAnchor>
  <xdr:twoCellAnchor editAs="oneCell">
    <xdr:from>
      <xdr:col>3</xdr:col>
      <xdr:colOff>228600</xdr:colOff>
      <xdr:row>0</xdr:row>
      <xdr:rowOff>177800</xdr:rowOff>
    </xdr:from>
    <xdr:to>
      <xdr:col>4</xdr:col>
      <xdr:colOff>558800</xdr:colOff>
      <xdr:row>2</xdr:row>
      <xdr:rowOff>50800</xdr:rowOff>
    </xdr:to>
    <xdr:pic>
      <xdr:nvPicPr>
        <xdr:cNvPr id="2061" name="CommandButton1">
          <a:extLst>
            <a:ext uri="{FF2B5EF4-FFF2-40B4-BE49-F238E27FC236}">
              <a16:creationId xmlns:a16="http://schemas.microsoft.com/office/drawing/2014/main" xmlns="" id="{00000000-0008-0000-0400-00000D0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177800"/>
          <a:ext cx="1028700" cy="406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552450</xdr:colOff>
      <xdr:row>1</xdr:row>
      <xdr:rowOff>161925</xdr:rowOff>
    </xdr:from>
    <xdr:to>
      <xdr:col>9</xdr:col>
      <xdr:colOff>523875</xdr:colOff>
      <xdr:row>71</xdr:row>
      <xdr:rowOff>180975</xdr:rowOff>
    </xdr:to>
    <xdr:sp macro="" textlink="">
      <xdr:nvSpPr>
        <xdr:cNvPr id="82946" name="MyHelpTekst" hidden="1">
          <a:extLst>
            <a:ext uri="{FF2B5EF4-FFF2-40B4-BE49-F238E27FC236}">
              <a16:creationId xmlns:a16="http://schemas.microsoft.com/office/drawing/2014/main" xmlns="" id="{00000000-0008-0000-2900-000002440100}"/>
            </a:ext>
          </a:extLst>
        </xdr:cNvPr>
        <xdr:cNvSpPr>
          <a:spLocks noChangeArrowheads="1"/>
        </xdr:cNvSpPr>
      </xdr:nvSpPr>
      <xdr:spPr bwMode="auto">
        <a:xfrm>
          <a:off x="2152650" y="523875"/>
          <a:ext cx="6172200" cy="137255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7.2.3  Turnover Service &amp; Body shop</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Potential Service &amp; Body shop hour’s consumption on DAF vehicles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Based on the mix of the park and the potential labour consumption per vehicle, the total labour potential for the dealer territory is calculated. Source of these consumption figures is the DAF Trucks After Sales Department in Eindhoven.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2.1 Total hours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service retention is calculated as the relation between the number of hours on DAF vehicles and the potential labour consumption on DAF vehicles. The service retention of the basic year is used to forecast the service retention of the coming years.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Existing dealer: The service retention of the basic year is a result of the actual labour on DAF vehicles in the basic year and the potential labour consumption on DAF vehicles.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New dealer: The service retention of the basic year is a result of the estimated labour on DAF vehicles in the basic year and the potential labour consumption on DAF vehicles. </a:t>
          </a:r>
        </a:p>
        <a:p>
          <a:pPr algn="l" rtl="0">
            <a:defRPr sz="1000"/>
          </a:pPr>
          <a:r>
            <a:rPr lang="nl-NL" sz="800" b="0" i="0" u="none" strike="noStrike" baseline="0">
              <a:solidFill>
                <a:srgbClr val="000000"/>
              </a:solidFill>
              <a:latin typeface="Trebuchet MS"/>
            </a:rPr>
            <a:t> </a:t>
          </a:r>
        </a:p>
        <a:p>
          <a:pPr algn="l" rtl="0">
            <a:defRPr sz="1000"/>
          </a:pPr>
          <a:r>
            <a:rPr lang="nl-NL" sz="800" b="0" i="0" u="none" strike="noStrike" baseline="0">
              <a:solidFill>
                <a:srgbClr val="000000"/>
              </a:solidFill>
              <a:latin typeface="Trebuchet MS"/>
            </a:rPr>
            <a:t>A distinction is made between:</a:t>
          </a:r>
        </a:p>
        <a:p>
          <a:pPr algn="l" rtl="0">
            <a:defRPr sz="1000"/>
          </a:pPr>
          <a:r>
            <a:rPr lang="nl-NL" sz="800" b="0" i="0" u="none" strike="noStrike" baseline="0">
              <a:solidFill>
                <a:srgbClr val="000000"/>
              </a:solidFill>
              <a:latin typeface="Trebuchet MS"/>
            </a:rPr>
            <a:t>- Number of hours on DAF vehicles: DAF vehicles only. The pre-calculated numbers of hours can be overwritten. Please be aware that the formula will be erased! The number over hours calculated can be overwritten.</a:t>
          </a:r>
        </a:p>
        <a:p>
          <a:pPr algn="l" rtl="0">
            <a:defRPr sz="1000"/>
          </a:pPr>
          <a:r>
            <a:rPr lang="nl-NL" sz="800" b="0" i="0" u="none" strike="noStrike" baseline="0">
              <a:solidFill>
                <a:srgbClr val="000000"/>
              </a:solidFill>
              <a:latin typeface="Trebuchet MS"/>
            </a:rPr>
            <a:t>- Number of hours on other activities: other makes than DAF, used trucks, buses, trailers, bodies,…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2.2 Preparation new and used trucks (internal invoiced hours as of the total invoiced hours)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labour spent by the dealer for the preparation of new and used vehicles.</a:t>
          </a:r>
        </a:p>
        <a:p>
          <a:pPr algn="l" rtl="0">
            <a:defRPr sz="1000"/>
          </a:pPr>
          <a:r>
            <a:rPr lang="nl-NL" sz="800" b="0" i="0" u="none" strike="noStrike" baseline="0">
              <a:solidFill>
                <a:srgbClr val="000000"/>
              </a:solidFill>
              <a:latin typeface="Trebuchet MS"/>
            </a:rPr>
            <a:t>This module is a part of the total hours in module [2.1 Total hours].  In case labour is sold by the workshop to the sales department, we talk about internal invoicing. This </a:t>
          </a:r>
          <a:r>
            <a:rPr lang="nl-NL" sz="900" b="0" i="0" u="none" strike="noStrike" baseline="0">
              <a:solidFill>
                <a:srgbClr val="000000"/>
              </a:solidFill>
              <a:latin typeface="Trebuchet MS"/>
            </a:rPr>
            <a:t>implies that work, which represents an internal turnover for the workshop is an internal cost for the sales department. The price paid by the sales department for these services is finally invoiced to the customer. In the philosophy of lean profit centers the turnover is registered two times:</a:t>
          </a:r>
        </a:p>
        <a:p>
          <a:pPr algn="l" rtl="0">
            <a:defRPr sz="1000"/>
          </a:pPr>
          <a:r>
            <a:rPr lang="nl-NL" sz="900" b="0" i="0" u="none" strike="noStrike" baseline="0">
              <a:solidFill>
                <a:srgbClr val="000000"/>
              </a:solidFill>
              <a:latin typeface="Trebuchet MS"/>
            </a:rPr>
            <a:t>once in the workshop</a:t>
          </a:r>
        </a:p>
        <a:p>
          <a:pPr algn="l" rtl="0">
            <a:defRPr sz="1000"/>
          </a:pPr>
          <a:r>
            <a:rPr lang="nl-NL" sz="900" b="0" i="0" u="none" strike="noStrike" baseline="0">
              <a:solidFill>
                <a:srgbClr val="000000"/>
              </a:solidFill>
              <a:latin typeface="Trebuchet MS"/>
            </a:rPr>
            <a:t>once in the sales department (as a part of the total invoice)</a:t>
          </a:r>
        </a:p>
        <a:p>
          <a:pPr algn="l" rtl="0">
            <a:defRPr sz="1000"/>
          </a:pPr>
          <a:endParaRPr lang="nl-NL" sz="900" b="0" i="0" u="none" strike="noStrike" baseline="0">
            <a:solidFill>
              <a:srgbClr val="000000"/>
            </a:solidFill>
            <a:latin typeface="Trebuchet MS"/>
          </a:endParaRPr>
        </a:p>
        <a:p>
          <a:pPr algn="l" rtl="0">
            <a:defRPr sz="1000"/>
          </a:pPr>
          <a:r>
            <a:rPr lang="nl-NL" sz="900" b="0" i="0" u="none" strike="noStrike" baseline="0">
              <a:solidFill>
                <a:srgbClr val="000000"/>
              </a:solidFill>
              <a:latin typeface="Trebuchet MS"/>
            </a:rPr>
            <a:t>From an accounting point of view, this turnover is only registered once in total turnover, namely in the profit center where external invoicing takes place.</a:t>
          </a:r>
        </a:p>
        <a:p>
          <a:pPr algn="l" rtl="0">
            <a:defRPr sz="1000"/>
          </a:pPr>
          <a:endParaRPr lang="nl-NL" sz="900" b="0" i="0" u="none" strike="noStrike" baseline="0">
            <a:solidFill>
              <a:srgbClr val="000000"/>
            </a:solidFill>
            <a:latin typeface="Trebuchet MS"/>
          </a:endParaRPr>
        </a:p>
        <a:p>
          <a:pPr algn="l" rtl="0">
            <a:defRPr sz="1000"/>
          </a:pPr>
          <a:r>
            <a:rPr lang="nl-NL" sz="900" b="0" i="0" u="none" strike="noStrike" baseline="0">
              <a:solidFill>
                <a:srgbClr val="000000"/>
              </a:solidFill>
              <a:latin typeface="Trebuchet MS"/>
            </a:rPr>
            <a:t>A distinction is made between the consumption per vehicle for:</a:t>
          </a:r>
        </a:p>
        <a:p>
          <a:pPr algn="l" rtl="0">
            <a:defRPr sz="1000"/>
          </a:pPr>
          <a:r>
            <a:rPr lang="nl-NL" sz="900" b="0" i="0" u="none" strike="noStrike" baseline="0">
              <a:solidFill>
                <a:srgbClr val="000000"/>
              </a:solidFill>
              <a:latin typeface="Trebuchet MS"/>
            </a:rPr>
            <a:t>new trucks: as a part of number of hours on DAF vehicles </a:t>
          </a:r>
        </a:p>
        <a:p>
          <a:pPr algn="l" rtl="0">
            <a:defRPr sz="1000"/>
          </a:pPr>
          <a:r>
            <a:rPr lang="nl-NL" sz="900" b="0" i="0" u="none" strike="noStrike" baseline="0">
              <a:solidFill>
                <a:srgbClr val="000000"/>
              </a:solidFill>
              <a:latin typeface="Trebuchet MS"/>
            </a:rPr>
            <a:t>used trucks: as a part of number of hours on other activities</a:t>
          </a:r>
        </a:p>
        <a:p>
          <a:pPr algn="l" rtl="0">
            <a:defRPr sz="1000"/>
          </a:pPr>
          <a:endParaRPr lang="nl-NL" sz="900" b="0" i="0" u="none" strike="noStrike" baseline="0">
            <a:solidFill>
              <a:srgbClr val="000000"/>
            </a:solidFill>
            <a:latin typeface="Trebuchet MS"/>
          </a:endParaRPr>
        </a:p>
        <a:p>
          <a:pPr algn="l" rtl="0">
            <a:defRPr sz="1000"/>
          </a:pPr>
          <a:r>
            <a:rPr lang="nl-NL" sz="900" b="1" i="0" u="none" strike="noStrike" baseline="0">
              <a:solidFill>
                <a:srgbClr val="000000"/>
              </a:solidFill>
              <a:latin typeface="Trebuchet MS"/>
            </a:rPr>
            <a:t>3. Total turnover hours</a:t>
          </a:r>
          <a:endParaRPr lang="nl-NL" sz="900" b="0" i="0" u="none" strike="noStrike" baseline="0">
            <a:solidFill>
              <a:srgbClr val="000000"/>
            </a:solidFill>
            <a:latin typeface="Trebuchet MS"/>
          </a:endParaRPr>
        </a:p>
        <a:p>
          <a:pPr algn="l" rtl="0">
            <a:defRPr sz="1000"/>
          </a:pPr>
          <a:r>
            <a:rPr lang="nl-NL" sz="900" b="0" i="0" u="none" strike="noStrike" baseline="0">
              <a:solidFill>
                <a:srgbClr val="000000"/>
              </a:solidFill>
              <a:latin typeface="Trebuchet MS"/>
            </a:rPr>
            <a:t>Definition of tariff (or labour rate): the weighted average tariff (day, evening, night, weekend,…) based on the tariff mentioned on the invoice to the customer.</a:t>
          </a:r>
        </a:p>
        <a:p>
          <a:pPr algn="l" rtl="0">
            <a:defRPr sz="1000"/>
          </a:pPr>
          <a:r>
            <a:rPr lang="nl-NL" sz="900" b="0" i="0" u="none" strike="noStrike" baseline="0">
              <a:solidFill>
                <a:srgbClr val="000000"/>
              </a:solidFill>
              <a:latin typeface="Trebuchet MS"/>
            </a:rPr>
            <a:t>     </a:t>
          </a:r>
        </a:p>
        <a:p>
          <a:pPr algn="l" rtl="0">
            <a:defRPr sz="1000"/>
          </a:pPr>
          <a:r>
            <a:rPr lang="nl-NL" sz="900" b="0" i="0" u="none" strike="noStrike" baseline="0">
              <a:solidFill>
                <a:srgbClr val="000000"/>
              </a:solidFill>
              <a:latin typeface="Trebuchet MS"/>
            </a:rPr>
            <a:t>A distinction is made between three tariffs (labour rates):</a:t>
          </a:r>
        </a:p>
        <a:p>
          <a:pPr algn="l" rtl="0">
            <a:defRPr sz="1000"/>
          </a:pPr>
          <a:r>
            <a:rPr lang="nl-NL" sz="900" b="0" i="0" u="none" strike="noStrike" baseline="0">
              <a:solidFill>
                <a:srgbClr val="000000"/>
              </a:solidFill>
              <a:latin typeface="Trebuchet MS"/>
            </a:rPr>
            <a:t>DAF service (external invoicing): on DAF vehicles only</a:t>
          </a:r>
        </a:p>
        <a:p>
          <a:pPr algn="l" rtl="0">
            <a:defRPr sz="1000"/>
          </a:pPr>
          <a:r>
            <a:rPr lang="nl-NL" sz="900" b="0" i="0" u="none" strike="noStrike" baseline="0">
              <a:solidFill>
                <a:srgbClr val="000000"/>
              </a:solidFill>
              <a:latin typeface="Trebuchet MS"/>
            </a:rPr>
            <a:t>Preparation trucks (internal invoicing): the preparation of new and used vehicles</a:t>
          </a:r>
        </a:p>
        <a:p>
          <a:pPr algn="l" rtl="0">
            <a:defRPr sz="1000"/>
          </a:pPr>
          <a:r>
            <a:rPr lang="nl-NL" sz="800" b="0" i="0" u="none" strike="noStrike" baseline="0">
              <a:solidFill>
                <a:srgbClr val="000000"/>
              </a:solidFill>
              <a:latin typeface="Trebuchet MS"/>
            </a:rPr>
            <a:t>Other activities: other truck makes, vans, trailers, etc.</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tariffs filled in the first year can be corrected with an annual price increase.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Outsourced workshop activities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All the work which cannot be done in your own dealership but is carried out by external companies and which is a service to your customer (sublet).</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Next to the turnover on body &amp; paint (as an example and only if not done internally), the turnover of two more services can be filled in.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Required number of mechanics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Hours per mechanic: total yearly number of hours a mechanic is available for work</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Example :</a:t>
          </a:r>
        </a:p>
        <a:p>
          <a:pPr algn="l" rtl="0">
            <a:defRPr sz="1000"/>
          </a:pPr>
          <a:r>
            <a:rPr lang="nl-NL" sz="800" b="0" i="0" u="none" strike="noStrike" baseline="0">
              <a:solidFill>
                <a:srgbClr val="000000"/>
              </a:solidFill>
              <a:latin typeface="Trebuchet MS"/>
            </a:rPr>
            <a:t>Description Days Hours</a:t>
          </a:r>
        </a:p>
        <a:p>
          <a:pPr algn="l" rtl="0">
            <a:defRPr sz="1000"/>
          </a:pPr>
          <a:r>
            <a:rPr lang="nl-NL" sz="800" b="0" i="0" u="none" strike="noStrike" baseline="0">
              <a:solidFill>
                <a:srgbClr val="000000"/>
              </a:solidFill>
              <a:latin typeface="Trebuchet MS"/>
            </a:rPr>
            <a:t>  Days per year + 365 </a:t>
          </a:r>
        </a:p>
        <a:p>
          <a:pPr algn="l" rtl="0">
            <a:defRPr sz="1000"/>
          </a:pPr>
          <a:r>
            <a:rPr lang="nl-NL" sz="800" b="0" i="0" u="none" strike="noStrike" baseline="0">
              <a:solidFill>
                <a:srgbClr val="000000"/>
              </a:solidFill>
              <a:latin typeface="Trebuchet MS"/>
            </a:rPr>
            <a:t>  Weekends  - 104 </a:t>
          </a:r>
        </a:p>
        <a:p>
          <a:pPr algn="l" rtl="0">
            <a:defRPr sz="1000"/>
          </a:pPr>
          <a:r>
            <a:rPr lang="nl-NL" sz="800" b="0" i="0" u="none" strike="noStrike" baseline="0">
              <a:solidFill>
                <a:srgbClr val="000000"/>
              </a:solidFill>
              <a:latin typeface="Trebuchet MS"/>
            </a:rPr>
            <a:t>  Holidays  -   20 </a:t>
          </a:r>
        </a:p>
        <a:p>
          <a:pPr algn="l" rtl="0">
            <a:defRPr sz="1000"/>
          </a:pPr>
          <a:r>
            <a:rPr lang="nl-NL" sz="800" b="0" i="0" u="none" strike="noStrike" baseline="0">
              <a:solidFill>
                <a:srgbClr val="000000"/>
              </a:solidFill>
              <a:latin typeface="Trebuchet MS"/>
            </a:rPr>
            <a:t>  Banking holidays  -   10  </a:t>
          </a:r>
        </a:p>
        <a:p>
          <a:pPr algn="l" rtl="0">
            <a:defRPr sz="1000"/>
          </a:pPr>
          <a:r>
            <a:rPr lang="nl-NL" sz="800" b="0" i="0" u="none" strike="noStrike" baseline="0">
              <a:solidFill>
                <a:srgbClr val="000000"/>
              </a:solidFill>
              <a:latin typeface="Trebuchet MS"/>
            </a:rPr>
            <a:t>  Illness  -     3 </a:t>
          </a:r>
        </a:p>
        <a:p>
          <a:pPr algn="l" rtl="0">
            <a:defRPr sz="1000"/>
          </a:pPr>
          <a:r>
            <a:rPr lang="nl-NL" sz="800" b="0" i="0" u="none" strike="noStrike" baseline="0">
              <a:solidFill>
                <a:srgbClr val="000000"/>
              </a:solidFill>
              <a:latin typeface="Trebuchet MS"/>
            </a:rPr>
            <a:t>  Training  -     5 </a:t>
          </a:r>
        </a:p>
        <a:p>
          <a:pPr algn="l" rtl="0">
            <a:defRPr sz="1000"/>
          </a:pPr>
          <a:r>
            <a:rPr lang="nl-NL" sz="800" b="0" i="0" u="none" strike="noStrike" baseline="0">
              <a:solidFill>
                <a:srgbClr val="000000"/>
              </a:solidFill>
              <a:latin typeface="Trebuchet MS"/>
            </a:rPr>
            <a:t>  Compensation overtime  -   10 </a:t>
          </a:r>
        </a:p>
        <a:p>
          <a:pPr algn="l" rtl="0">
            <a:defRPr sz="1000"/>
          </a:pPr>
          <a:r>
            <a:rPr lang="nl-NL" sz="800" b="0" i="0" u="none" strike="noStrike" baseline="0">
              <a:solidFill>
                <a:srgbClr val="000000"/>
              </a:solidFill>
              <a:latin typeface="Trebuchet MS"/>
            </a:rPr>
            <a:t>  Other  -     2 </a:t>
          </a:r>
        </a:p>
        <a:p>
          <a:pPr algn="l" rtl="0">
            <a:defRPr sz="1000"/>
          </a:pPr>
          <a:r>
            <a:rPr lang="nl-NL" sz="800" b="0" i="0" u="none" strike="noStrike" baseline="0">
              <a:solidFill>
                <a:srgbClr val="000000"/>
              </a:solidFill>
              <a:latin typeface="Trebuchet MS"/>
            </a:rPr>
            <a:t>Total available days = 211 </a:t>
          </a:r>
        </a:p>
        <a:p>
          <a:pPr algn="l" rtl="0">
            <a:defRPr sz="1000"/>
          </a:pPr>
          <a:r>
            <a:rPr lang="nl-NL" sz="800" b="0" i="0" u="none" strike="noStrike" baseline="0">
              <a:solidFill>
                <a:srgbClr val="000000"/>
              </a:solidFill>
              <a:latin typeface="Trebuchet MS"/>
            </a:rPr>
            <a:t>  Number of hours available per day  8</a:t>
          </a:r>
        </a:p>
        <a:p>
          <a:pPr algn="l" rtl="0">
            <a:defRPr sz="1000"/>
          </a:pPr>
          <a:r>
            <a:rPr lang="nl-NL" sz="800" b="0" i="0" u="none" strike="noStrike" baseline="0">
              <a:solidFill>
                <a:srgbClr val="000000"/>
              </a:solidFill>
              <a:latin typeface="Trebuchet MS"/>
            </a:rPr>
            <a:t>Available hours per mechanic  = 1688</a:t>
          </a:r>
        </a:p>
        <a:p>
          <a:pPr algn="l" rtl="0">
            <a:defRPr sz="1000"/>
          </a:pPr>
          <a:r>
            <a:rPr lang="nl-NL" sz="800" b="0" i="0" u="none" strike="noStrike" baseline="0">
              <a:solidFill>
                <a:srgbClr val="000000"/>
              </a:solidFill>
              <a:latin typeface="Trebuchet MS"/>
            </a:rPr>
            <a:t>  </a:t>
          </a:r>
        </a:p>
        <a:p>
          <a:pPr algn="l" rtl="0">
            <a:defRPr sz="1000"/>
          </a:pPr>
          <a:r>
            <a:rPr lang="nl-NL" sz="800" b="0" i="0" u="none" strike="noStrike" baseline="0">
              <a:solidFill>
                <a:srgbClr val="000000"/>
              </a:solidFill>
              <a:latin typeface="Trebuchet MS"/>
            </a:rPr>
            <a:t>Efficiency: the number of hours that can be invoiced in comparison with the number of hours really worked to complete a job.</a:t>
          </a:r>
        </a:p>
        <a:p>
          <a:pPr algn="l" rtl="0">
            <a:defRPr sz="1000"/>
          </a:pPr>
          <a:r>
            <a:rPr lang="nl-NL" sz="800" b="0" i="0" u="none" strike="noStrike" baseline="0">
              <a:solidFill>
                <a:srgbClr val="000000"/>
              </a:solidFill>
              <a:latin typeface="Trebuchet MS"/>
            </a:rPr>
            <a:t>Productivity: the number of turnover producing hours (invoiced hours) in relation to the available hours of the mechanics (number of hours paid).</a:t>
          </a:r>
        </a:p>
        <a:p>
          <a:pPr algn="l" rtl="0">
            <a:defRPr sz="1000"/>
          </a:pPr>
          <a:r>
            <a:rPr lang="nl-NL" sz="800" b="0" i="0" u="none" strike="noStrike" baseline="0">
              <a:solidFill>
                <a:srgbClr val="000000"/>
              </a:solidFill>
              <a:latin typeface="Trebuchet MS"/>
            </a:rPr>
            <a:t>Effectivity = Efficiency * Productivity (see example in 6.2)</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Based on the effectivity of the workshop the program calculates the number of productive hours per mechanic and gives a suggestion on the required number of DAF mechanics and mechanics other activities. The number of hours per mechanic is kept constant over time.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decision maker has to decide about the actual number of mechanics. A distinction is made between:</a:t>
          </a:r>
        </a:p>
        <a:p>
          <a:pPr algn="l" rtl="0">
            <a:defRPr sz="1000"/>
          </a:pPr>
          <a:r>
            <a:rPr lang="nl-NL" sz="800" b="0" i="0" u="none" strike="noStrike" baseline="0">
              <a:solidFill>
                <a:srgbClr val="000000"/>
              </a:solidFill>
              <a:latin typeface="Trebuchet MS"/>
            </a:rPr>
            <a:t>Mechanics DAF</a:t>
          </a:r>
        </a:p>
        <a:p>
          <a:pPr algn="l" rtl="0">
            <a:defRPr sz="1000"/>
          </a:pPr>
          <a:r>
            <a:rPr lang="nl-NL" sz="800" b="0" i="0" u="none" strike="noStrike" baseline="0">
              <a:solidFill>
                <a:srgbClr val="000000"/>
              </a:solidFill>
              <a:latin typeface="Trebuchet MS"/>
            </a:rPr>
            <a:t>Mechanics other activities</a:t>
          </a:r>
        </a:p>
        <a:p>
          <a:pPr algn="l" rtl="0">
            <a:defRPr sz="1000"/>
          </a:pPr>
          <a:r>
            <a:rPr lang="nl-NL" sz="800" b="0" i="0" u="none" strike="noStrike" baseline="0">
              <a:solidFill>
                <a:srgbClr val="000000"/>
              </a:solidFill>
              <a:latin typeface="Trebuchet MS"/>
            </a:rPr>
            <a:t>Workshop managers</a:t>
          </a:r>
        </a:p>
        <a:p>
          <a:pPr algn="l" rtl="0">
            <a:defRPr sz="1000"/>
          </a:pPr>
          <a:r>
            <a:rPr lang="nl-NL" sz="800" b="0" i="0" u="none" strike="noStrike" baseline="0">
              <a:solidFill>
                <a:srgbClr val="000000"/>
              </a:solidFill>
              <a:latin typeface="Trebuchet MS"/>
            </a:rPr>
            <a:t>Administration and other workshop related personnel</a:t>
          </a:r>
        </a:p>
        <a:p>
          <a:pPr algn="l" rtl="0">
            <a:defRPr sz="1000"/>
          </a:pPr>
          <a:r>
            <a:rPr lang="nl-NL" sz="800" b="0" i="0" u="none" strike="noStrike" baseline="0">
              <a:solidFill>
                <a:srgbClr val="000000"/>
              </a:solidFill>
              <a:latin typeface="Trebuchet MS"/>
            </a:rPr>
            <a:t>The salaries &amp; wages (see further) are based on the decisions and not on the suggestion.</a:t>
          </a:r>
        </a:p>
        <a:p>
          <a:pPr algn="l" rtl="0">
            <a:defRPr sz="1000"/>
          </a:pPr>
          <a:endParaRPr lang="nl-NL"/>
        </a:p>
      </xdr:txBody>
    </xdr:sp>
    <xdr:clientData/>
  </xdr:twoCellAnchor>
  <xdr:twoCellAnchor editAs="oneCell">
    <xdr:from>
      <xdr:col>2</xdr:col>
      <xdr:colOff>1447800</xdr:colOff>
      <xdr:row>0</xdr:row>
      <xdr:rowOff>101600</xdr:rowOff>
    </xdr:from>
    <xdr:to>
      <xdr:col>3</xdr:col>
      <xdr:colOff>2117</xdr:colOff>
      <xdr:row>0</xdr:row>
      <xdr:rowOff>355600</xdr:rowOff>
    </xdr:to>
    <xdr:pic>
      <xdr:nvPicPr>
        <xdr:cNvPr id="82945" name="CommandButton1">
          <a:extLst>
            <a:ext uri="{FF2B5EF4-FFF2-40B4-BE49-F238E27FC236}">
              <a16:creationId xmlns:a16="http://schemas.microsoft.com/office/drawing/2014/main" xmlns="" id="{00000000-0008-0000-2900-00000144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600"/>
          <a:ext cx="0" cy="2540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4</xdr:col>
      <xdr:colOff>485775</xdr:colOff>
      <xdr:row>4</xdr:row>
      <xdr:rowOff>9525</xdr:rowOff>
    </xdr:from>
    <xdr:to>
      <xdr:col>10</xdr:col>
      <xdr:colOff>819150</xdr:colOff>
      <xdr:row>94</xdr:row>
      <xdr:rowOff>152400</xdr:rowOff>
    </xdr:to>
    <xdr:sp macro="" textlink="">
      <xdr:nvSpPr>
        <xdr:cNvPr id="20528" name="MyHelpTekst" hidden="1">
          <a:extLst>
            <a:ext uri="{FF2B5EF4-FFF2-40B4-BE49-F238E27FC236}">
              <a16:creationId xmlns:a16="http://schemas.microsoft.com/office/drawing/2014/main" xmlns="" id="{00000000-0008-0000-2A00-000030500000}"/>
            </a:ext>
          </a:extLst>
        </xdr:cNvPr>
        <xdr:cNvSpPr>
          <a:spLocks noChangeArrowheads="1"/>
        </xdr:cNvSpPr>
      </xdr:nvSpPr>
      <xdr:spPr bwMode="auto">
        <a:xfrm>
          <a:off x="4800600" y="981075"/>
          <a:ext cx="5981700" cy="177260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7.3 Cost of Sales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Vehicles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1.1 New: Gross margin per vehicle &amp; average purchase cost per vehicle excluding accessories &amp; bodies mounted by dealer</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gross margin is taken as a percentage of the turnover including the accessories and can be changed yearly. As soon as the margin for the first year is filled in, it is copied to the other as well but may be overwritten if applicable.</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Definition cost of sales new trucks: average purchase price per truck per series (45, …, 105), as mentioned on the invoice of the supplier.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Items not included are: </a:t>
          </a:r>
        </a:p>
        <a:p>
          <a:pPr algn="l" rtl="0">
            <a:defRPr sz="1000"/>
          </a:pPr>
          <a:r>
            <a:rPr lang="nl-NL" sz="800" b="0" i="0" u="none" strike="noStrike" baseline="0">
              <a:solidFill>
                <a:srgbClr val="000000"/>
              </a:solidFill>
              <a:latin typeface="Trebuchet MS"/>
            </a:rPr>
            <a:t>• accessories mounted by dealer</a:t>
          </a:r>
        </a:p>
        <a:p>
          <a:pPr algn="l" rtl="0">
            <a:defRPr sz="1000"/>
          </a:pPr>
          <a:r>
            <a:rPr lang="nl-NL" sz="800" b="0" i="0" u="none" strike="noStrike" baseline="0">
              <a:solidFill>
                <a:srgbClr val="000000"/>
              </a:solidFill>
              <a:latin typeface="Trebuchet MS"/>
            </a:rPr>
            <a:t>• labour to mount accessories</a:t>
          </a:r>
        </a:p>
        <a:p>
          <a:pPr algn="l" rtl="0">
            <a:defRPr sz="1000"/>
          </a:pPr>
          <a:r>
            <a:rPr lang="nl-NL" sz="800" b="0" i="0" u="none" strike="noStrike" baseline="0">
              <a:solidFill>
                <a:srgbClr val="000000"/>
              </a:solidFill>
              <a:latin typeface="Trebuchet MS"/>
            </a:rPr>
            <a:t>• body &amp; paint</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Items included are:</a:t>
          </a:r>
        </a:p>
        <a:p>
          <a:pPr algn="l" rtl="0">
            <a:defRPr sz="1000"/>
          </a:pPr>
          <a:r>
            <a:rPr lang="nl-NL" sz="800" b="0" i="0" u="none" strike="noStrike" baseline="0">
              <a:solidFill>
                <a:srgbClr val="000000"/>
              </a:solidFill>
              <a:latin typeface="Trebuchet MS"/>
            </a:rPr>
            <a:t>• accessories mounted ex factory</a:t>
          </a:r>
        </a:p>
        <a:p>
          <a:pPr algn="l" rtl="0">
            <a:defRPr sz="1000"/>
          </a:pPr>
          <a:r>
            <a:rPr lang="nl-NL" sz="800" b="0" i="0" u="none" strike="noStrike" baseline="0">
              <a:solidFill>
                <a:srgbClr val="000000"/>
              </a:solidFill>
              <a:latin typeface="Trebuchet MS"/>
            </a:rPr>
            <a:t>• transportation costs</a:t>
          </a:r>
        </a:p>
        <a:p>
          <a:pPr algn="l" rtl="0">
            <a:defRPr sz="1000"/>
          </a:pPr>
          <a:r>
            <a:rPr lang="nl-NL" sz="800" b="0" i="0" u="none" strike="noStrike" baseline="0">
              <a:solidFill>
                <a:srgbClr val="000000"/>
              </a:solidFill>
              <a:latin typeface="Trebuchet MS"/>
            </a:rPr>
            <a:t>• sales allowance and/or special actions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Only the average gross margin per series has to be entered. The formula to calculate the purchase costs of a vehicle is: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Turnover -/- margin -/- accessories mounted by the dealer -/- labour hours to mount the accessories</a:t>
          </a:r>
        </a:p>
        <a:p>
          <a:pPr algn="l" rtl="0">
            <a:defRPr sz="1000"/>
          </a:pPr>
          <a:r>
            <a:rPr lang="nl-NL" sz="800" b="0" i="0" u="none" strike="noStrike" baseline="0">
              <a:solidFill>
                <a:srgbClr val="000000"/>
              </a:solidFill>
              <a:latin typeface="Trebuchet MS"/>
            </a:rPr>
            <a:t>Example: </a:t>
          </a:r>
        </a:p>
        <a:p>
          <a:pPr algn="l" rtl="0">
            <a:defRPr sz="1000"/>
          </a:pPr>
          <a:r>
            <a:rPr lang="nl-NL" sz="800" b="0" i="0" u="none" strike="noStrike" baseline="0">
              <a:solidFill>
                <a:srgbClr val="000000"/>
              </a:solidFill>
              <a:latin typeface="Trebuchet MS"/>
            </a:rPr>
            <a:t>Turnover   125</a:t>
          </a:r>
        </a:p>
        <a:p>
          <a:pPr algn="l" rtl="0">
            <a:defRPr sz="1000"/>
          </a:pPr>
          <a:r>
            <a:rPr lang="nl-NL" sz="800" b="0" i="0" u="none" strike="noStrike" baseline="0">
              <a:solidFill>
                <a:srgbClr val="000000"/>
              </a:solidFill>
              <a:latin typeface="Trebuchet MS"/>
            </a:rPr>
            <a:t>-/- margin 4%      5</a:t>
          </a:r>
        </a:p>
        <a:p>
          <a:pPr algn="l" rtl="0">
            <a:defRPr sz="1000"/>
          </a:pPr>
          <a:r>
            <a:rPr lang="nl-NL" sz="800" b="0" i="0" u="none" strike="noStrike" baseline="0">
              <a:solidFill>
                <a:srgbClr val="000000"/>
              </a:solidFill>
              <a:latin typeface="Trebuchet MS"/>
            </a:rPr>
            <a:t>-/- accessories    10</a:t>
          </a:r>
        </a:p>
        <a:p>
          <a:pPr algn="l" rtl="0">
            <a:defRPr sz="1000"/>
          </a:pPr>
          <a:r>
            <a:rPr lang="nl-NL" sz="800" b="0" i="0" u="none" strike="noStrike" baseline="0">
              <a:solidFill>
                <a:srgbClr val="000000"/>
              </a:solidFill>
              <a:latin typeface="Trebuchet MS"/>
            </a:rPr>
            <a:t>-/- hours    10</a:t>
          </a:r>
        </a:p>
        <a:p>
          <a:pPr algn="l" rtl="0">
            <a:defRPr sz="1000"/>
          </a:pPr>
          <a:r>
            <a:rPr lang="nl-NL" sz="800" b="0" i="0" u="none" strike="noStrike" baseline="0">
              <a:solidFill>
                <a:srgbClr val="000000"/>
              </a:solidFill>
              <a:latin typeface="Trebuchet MS"/>
            </a:rPr>
            <a:t>Purchase costs  100</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costs for accessories and hours are taken against the internal purchase value.</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 distinction is made between retail and fleet margins and purchase costs.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1.2 Used: Gross margin &amp; average purchase cost per vehicle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Based on:</a:t>
          </a:r>
        </a:p>
        <a:p>
          <a:pPr algn="l" rtl="0">
            <a:defRPr sz="1000"/>
          </a:pPr>
          <a:r>
            <a:rPr lang="nl-NL" sz="800" b="0" i="0" u="none" strike="noStrike" baseline="0">
              <a:solidFill>
                <a:srgbClr val="000000"/>
              </a:solidFill>
              <a:latin typeface="Trebuchet MS"/>
            </a:rPr>
            <a:t>• the average turnover per used vehicle (including body) </a:t>
          </a:r>
        </a:p>
        <a:p>
          <a:pPr algn="l" rtl="0">
            <a:defRPr sz="1000"/>
          </a:pPr>
          <a:r>
            <a:rPr lang="nl-NL" sz="800" b="0" i="0" u="none" strike="noStrike" baseline="0">
              <a:solidFill>
                <a:srgbClr val="000000"/>
              </a:solidFill>
              <a:latin typeface="Trebuchet MS"/>
            </a:rPr>
            <a:t>• the yearly gross margin which has to be entered here (copied from the first year, but may be overwritten)</a:t>
          </a:r>
        </a:p>
        <a:p>
          <a:pPr algn="l" rtl="0">
            <a:defRPr sz="1000"/>
          </a:pPr>
          <a:r>
            <a:rPr lang="nl-NL" sz="800" b="0" i="0" u="none" strike="noStrike" baseline="0">
              <a:solidFill>
                <a:srgbClr val="000000"/>
              </a:solidFill>
              <a:latin typeface="Trebuchet MS"/>
            </a:rPr>
            <a:t>• the parts mounted </a:t>
          </a:r>
        </a:p>
        <a:p>
          <a:pPr algn="l" rtl="0">
            <a:defRPr sz="1000"/>
          </a:pPr>
          <a:r>
            <a:rPr lang="nl-NL" sz="800" b="0" i="0" u="none" strike="noStrike" baseline="0">
              <a:solidFill>
                <a:srgbClr val="000000"/>
              </a:solidFill>
              <a:latin typeface="Trebuchet MS"/>
            </a:rPr>
            <a:t>• and the hours used for mounting</a:t>
          </a:r>
        </a:p>
        <a:p>
          <a:pPr algn="l" rtl="0">
            <a:defRPr sz="1000"/>
          </a:pPr>
          <a:r>
            <a:rPr lang="nl-NL" sz="800" b="0" i="0" u="none" strike="noStrike" baseline="0">
              <a:solidFill>
                <a:srgbClr val="000000"/>
              </a:solidFill>
              <a:latin typeface="Trebuchet MS"/>
            </a:rPr>
            <a:t>the average cost of sales is calculated.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1.3 Other: Gross margin &amp; purchase costs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When other products than trucks are sold, then enter the average gross margin per product per year. The cost of sale is calculated as a total and not per vehicle. The other products entered on sheet 7.2 are automatically printed here.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1.4 Total cost of sales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total cost of sales is calculated per product type. All fields are calculation fields.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1.5 Annual bonus, DAF and other activities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Bonus paid by supplier when target is achieved (if applicable). The bonus percentage may differ per year.</a:t>
          </a:r>
        </a:p>
        <a:p>
          <a:pPr algn="l" rtl="0">
            <a:defRPr sz="1000"/>
          </a:pPr>
          <a:r>
            <a:rPr lang="nl-NL" sz="800" b="0" i="0" u="none" strike="noStrike" baseline="0">
              <a:solidFill>
                <a:srgbClr val="000000"/>
              </a:solidFill>
              <a:latin typeface="Trebuchet MS"/>
            </a:rPr>
            <a:t>A distinction is made between retail DAF and other activities. The assumption is made that there is no bonus on fleet sales.</a:t>
          </a:r>
        </a:p>
        <a:p>
          <a:pPr algn="l" rtl="0">
            <a:defRPr sz="1000"/>
          </a:pP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Parts</a:t>
          </a: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2.1 Gross margin (after discount given to the customer) and purchase costs parts (excluding bonuses)</a:t>
          </a:r>
        </a:p>
        <a:p>
          <a:pPr algn="l" rtl="0">
            <a:defRPr sz="1000"/>
          </a:pPr>
          <a:r>
            <a:rPr lang="nl-NL" sz="800" b="1" i="0" u="none" strike="noStrike" baseline="0">
              <a:solidFill>
                <a:srgbClr val="000000"/>
              </a:solidFill>
              <a:latin typeface="Trebuchet MS"/>
            </a:rPr>
            <a:t>Gross margin = turnover parts -/- purchase costs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average gross margin percentage per product group is the only variable to be entered. Based upon the total parts turnover [7.2.2 Total parts turnover (after discount)] and the average gross margin, the cost of sales is calculated.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 distinction is made between ;</a:t>
          </a:r>
        </a:p>
        <a:p>
          <a:pPr algn="l" rtl="0">
            <a:defRPr sz="1000"/>
          </a:pPr>
          <a:r>
            <a:rPr lang="nl-NL" sz="800" b="0" i="0" u="none" strike="noStrike" baseline="0">
              <a:solidFill>
                <a:srgbClr val="000000"/>
              </a:solidFill>
              <a:latin typeface="Trebuchet MS"/>
            </a:rPr>
            <a:t>Workshop DAF   : parts mounted on DAF trucks only </a:t>
          </a:r>
        </a:p>
        <a:p>
          <a:pPr algn="l" rtl="0">
            <a:defRPr sz="1000"/>
          </a:pPr>
          <a:r>
            <a:rPr lang="nl-NL" sz="800" b="0" i="0" u="none" strike="noStrike" baseline="0">
              <a:solidFill>
                <a:srgbClr val="000000"/>
              </a:solidFill>
              <a:latin typeface="Trebuchet MS"/>
            </a:rPr>
            <a:t>Workshop other activities : other makes than DAF, used trucks, buses, trailers, bodies,…</a:t>
          </a:r>
        </a:p>
        <a:p>
          <a:pPr algn="l" rtl="0">
            <a:defRPr sz="1000"/>
          </a:pPr>
          <a:r>
            <a:rPr lang="nl-NL" sz="800" b="0" i="0" u="none" strike="noStrike" baseline="0">
              <a:solidFill>
                <a:srgbClr val="000000"/>
              </a:solidFill>
              <a:latin typeface="Trebuchet MS"/>
            </a:rPr>
            <a:t>Preparation new  : accessories/parts on mounted on new DAF trucks. Based on the </a:t>
          </a:r>
        </a:p>
        <a:p>
          <a:pPr algn="l" rtl="0">
            <a:defRPr sz="1000"/>
          </a:pPr>
          <a:r>
            <a:rPr lang="nl-NL" sz="800" b="0" i="0" u="none" strike="noStrike" baseline="0">
              <a:solidFill>
                <a:srgbClr val="000000"/>
              </a:solidFill>
              <a:latin typeface="Trebuchet MS"/>
            </a:rPr>
            <a:t>  philosophy of a lean profit center approach, the margin is taken in the </a:t>
          </a:r>
        </a:p>
        <a:p>
          <a:pPr algn="l" rtl="0">
            <a:defRPr sz="1000"/>
          </a:pPr>
          <a:r>
            <a:rPr lang="nl-NL" sz="800" b="0" i="0" u="none" strike="noStrike" baseline="0">
              <a:solidFill>
                <a:srgbClr val="000000"/>
              </a:solidFill>
              <a:latin typeface="Trebuchet MS"/>
            </a:rPr>
            <a:t>  parts department instead of the sales department.</a:t>
          </a:r>
        </a:p>
        <a:p>
          <a:pPr algn="l" rtl="0">
            <a:defRPr sz="1000"/>
          </a:pPr>
          <a:r>
            <a:rPr lang="nl-NL" sz="800" b="0" i="0" u="none" strike="noStrike" baseline="0">
              <a:solidFill>
                <a:srgbClr val="000000"/>
              </a:solidFill>
              <a:latin typeface="Trebuchet MS"/>
            </a:rPr>
            <a:t>Preparation used  : accessories/parts on mounted on used trucks. Based on the </a:t>
          </a:r>
        </a:p>
        <a:p>
          <a:pPr algn="l" rtl="0">
            <a:defRPr sz="1000"/>
          </a:pPr>
          <a:r>
            <a:rPr lang="nl-NL" sz="800" b="0" i="0" u="none" strike="noStrike" baseline="0">
              <a:solidFill>
                <a:srgbClr val="000000"/>
              </a:solidFill>
              <a:latin typeface="Trebuchet MS"/>
            </a:rPr>
            <a:t>  philosophy of a lean profit center approach, the margin is taken in the </a:t>
          </a:r>
        </a:p>
        <a:p>
          <a:pPr algn="l" rtl="0">
            <a:defRPr sz="1000"/>
          </a:pPr>
          <a:r>
            <a:rPr lang="nl-NL" sz="800" b="0" i="0" u="none" strike="noStrike" baseline="0">
              <a:solidFill>
                <a:srgbClr val="000000"/>
              </a:solidFill>
              <a:latin typeface="Trebuchet MS"/>
            </a:rPr>
            <a:t>  parts department instead of the sales department.</a:t>
          </a:r>
        </a:p>
        <a:p>
          <a:pPr algn="l" rtl="0">
            <a:defRPr sz="1000"/>
          </a:pPr>
          <a:r>
            <a:rPr lang="nl-NL" sz="800" b="0" i="0" u="none" strike="noStrike" baseline="0">
              <a:solidFill>
                <a:srgbClr val="000000"/>
              </a:solidFill>
              <a:latin typeface="Trebuchet MS"/>
            </a:rPr>
            <a:t>Counter DAF   : DAF parts sold over the counter</a:t>
          </a:r>
        </a:p>
        <a:p>
          <a:pPr algn="l" rtl="0">
            <a:defRPr sz="1000"/>
          </a:pPr>
          <a:r>
            <a:rPr lang="nl-NL" sz="800" b="0" i="0" u="none" strike="noStrike" baseline="0">
              <a:solidFill>
                <a:srgbClr val="000000"/>
              </a:solidFill>
              <a:latin typeface="Trebuchet MS"/>
            </a:rPr>
            <a:t>Counter other activities  : other than DAF parts sold over the counter</a:t>
          </a:r>
        </a:p>
        <a:p>
          <a:pPr algn="l" rtl="0">
            <a:defRPr sz="1000"/>
          </a:pPr>
          <a:r>
            <a:rPr lang="nl-NL" sz="800" b="0" i="0" u="none" strike="noStrike" baseline="0">
              <a:solidFill>
                <a:srgbClr val="000000"/>
              </a:solidFill>
              <a:latin typeface="Trebuchet MS"/>
            </a:rPr>
            <a:t>Tyres    : average margin on tyres</a:t>
          </a:r>
        </a:p>
        <a:p>
          <a:pPr algn="l" rtl="0">
            <a:defRPr sz="1000"/>
          </a:pPr>
          <a:r>
            <a:rPr lang="nl-NL" sz="800" b="0" i="0" u="none" strike="noStrike" baseline="0">
              <a:solidFill>
                <a:srgbClr val="000000"/>
              </a:solidFill>
              <a:latin typeface="Trebuchet MS"/>
            </a:rPr>
            <a:t>Oil &amp; lubricants   : average margin on all kinds of oil and lubricants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2.2 Annual bonus DAF and other activities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Bonus paid by supplier when target is achieved.</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Since the bonus payment is uncertain, the decision maker should be careful to estimate the height of the bonus (prudence principle).</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stock order percentage only applies to the DAF bonus.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 distinction is made between DAF parts (all parts supplied by DAF) and parts for other activities (parts supplied by other manufacturers).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Outsourced Service &amp; Bodyshop activities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All the work which cannot be done in your own dealership but is carried out by external companies and which is a service to your customer. The cost of sales is based on the turnover entered in sheet 7.2.3 and the average gross margin to be filled in here.</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Total cost of sales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Summary of cost of sales.</a:t>
          </a:r>
        </a:p>
        <a:p>
          <a:pPr algn="l" rtl="0">
            <a:defRPr sz="1000"/>
          </a:pPr>
          <a:endParaRPr lang="nl-NL" sz="800" b="0" i="0" u="none" strike="noStrike" baseline="0">
            <a:solidFill>
              <a:srgbClr val="000000"/>
            </a:solidFill>
            <a:latin typeface="Trebuchet MS"/>
          </a:endParaRPr>
        </a:p>
      </xdr:txBody>
    </xdr:sp>
    <xdr:clientData/>
  </xdr:twoCellAnchor>
  <xdr:twoCellAnchor editAs="oneCell">
    <xdr:from>
      <xdr:col>2</xdr:col>
      <xdr:colOff>1600200</xdr:colOff>
      <xdr:row>0</xdr:row>
      <xdr:rowOff>76200</xdr:rowOff>
    </xdr:from>
    <xdr:to>
      <xdr:col>3</xdr:col>
      <xdr:colOff>4233</xdr:colOff>
      <xdr:row>1</xdr:row>
      <xdr:rowOff>0</xdr:rowOff>
    </xdr:to>
    <xdr:pic>
      <xdr:nvPicPr>
        <xdr:cNvPr id="20527" name="CommandButton1">
          <a:extLst>
            <a:ext uri="{FF2B5EF4-FFF2-40B4-BE49-F238E27FC236}">
              <a16:creationId xmlns:a16="http://schemas.microsoft.com/office/drawing/2014/main" xmlns="" id="{00000000-0008-0000-2A00-00002F5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0800" y="76200"/>
          <a:ext cx="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4</xdr:col>
      <xdr:colOff>66675</xdr:colOff>
      <xdr:row>6</xdr:row>
      <xdr:rowOff>85725</xdr:rowOff>
    </xdr:from>
    <xdr:to>
      <xdr:col>10</xdr:col>
      <xdr:colOff>695325</xdr:colOff>
      <xdr:row>57</xdr:row>
      <xdr:rowOff>19050</xdr:rowOff>
    </xdr:to>
    <xdr:sp macro="" textlink="">
      <xdr:nvSpPr>
        <xdr:cNvPr id="83970" name="MyHelpTekst" hidden="1">
          <a:extLst>
            <a:ext uri="{FF2B5EF4-FFF2-40B4-BE49-F238E27FC236}">
              <a16:creationId xmlns:a16="http://schemas.microsoft.com/office/drawing/2014/main" xmlns="" id="{00000000-0008-0000-2B00-000002480100}"/>
            </a:ext>
          </a:extLst>
        </xdr:cNvPr>
        <xdr:cNvSpPr>
          <a:spLocks noChangeArrowheads="1"/>
        </xdr:cNvSpPr>
      </xdr:nvSpPr>
      <xdr:spPr bwMode="auto">
        <a:xfrm>
          <a:off x="4476750" y="1485900"/>
          <a:ext cx="5562600" cy="993457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7.4.1 Salaries &amp; Wages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1. Number of personnel (headcount)</a:t>
          </a:r>
        </a:p>
        <a:p>
          <a:pPr algn="l" rtl="0">
            <a:defRPr sz="1000"/>
          </a:pPr>
          <a:r>
            <a:rPr lang="nl-NL" sz="800" b="0" i="0" u="none" strike="noStrike" baseline="0">
              <a:solidFill>
                <a:srgbClr val="000000"/>
              </a:solidFill>
              <a:latin typeface="Trebuchet MS"/>
            </a:rPr>
            <a:t>This module is a summary of all the decision made on personnel. Since not all categories of personnel where included in the previous pages, a decision has to be made on:</a:t>
          </a:r>
        </a:p>
        <a:p>
          <a:pPr algn="l" rtl="0">
            <a:defRPr sz="1000"/>
          </a:pPr>
          <a:r>
            <a:rPr lang="nl-NL" sz="800" b="0" i="0" u="none" strike="noStrike" baseline="0">
              <a:solidFill>
                <a:srgbClr val="000000"/>
              </a:solidFill>
              <a:latin typeface="Trebuchet MS"/>
            </a:rPr>
            <a:t>Dealer principal : usually one person (except for family businesses or a business with several partners)</a:t>
          </a:r>
        </a:p>
        <a:p>
          <a:pPr algn="l" rtl="0">
            <a:defRPr sz="1000"/>
          </a:pPr>
          <a:r>
            <a:rPr lang="nl-NL" sz="800" b="0" i="0" u="none" strike="noStrike" baseline="0">
              <a:solidFill>
                <a:srgbClr val="000000"/>
              </a:solidFill>
              <a:latin typeface="Trebuchet MS"/>
            </a:rPr>
            <a:t>Controller   : usually one person</a:t>
          </a:r>
        </a:p>
        <a:p>
          <a:pPr algn="l" rtl="0">
            <a:defRPr sz="1000"/>
          </a:pPr>
          <a:r>
            <a:rPr lang="nl-NL" sz="800" b="0" i="0" u="none" strike="noStrike" baseline="0">
              <a:solidFill>
                <a:srgbClr val="000000"/>
              </a:solidFill>
              <a:latin typeface="Trebuchet MS"/>
            </a:rPr>
            <a:t>General &amp; administration  : secretaries, bookkeepers, IT employees, sales support employees etc.</a:t>
          </a:r>
        </a:p>
        <a:p>
          <a:pPr algn="l" rtl="0">
            <a:defRPr sz="1000"/>
          </a:pPr>
          <a:r>
            <a:rPr lang="nl-NL" sz="800" b="0" i="0" u="none" strike="noStrike" baseline="0">
              <a:solidFill>
                <a:srgbClr val="000000"/>
              </a:solidFill>
              <a:latin typeface="Trebuchet MS"/>
            </a:rPr>
            <a:t>After sales manager   : responsible for parts &amp; service and/or after sales development</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To avoid double counting, a person can only have one full time job. Example: the owner of the business is both dealer principal and sales manager:</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Function Time to spend Possibility 1 Possibility 2</a:t>
          </a:r>
        </a:p>
        <a:p>
          <a:pPr algn="l" rtl="0">
            <a:defRPr sz="1000"/>
          </a:pPr>
          <a:r>
            <a:rPr lang="nl-NL" sz="800" b="0" i="0" u="none" strike="noStrike" baseline="0">
              <a:solidFill>
                <a:srgbClr val="000000"/>
              </a:solidFill>
              <a:latin typeface="Trebuchet MS"/>
            </a:rPr>
            <a:t>Dealer principal 50% 0,5 1</a:t>
          </a:r>
        </a:p>
        <a:p>
          <a:pPr algn="l" rtl="0">
            <a:defRPr sz="1000"/>
          </a:pPr>
          <a:r>
            <a:rPr lang="nl-NL" sz="800" b="0" i="0" u="none" strike="noStrike" baseline="0">
              <a:solidFill>
                <a:srgbClr val="000000"/>
              </a:solidFill>
              <a:latin typeface="Trebuchet MS"/>
            </a:rPr>
            <a:t>Sales manager 50% 0,5 0</a:t>
          </a:r>
        </a:p>
        <a:p>
          <a:pPr algn="l" rtl="0">
            <a:defRPr sz="1000"/>
          </a:pPr>
          <a:r>
            <a:rPr lang="nl-NL" sz="800" b="0" i="0" u="none" strike="noStrike" baseline="0">
              <a:solidFill>
                <a:srgbClr val="000000"/>
              </a:solidFill>
              <a:latin typeface="Trebuchet MS"/>
            </a:rPr>
            <a:t> 100% 1 1</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For the first 4 categories, the number of people filled in the first year is kept constant over the whole business plan. However, the fields for the next 4 years may be overwritten in case the number of people of a certain category does not correspond with the first year any more.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Annual salaries &amp; wages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Annual indexation: The salaries &amp; wages filled in the first year are cumulatively corrected with the percentage per year.</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Per personnel category the following information is required:</a:t>
          </a:r>
        </a:p>
        <a:p>
          <a:pPr algn="l" rtl="0">
            <a:defRPr sz="1000"/>
          </a:pPr>
          <a:r>
            <a:rPr lang="nl-NL" sz="800" b="0" i="0" u="none" strike="noStrike" baseline="0">
              <a:solidFill>
                <a:srgbClr val="000000"/>
              </a:solidFill>
              <a:latin typeface="Trebuchet MS"/>
            </a:rPr>
            <a:t>1. </a:t>
          </a:r>
          <a:r>
            <a:rPr lang="nl-NL" sz="800" b="1" i="0" u="none" strike="noStrike" baseline="0">
              <a:solidFill>
                <a:srgbClr val="000000"/>
              </a:solidFill>
              <a:latin typeface="Trebuchet MS"/>
            </a:rPr>
            <a:t>Average gross salary</a:t>
          </a:r>
          <a:r>
            <a:rPr lang="nl-NL" sz="800" b="0" i="0" u="none" strike="noStrike" baseline="0">
              <a:solidFill>
                <a:srgbClr val="000000"/>
              </a:solidFill>
              <a:latin typeface="Trebuchet MS"/>
            </a:rPr>
            <a:t>: average salary in case there is more than one person in a particular function, gross salary means all kinds of salary, paid on a yearly basis, on which the employer has to pay social taxes.</a:t>
          </a:r>
        </a:p>
        <a:p>
          <a:pPr algn="l" rtl="0">
            <a:defRPr sz="1000"/>
          </a:pPr>
          <a:r>
            <a:rPr lang="nl-NL" sz="800" b="0" i="0" u="none" strike="noStrike" baseline="0">
              <a:solidFill>
                <a:srgbClr val="000000"/>
              </a:solidFill>
              <a:latin typeface="Trebuchet MS"/>
            </a:rPr>
            <a:t>2. </a:t>
          </a:r>
          <a:r>
            <a:rPr lang="nl-NL" sz="800" b="1" i="0" u="none" strike="noStrike" baseline="0">
              <a:solidFill>
                <a:srgbClr val="000000"/>
              </a:solidFill>
              <a:latin typeface="Trebuchet MS"/>
            </a:rPr>
            <a:t>Social security and taxes employer</a:t>
          </a:r>
          <a:r>
            <a:rPr lang="nl-NL" sz="800" b="0" i="0" u="none" strike="noStrike" baseline="0">
              <a:solidFill>
                <a:srgbClr val="000000"/>
              </a:solidFill>
              <a:latin typeface="Trebuchet MS"/>
            </a:rPr>
            <a:t>: since the rate can differ from category to category, the rate has to be filled in for every function, but is also automatically forwarded to the other categories in case the percentage is the same.</a:t>
          </a:r>
        </a:p>
        <a:p>
          <a:pPr algn="l" rtl="0">
            <a:defRPr sz="1000"/>
          </a:pPr>
          <a:r>
            <a:rPr lang="nl-NL" sz="800" b="0" i="0" u="none" strike="noStrike" baseline="0">
              <a:solidFill>
                <a:srgbClr val="000000"/>
              </a:solidFill>
              <a:latin typeface="Trebuchet MS"/>
            </a:rPr>
            <a:t>3. </a:t>
          </a:r>
          <a:r>
            <a:rPr lang="nl-NL" sz="800" b="1" i="0" u="none" strike="noStrike" baseline="0">
              <a:solidFill>
                <a:srgbClr val="000000"/>
              </a:solidFill>
              <a:latin typeface="Trebuchet MS"/>
            </a:rPr>
            <a:t>Other</a:t>
          </a:r>
          <a:r>
            <a:rPr lang="nl-NL" sz="800" b="0" i="0" u="none" strike="noStrike" baseline="0">
              <a:solidFill>
                <a:srgbClr val="000000"/>
              </a:solidFill>
              <a:latin typeface="Trebuchet MS"/>
            </a:rPr>
            <a:t>: all kinds of benefits, on which the employer does not have to pay social taxes. Including related pension funds.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For salesmen the average gross salary is split in:</a:t>
          </a:r>
        </a:p>
        <a:p>
          <a:pPr algn="l" rtl="0">
            <a:defRPr sz="1000"/>
          </a:pPr>
          <a:r>
            <a:rPr lang="nl-NL" sz="800" b="0" i="0" u="none" strike="noStrike" baseline="0">
              <a:solidFill>
                <a:srgbClr val="000000"/>
              </a:solidFill>
              <a:latin typeface="Trebuchet MS"/>
            </a:rPr>
            <a:t>Fixed  : gross salary, paid on a yearly basis, which does not depend on sales</a:t>
          </a:r>
        </a:p>
        <a:p>
          <a:pPr algn="l" rtl="0">
            <a:defRPr sz="1000"/>
          </a:pPr>
          <a:r>
            <a:rPr lang="nl-NL" sz="800" b="0" i="0" u="none" strike="noStrike" baseline="0">
              <a:solidFill>
                <a:srgbClr val="000000"/>
              </a:solidFill>
              <a:latin typeface="Trebuchet MS"/>
            </a:rPr>
            <a:t>Variable  : gross salary, paid on a yearly basis, which is directly related to sales</a:t>
          </a:r>
        </a:p>
        <a:p>
          <a:pPr algn="l" rtl="0">
            <a:defRPr sz="1000"/>
          </a:pPr>
          <a:r>
            <a:rPr lang="nl-NL" sz="800" b="0" i="0" u="none" strike="noStrike" baseline="0">
              <a:solidFill>
                <a:srgbClr val="000000"/>
              </a:solidFill>
              <a:latin typeface="Trebuchet MS"/>
            </a:rPr>
            <a:t>Since no distinction is made between salesmen of new, used and other vehicles, the average sales commission (amount) per vehicle (new+used) is required.</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Notes: </a:t>
          </a:r>
        </a:p>
        <a:p>
          <a:pPr algn="l" rtl="0">
            <a:defRPr sz="1000"/>
          </a:pPr>
          <a:r>
            <a:rPr lang="nl-NL" sz="800" b="0" i="0" u="none" strike="noStrike" baseline="0">
              <a:solidFill>
                <a:srgbClr val="000000"/>
              </a:solidFill>
              <a:latin typeface="Trebuchet MS"/>
            </a:rPr>
            <a:t>• The variable part of the salaries &amp; wages of the sales men will be reported under 7.4.2 Selling &amp; operating expenses.</a:t>
          </a:r>
        </a:p>
        <a:p>
          <a:pPr algn="l" rtl="0">
            <a:defRPr sz="1000"/>
          </a:pPr>
          <a:r>
            <a:rPr lang="nl-NL" sz="800" b="0" i="0" u="none" strike="noStrike" baseline="0">
              <a:solidFill>
                <a:srgbClr val="000000"/>
              </a:solidFill>
              <a:latin typeface="Trebuchet MS"/>
            </a:rPr>
            <a:t>• Salaries &amp; wages of mechanics will be reported under Cost of Sales: Service. Only the salaries and wages of indirect personnel in the workshop will be reported under Salaries &amp; Wages: Service.</a:t>
          </a:r>
        </a:p>
        <a:p>
          <a:pPr algn="l" rtl="0">
            <a:defRPr sz="1000"/>
          </a:pPr>
          <a:r>
            <a:rPr lang="nl-NL" sz="800" b="0" i="0" u="none" strike="noStrike" baseline="0">
              <a:solidFill>
                <a:srgbClr val="000000"/>
              </a:solidFill>
              <a:latin typeface="Trebuchet MS"/>
            </a:rPr>
            <a:t>• The salaries and wages of the dealer principal, the controller and headcount which cannot be allocated to a profit center will be allocated to the cost center General &amp; Administration.</a:t>
          </a:r>
          <a:endParaRPr lang="nl-NL" sz="1000" b="1" i="0" u="sng" strike="noStrike" baseline="0">
            <a:solidFill>
              <a:srgbClr val="000000"/>
            </a:solidFill>
            <a:latin typeface="Trebuchet MS"/>
          </a:endParaRPr>
        </a:p>
        <a:p>
          <a:pPr algn="l" rtl="0">
            <a:defRPr sz="1000"/>
          </a:pPr>
          <a:endParaRPr lang="nl-NL" sz="1000" b="1" i="0" u="sng" strike="noStrike" baseline="0">
            <a:solidFill>
              <a:srgbClr val="000000"/>
            </a:solidFill>
            <a:latin typeface="Trebuchet MS"/>
          </a:endParaRPr>
        </a:p>
      </xdr:txBody>
    </xdr:sp>
    <xdr:clientData/>
  </xdr:twoCellAnchor>
  <xdr:twoCellAnchor editAs="oneCell">
    <xdr:from>
      <xdr:col>1</xdr:col>
      <xdr:colOff>1676400</xdr:colOff>
      <xdr:row>0</xdr:row>
      <xdr:rowOff>76200</xdr:rowOff>
    </xdr:from>
    <xdr:to>
      <xdr:col>2</xdr:col>
      <xdr:colOff>381000</xdr:colOff>
      <xdr:row>1</xdr:row>
      <xdr:rowOff>3908</xdr:rowOff>
    </xdr:to>
    <xdr:pic>
      <xdr:nvPicPr>
        <xdr:cNvPr id="83969" name="CommandButton1">
          <a:extLst>
            <a:ext uri="{FF2B5EF4-FFF2-40B4-BE49-F238E27FC236}">
              <a16:creationId xmlns:a16="http://schemas.microsoft.com/office/drawing/2014/main" xmlns="" id="{00000000-0008-0000-2B00-00000148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76200"/>
          <a:ext cx="38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2</xdr:col>
      <xdr:colOff>685800</xdr:colOff>
      <xdr:row>5</xdr:row>
      <xdr:rowOff>180975</xdr:rowOff>
    </xdr:from>
    <xdr:to>
      <xdr:col>10</xdr:col>
      <xdr:colOff>581025</xdr:colOff>
      <xdr:row>70</xdr:row>
      <xdr:rowOff>47625</xdr:rowOff>
    </xdr:to>
    <xdr:sp macro="" textlink="">
      <xdr:nvSpPr>
        <xdr:cNvPr id="31756" name="MyHelpTekst" hidden="1">
          <a:extLst>
            <a:ext uri="{FF2B5EF4-FFF2-40B4-BE49-F238E27FC236}">
              <a16:creationId xmlns:a16="http://schemas.microsoft.com/office/drawing/2014/main" xmlns="" id="{00000000-0008-0000-2C00-00000C7C0000}"/>
            </a:ext>
          </a:extLst>
        </xdr:cNvPr>
        <xdr:cNvSpPr>
          <a:spLocks noChangeArrowheads="1"/>
        </xdr:cNvSpPr>
      </xdr:nvSpPr>
      <xdr:spPr bwMode="auto">
        <a:xfrm>
          <a:off x="3028950" y="1343025"/>
          <a:ext cx="6257925" cy="79724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7.4.2 Selling &amp; Operating Expenses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Expenses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expenses filled in the first year are copied to the years after and corrected for an annual percentage. However, the calculated fields may be overwritten in case the expenses differ from the first year.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1.1 Selling Expense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 sales commissions and incentives: the variable part of the salaries &amp; wages of the sales employees (new trucks, used trucks, other business), see [7.4.1 Salaries &amp; Wages; salesmen]</a:t>
          </a:r>
        </a:p>
        <a:p>
          <a:pPr algn="l" rtl="0">
            <a:defRPr sz="1000"/>
          </a:pPr>
          <a:r>
            <a:rPr lang="nl-NL" sz="800" b="0" i="0" u="none" strike="noStrike" baseline="0">
              <a:solidFill>
                <a:srgbClr val="000000"/>
              </a:solidFill>
              <a:latin typeface="Trebuchet MS"/>
            </a:rPr>
            <a:t>● Commercial policy expenses: Cost of repair, coulance, inspection or giveaways required to satisfy the customer.</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1.2 Other operating expenses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Company vehicles   : cost for leasing vans, towing equipment, forklift, ITS vehicle, … </a:t>
          </a:r>
        </a:p>
        <a:p>
          <a:pPr algn="l" rtl="0">
            <a:defRPr sz="1000"/>
          </a:pPr>
          <a:r>
            <a:rPr lang="nl-NL" sz="800" b="0" i="0" u="none" strike="noStrike" baseline="0">
              <a:solidFill>
                <a:srgbClr val="000000"/>
              </a:solidFill>
              <a:latin typeface="Trebuchet MS"/>
            </a:rPr>
            <a:t>Company cars    : cost for leasing of passenger cars </a:t>
          </a:r>
        </a:p>
        <a:p>
          <a:pPr algn="l" rtl="0">
            <a:defRPr sz="1000"/>
          </a:pPr>
          <a:r>
            <a:rPr lang="nl-NL" sz="800" b="0" i="0" u="none" strike="noStrike" baseline="0">
              <a:solidFill>
                <a:srgbClr val="000000"/>
              </a:solidFill>
              <a:latin typeface="Trebuchet MS"/>
            </a:rPr>
            <a:t>Office supplies    : stationery </a:t>
          </a:r>
        </a:p>
        <a:p>
          <a:pPr algn="l" rtl="0">
            <a:defRPr sz="1000"/>
          </a:pPr>
          <a:r>
            <a:rPr lang="nl-NL" sz="800" b="0" i="0" u="none" strike="noStrike" baseline="0">
              <a:solidFill>
                <a:srgbClr val="000000"/>
              </a:solidFill>
              <a:latin typeface="Trebuchet MS"/>
            </a:rPr>
            <a:t>Other supply    : workshop and warehouse supplies, tooling,…</a:t>
          </a:r>
        </a:p>
        <a:p>
          <a:pPr algn="l" rtl="0">
            <a:defRPr sz="1000"/>
          </a:pPr>
          <a:r>
            <a:rPr lang="nl-NL" sz="800" b="0" i="0" u="none" strike="noStrike" baseline="0">
              <a:solidFill>
                <a:srgbClr val="000000"/>
              </a:solidFill>
              <a:latin typeface="Trebuchet MS"/>
            </a:rPr>
            <a:t>Policy expenses   : expenses taken at the charge of the dealer for commercial reasons</a:t>
          </a:r>
        </a:p>
        <a:p>
          <a:pPr algn="l" rtl="0">
            <a:defRPr sz="1000"/>
          </a:pPr>
          <a:r>
            <a:rPr lang="nl-NL" sz="800" b="0" i="0" u="none" strike="noStrike" baseline="0">
              <a:solidFill>
                <a:srgbClr val="000000"/>
              </a:solidFill>
              <a:latin typeface="Trebuchet MS"/>
            </a:rPr>
            <a:t>Energy     : gas, electricity, water,…</a:t>
          </a:r>
        </a:p>
        <a:p>
          <a:pPr algn="l" rtl="0">
            <a:defRPr sz="1000"/>
          </a:pPr>
          <a:r>
            <a:rPr lang="nl-NL" sz="800" b="0" i="0" u="none" strike="noStrike" baseline="0">
              <a:solidFill>
                <a:srgbClr val="000000"/>
              </a:solidFill>
              <a:latin typeface="Trebuchet MS"/>
            </a:rPr>
            <a:t>Sales promotion &amp; advertising : promotion expenses, presents to customers, fairs,…</a:t>
          </a:r>
        </a:p>
        <a:p>
          <a:pPr algn="l" rtl="0">
            <a:defRPr sz="1000"/>
          </a:pPr>
          <a:r>
            <a:rPr lang="nl-NL" sz="800" b="0" i="0" u="none" strike="noStrike" baseline="0">
              <a:solidFill>
                <a:srgbClr val="000000"/>
              </a:solidFill>
              <a:latin typeface="Trebuchet MS"/>
            </a:rPr>
            <a:t>Computer expenses   : maintenance contracts, repair, software (not activated),…</a:t>
          </a:r>
        </a:p>
        <a:p>
          <a:pPr algn="l" rtl="0">
            <a:defRPr sz="1000"/>
          </a:pPr>
          <a:r>
            <a:rPr lang="nl-NL" sz="800" b="0" i="0" u="none" strike="noStrike" baseline="0">
              <a:solidFill>
                <a:srgbClr val="000000"/>
              </a:solidFill>
              <a:latin typeface="Trebuchet MS"/>
            </a:rPr>
            <a:t>Travel &amp; subsistence   : travel costs, fuel vehicles,…</a:t>
          </a:r>
        </a:p>
        <a:p>
          <a:pPr algn="l" rtl="0">
            <a:defRPr sz="1000"/>
          </a:pPr>
          <a:r>
            <a:rPr lang="nl-NL" sz="800" b="0" i="0" u="none" strike="noStrike" baseline="0">
              <a:solidFill>
                <a:srgbClr val="000000"/>
              </a:solidFill>
              <a:latin typeface="Trebuchet MS"/>
            </a:rPr>
            <a:t>Outsourced services   : consulting, lawyer, notary, accounting, personnel administration,…</a:t>
          </a:r>
        </a:p>
        <a:p>
          <a:pPr algn="l" rtl="0">
            <a:defRPr sz="1000"/>
          </a:pPr>
          <a:r>
            <a:rPr lang="nl-NL" sz="800" b="0" i="0" u="none" strike="noStrike" baseline="0">
              <a:solidFill>
                <a:srgbClr val="000000"/>
              </a:solidFill>
              <a:latin typeface="Trebuchet MS"/>
            </a:rPr>
            <a:t>Communication   : mobile phones, telephones, fax, stamps, couriers,… </a:t>
          </a:r>
        </a:p>
        <a:p>
          <a:pPr algn="l" rtl="0">
            <a:defRPr sz="1000"/>
          </a:pPr>
          <a:r>
            <a:rPr lang="nl-NL" sz="800" b="0" i="0" u="none" strike="noStrike" baseline="0">
              <a:solidFill>
                <a:srgbClr val="000000"/>
              </a:solidFill>
              <a:latin typeface="Trebuchet MS"/>
            </a:rPr>
            <a:t>Training    : expenses for training</a:t>
          </a:r>
        </a:p>
        <a:p>
          <a:pPr algn="l" rtl="0">
            <a:defRPr sz="1000"/>
          </a:pPr>
          <a:r>
            <a:rPr lang="nl-NL" sz="800" b="0" i="0" u="none" strike="noStrike" baseline="0">
              <a:solidFill>
                <a:srgbClr val="000000"/>
              </a:solidFill>
              <a:latin typeface="Trebuchet MS"/>
            </a:rPr>
            <a:t>Repair &amp; maintenance of assets: expenses for repair &amp; maintenance of building, equipment, tools, …</a:t>
          </a:r>
        </a:p>
        <a:p>
          <a:pPr algn="l" rtl="0">
            <a:defRPr sz="1000"/>
          </a:pPr>
          <a:r>
            <a:rPr lang="nl-NL" sz="800" b="0" i="0" u="none" strike="noStrike" baseline="0">
              <a:solidFill>
                <a:srgbClr val="000000"/>
              </a:solidFill>
              <a:latin typeface="Trebuchet MS"/>
            </a:rPr>
            <a:t>Demonstration vehicles  : all expenses in connection with demonstration vehicles </a:t>
          </a:r>
        </a:p>
        <a:p>
          <a:pPr algn="l" rtl="0">
            <a:defRPr sz="1000"/>
          </a:pPr>
          <a:r>
            <a:rPr lang="nl-NL" sz="800" b="0" i="0" u="none" strike="noStrike" baseline="0">
              <a:solidFill>
                <a:srgbClr val="000000"/>
              </a:solidFill>
              <a:latin typeface="Trebuchet MS"/>
            </a:rPr>
            <a:t>  (= maintenance, insurance, finance,…)</a:t>
          </a:r>
        </a:p>
        <a:p>
          <a:pPr algn="l" rtl="0">
            <a:defRPr sz="1000"/>
          </a:pPr>
          <a:r>
            <a:rPr lang="nl-NL" sz="800" b="0" i="0" u="none" strike="noStrike" baseline="0">
              <a:solidFill>
                <a:srgbClr val="000000"/>
              </a:solidFill>
              <a:latin typeface="Trebuchet MS"/>
            </a:rPr>
            <a:t>Consultancy   : External accounts, legal advisors, personnel advisors</a:t>
          </a:r>
        </a:p>
        <a:p>
          <a:pPr algn="l" rtl="0">
            <a:defRPr sz="1000"/>
          </a:pPr>
          <a:r>
            <a:rPr lang="nl-NL" sz="800" b="0" i="0" u="none" strike="noStrike" baseline="0">
              <a:solidFill>
                <a:srgbClr val="000000"/>
              </a:solidFill>
              <a:latin typeface="Trebuchet MS"/>
            </a:rPr>
            <a:t>Rent     : building, equipment, tools,…</a:t>
          </a:r>
        </a:p>
        <a:p>
          <a:pPr algn="l" rtl="0">
            <a:defRPr sz="1000"/>
          </a:pPr>
          <a:r>
            <a:rPr lang="nl-NL" sz="800" b="0" i="0" u="none" strike="noStrike" baseline="0">
              <a:solidFill>
                <a:srgbClr val="000000"/>
              </a:solidFill>
              <a:latin typeface="Trebuchet MS"/>
            </a:rPr>
            <a:t>Taxes     : real estate, waste,…</a:t>
          </a:r>
        </a:p>
        <a:p>
          <a:pPr algn="l" rtl="0">
            <a:defRPr sz="1000"/>
          </a:pPr>
          <a:r>
            <a:rPr lang="nl-NL" sz="800" b="0" i="0" u="none" strike="noStrike" baseline="0">
              <a:solidFill>
                <a:srgbClr val="000000"/>
              </a:solidFill>
              <a:latin typeface="Trebuchet MS"/>
            </a:rPr>
            <a:t>Insurance    : casco, responsibility,…</a:t>
          </a:r>
        </a:p>
        <a:p>
          <a:pPr algn="l" rtl="0">
            <a:defRPr sz="1000"/>
          </a:pPr>
          <a:r>
            <a:rPr lang="nl-NL" sz="800" b="0" i="0" u="none" strike="noStrike" baseline="0">
              <a:solidFill>
                <a:srgbClr val="000000"/>
              </a:solidFill>
              <a:latin typeface="Trebuchet MS"/>
            </a:rPr>
            <a:t>Miscellaneous    : other</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Allocation of expenses to activities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line with the philosophy of lean profit (activity) centers, expenses are to be allocated to the profit (activity) center concerned.</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To help the decision maker to allocate these expenses properly, we put suggested allocation keys in the second column. In case better allocation keys are available, it is not necessary to use the suggested ones.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expenses should be allocated for 100%. When the addition of the allocation percentages does not equal 100%, a message will appear in the total column.</a:t>
          </a:r>
        </a:p>
        <a:p>
          <a:pPr algn="l" rtl="0">
            <a:defRPr sz="1000"/>
          </a:pP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xdr:txBody>
    </xdr:sp>
    <xdr:clientData/>
  </xdr:twoCellAnchor>
  <xdr:twoCellAnchor editAs="oneCell">
    <xdr:from>
      <xdr:col>2</xdr:col>
      <xdr:colOff>127000</xdr:colOff>
      <xdr:row>0</xdr:row>
      <xdr:rowOff>101600</xdr:rowOff>
    </xdr:from>
    <xdr:to>
      <xdr:col>2</xdr:col>
      <xdr:colOff>736600</xdr:colOff>
      <xdr:row>1</xdr:row>
      <xdr:rowOff>0</xdr:rowOff>
    </xdr:to>
    <xdr:pic>
      <xdr:nvPicPr>
        <xdr:cNvPr id="31755" name="CommandButton1">
          <a:extLst>
            <a:ext uri="{FF2B5EF4-FFF2-40B4-BE49-F238E27FC236}">
              <a16:creationId xmlns:a16="http://schemas.microsoft.com/office/drawing/2014/main" xmlns="" id="{00000000-0008-0000-2C00-00000B7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94000" y="101600"/>
          <a:ext cx="609600" cy="2540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0</xdr:col>
      <xdr:colOff>790575</xdr:colOff>
      <xdr:row>1</xdr:row>
      <xdr:rowOff>47625</xdr:rowOff>
    </xdr:from>
    <xdr:to>
      <xdr:col>11</xdr:col>
      <xdr:colOff>619125</xdr:colOff>
      <xdr:row>136</xdr:row>
      <xdr:rowOff>57150</xdr:rowOff>
    </xdr:to>
    <xdr:sp macro="" textlink="">
      <xdr:nvSpPr>
        <xdr:cNvPr id="16396" name="MyHelpTekst" hidden="1">
          <a:extLst>
            <a:ext uri="{FF2B5EF4-FFF2-40B4-BE49-F238E27FC236}">
              <a16:creationId xmlns:a16="http://schemas.microsoft.com/office/drawing/2014/main" xmlns="" id="{00000000-0008-0000-2D00-00000C400000}"/>
            </a:ext>
          </a:extLst>
        </xdr:cNvPr>
        <xdr:cNvSpPr>
          <a:spLocks noChangeArrowheads="1"/>
        </xdr:cNvSpPr>
      </xdr:nvSpPr>
      <xdr:spPr bwMode="auto">
        <a:xfrm>
          <a:off x="790575" y="314325"/>
          <a:ext cx="9277350" cy="13306425"/>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1000" b="1" i="0" u="none" strike="noStrike" baseline="0">
              <a:solidFill>
                <a:srgbClr val="000000"/>
              </a:solidFill>
              <a:latin typeface="Trebuchet MS"/>
            </a:rPr>
            <a:t>7.4.3  Investments, Depreciations and Provisions </a:t>
          </a:r>
          <a:endParaRPr lang="nl-NL" sz="1000" b="0" i="0" u="none" strike="noStrike" baseline="0">
            <a:solidFill>
              <a:srgbClr val="000000"/>
            </a:solidFill>
            <a:latin typeface="Trebuchet MS"/>
          </a:endParaRP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Investment : an increase in assets</a:t>
          </a:r>
        </a:p>
        <a:p>
          <a:pPr algn="l" rtl="0">
            <a:defRPr sz="1000"/>
          </a:pPr>
          <a:r>
            <a:rPr lang="nl-NL" sz="1000" b="0" i="0" u="none" strike="noStrike" baseline="0">
              <a:solidFill>
                <a:srgbClr val="000000"/>
              </a:solidFill>
              <a:latin typeface="Trebuchet MS"/>
            </a:rPr>
            <a:t>Disinvestment : a decrease in assets, not being depreciation.</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1</a:t>
          </a:r>
          <a:r>
            <a:rPr lang="nl-NL" sz="1000" b="1" i="0" u="none" strike="noStrike" baseline="0">
              <a:solidFill>
                <a:srgbClr val="000000"/>
              </a:solidFill>
              <a:latin typeface="Trebuchet MS"/>
            </a:rPr>
            <a:t>. Fixed asset value plus investments and disinvestments over period</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A distinction should be made between the green shaded cells and blue shaded cells . A new dealer can use the green shaded cells to fill in the opening balance at the time of the foundation of the company. or for an existing dealer can use the balance of the previous year. Both an existing and a new dealer can use the column of the first year to fill in the investments of the first year. An existing dealer should enter the different asset values on the opening balance of the basis year in the first blue column PLUS investments (+) or desinvestments (-/-) in first year.</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All new investments have to be filled in the column of the year it applies to. The investment is depreciated automatically, based on the depreciation rate in module [2. Depreciations on fixed assets]. The net value of an investment (after depreciation) is written to the balance sheet.</a:t>
          </a:r>
        </a:p>
        <a:p>
          <a:pPr algn="l" rtl="0">
            <a:defRPr sz="1000"/>
          </a:pPr>
          <a:r>
            <a:rPr lang="nl-NL" sz="1000" b="0" i="0" u="none" strike="noStrike" baseline="0">
              <a:solidFill>
                <a:srgbClr val="000000"/>
              </a:solidFill>
              <a:latin typeface="Trebuchet MS"/>
            </a:rPr>
            <a:t> </a:t>
          </a:r>
        </a:p>
        <a:p>
          <a:pPr algn="l" rtl="0">
            <a:defRPr sz="1000"/>
          </a:pPr>
          <a:r>
            <a:rPr lang="nl-NL" sz="1000" b="0" i="0" u="none" strike="noStrike" baseline="0">
              <a:solidFill>
                <a:srgbClr val="000000"/>
              </a:solidFill>
              <a:latin typeface="Trebuchet MS"/>
            </a:rPr>
            <a:t>Example: when a building with a book value of EUR 1.000.000 is sold, an amount of  -/- EUR 1.000.000 should be filled in. In case the sales value differs from the book value, the difference should be booked as extraordinary result in the Profit &amp; Loss account.</a:t>
          </a:r>
          <a:endParaRPr lang="nl-NL" sz="800" b="0" i="0" u="none" strike="noStrike" baseline="0">
            <a:solidFill>
              <a:srgbClr val="000000"/>
            </a:solidFill>
            <a:latin typeface="Trebuchet MS"/>
          </a:endParaRPr>
        </a:p>
        <a:p>
          <a:pPr algn="l" rtl="0">
            <a:defRPr sz="1000"/>
          </a:pPr>
          <a:endParaRPr lang="nl-NL" sz="1000" b="0" i="0" u="none" strike="noStrike" baseline="0">
            <a:solidFill>
              <a:srgbClr val="000000"/>
            </a:solidFill>
            <a:latin typeface="Trebuchet MS"/>
          </a:endParaRPr>
        </a:p>
        <a:p>
          <a:pPr algn="l" rtl="0">
            <a:defRPr sz="1000"/>
          </a:pPr>
          <a:r>
            <a:rPr lang="nl-NL" sz="1000" b="0" i="1" u="none" strike="noStrike" baseline="0">
              <a:solidFill>
                <a:srgbClr val="000000"/>
              </a:solidFill>
              <a:latin typeface="Trebuchet MS"/>
            </a:rPr>
            <a:t>Intangible fixed assets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Depending on the legislation of the country, some costs can be activated and depreciated. Three categories are stated :</a:t>
          </a:r>
        </a:p>
        <a:p>
          <a:pPr algn="l" rtl="0">
            <a:defRPr sz="1000"/>
          </a:pPr>
          <a:r>
            <a:rPr lang="nl-NL" sz="1000" b="0" i="0" u="none" strike="noStrike" baseline="0">
              <a:solidFill>
                <a:srgbClr val="000000"/>
              </a:solidFill>
              <a:latin typeface="Trebuchet MS"/>
            </a:rPr>
            <a:t>start up costs   : notary, publication, emission of shares,…</a:t>
          </a:r>
        </a:p>
        <a:p>
          <a:pPr algn="l" rtl="0">
            <a:defRPr sz="1000"/>
          </a:pPr>
          <a:r>
            <a:rPr lang="nl-NL" sz="1000" b="0" i="0" u="none" strike="noStrike" baseline="0">
              <a:solidFill>
                <a:srgbClr val="000000"/>
              </a:solidFill>
              <a:latin typeface="Trebuchet MS"/>
            </a:rPr>
            <a:t>goodwill   : the cost to take over a customer portfolio</a:t>
          </a:r>
        </a:p>
        <a:p>
          <a:pPr algn="l" rtl="0">
            <a:defRPr sz="1000"/>
          </a:pPr>
          <a:r>
            <a:rPr lang="nl-NL" sz="1000" b="0" i="0" u="none" strike="noStrike" baseline="0">
              <a:solidFill>
                <a:srgbClr val="000000"/>
              </a:solidFill>
              <a:latin typeface="Trebuchet MS"/>
            </a:rPr>
            <a:t>other   : license agreements, … </a:t>
          </a:r>
        </a:p>
        <a:p>
          <a:pPr algn="l" rtl="0">
            <a:defRPr sz="1000"/>
          </a:pPr>
          <a:endParaRPr lang="nl-NL" sz="1000" b="0" i="0" u="none" strike="noStrike" baseline="0">
            <a:solidFill>
              <a:srgbClr val="000000"/>
            </a:solidFill>
            <a:latin typeface="Trebuchet MS"/>
          </a:endParaRPr>
        </a:p>
        <a:p>
          <a:pPr algn="l" rtl="0">
            <a:defRPr sz="1000"/>
          </a:pPr>
          <a:r>
            <a:rPr lang="nl-NL" sz="1000" b="0" i="1" u="none" strike="noStrike" baseline="0">
              <a:solidFill>
                <a:srgbClr val="000000"/>
              </a:solidFill>
              <a:latin typeface="Trebuchet MS"/>
            </a:rPr>
            <a:t>Tangible fixed assets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Land     : purchase cost of land </a:t>
          </a:r>
        </a:p>
        <a:p>
          <a:pPr algn="l" rtl="0">
            <a:defRPr sz="1000"/>
          </a:pPr>
          <a:r>
            <a:rPr lang="nl-NL" sz="1000" b="0" i="0" u="none" strike="noStrike" baseline="0">
              <a:solidFill>
                <a:srgbClr val="000000"/>
              </a:solidFill>
              <a:latin typeface="Trebuchet MS"/>
            </a:rPr>
            <a:t>Building    : purchase cost of a building or total construction cost. </a:t>
          </a:r>
        </a:p>
        <a:p>
          <a:pPr algn="l" rtl="0">
            <a:defRPr sz="1000"/>
          </a:pPr>
          <a:r>
            <a:rPr lang="nl-NL" sz="1000" b="0" i="0" u="none" strike="noStrike" baseline="0">
              <a:solidFill>
                <a:srgbClr val="000000"/>
              </a:solidFill>
              <a:latin typeface="Trebuchet MS"/>
            </a:rPr>
            <a:t>Installations &amp; Equipment  : all kinds of machines and tools in the workshop</a:t>
          </a:r>
        </a:p>
        <a:p>
          <a:pPr algn="l" rtl="0">
            <a:defRPr sz="1000"/>
          </a:pPr>
          <a:r>
            <a:rPr lang="nl-NL" sz="1000" b="0" i="0" u="none" strike="noStrike" baseline="0">
              <a:solidFill>
                <a:srgbClr val="000000"/>
              </a:solidFill>
              <a:latin typeface="Trebuchet MS"/>
            </a:rPr>
            <a:t>Computers    : PC, servers, software, …</a:t>
          </a:r>
        </a:p>
        <a:p>
          <a:pPr algn="l" rtl="0">
            <a:defRPr sz="1000"/>
          </a:pPr>
          <a:r>
            <a:rPr lang="nl-NL" sz="1000" b="0" i="0" u="none" strike="noStrike" baseline="0">
              <a:solidFill>
                <a:srgbClr val="000000"/>
              </a:solidFill>
              <a:latin typeface="Trebuchet MS"/>
            </a:rPr>
            <a:t>Furniture &amp; fixtures   : desks, tables,…</a:t>
          </a:r>
        </a:p>
        <a:p>
          <a:pPr algn="l" rtl="0">
            <a:defRPr sz="1000"/>
          </a:pPr>
          <a:r>
            <a:rPr lang="nl-NL" sz="1000" b="0" i="0" u="none" strike="noStrike" baseline="0">
              <a:solidFill>
                <a:srgbClr val="000000"/>
              </a:solidFill>
              <a:latin typeface="Trebuchet MS"/>
            </a:rPr>
            <a:t>Vehicles    : company vehicles and cars</a:t>
          </a:r>
        </a:p>
        <a:p>
          <a:pPr algn="l" rtl="0">
            <a:defRPr sz="1000"/>
          </a:pPr>
          <a:r>
            <a:rPr lang="nl-NL" sz="1000" b="0" i="0" u="none" strike="noStrike" baseline="0">
              <a:solidFill>
                <a:srgbClr val="000000"/>
              </a:solidFill>
              <a:latin typeface="Trebuchet MS"/>
            </a:rPr>
            <a:t>Demonstration vehicles  : if owned by dealer</a:t>
          </a:r>
        </a:p>
        <a:p>
          <a:pPr algn="l" rtl="0">
            <a:defRPr sz="1000"/>
          </a:pPr>
          <a:r>
            <a:rPr lang="nl-NL" sz="1000" b="0" i="0" u="none" strike="noStrike" baseline="0">
              <a:solidFill>
                <a:srgbClr val="000000"/>
              </a:solidFill>
              <a:latin typeface="Trebuchet MS"/>
            </a:rPr>
            <a:t>Other     : all investments which are not mentioned above</a:t>
          </a:r>
        </a:p>
        <a:p>
          <a:pPr algn="l" rtl="0">
            <a:defRPr sz="1000"/>
          </a:pPr>
          <a:endParaRPr lang="nl-NL" sz="1000" b="0" i="0" u="none" strike="noStrike" baseline="0">
            <a:solidFill>
              <a:srgbClr val="000000"/>
            </a:solidFill>
            <a:latin typeface="Trebuchet MS"/>
          </a:endParaRPr>
        </a:p>
        <a:p>
          <a:pPr algn="l" rtl="0">
            <a:defRPr sz="1000"/>
          </a:pPr>
          <a:r>
            <a:rPr lang="nl-NL" sz="1000" b="0" i="1" u="none" strike="noStrike" baseline="0">
              <a:solidFill>
                <a:srgbClr val="000000"/>
              </a:solidFill>
              <a:latin typeface="Trebuchet MS"/>
            </a:rPr>
            <a:t>Financial fixed assets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Financial participations in other companies.</a:t>
          </a:r>
        </a:p>
        <a:p>
          <a:pPr algn="l" rtl="0">
            <a:defRPr sz="1000"/>
          </a:pPr>
          <a:endParaRPr lang="nl-NL" sz="1000" b="0" i="1" u="none" strike="noStrike" baseline="0">
            <a:solidFill>
              <a:srgbClr val="000000"/>
            </a:solidFill>
            <a:latin typeface="Trebuchet MS"/>
          </a:endParaRPr>
        </a:p>
        <a:p>
          <a:pPr algn="l" rtl="0">
            <a:defRPr sz="1000"/>
          </a:pPr>
          <a:r>
            <a:rPr lang="nl-NL" sz="1000" b="1" i="1" u="none" strike="noStrike" baseline="0">
              <a:solidFill>
                <a:srgbClr val="000000"/>
              </a:solidFill>
              <a:latin typeface="Trebuchet MS"/>
            </a:rPr>
            <a:t>Change in inventory</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For financing, we assume the initial stock to be the basic stock for any year. Therefore, the initial stock will be financed with long term means and the change in stock with short term means. The change in stock is the investment or disinvestment in stock.</a:t>
          </a:r>
        </a:p>
        <a:p>
          <a:pPr algn="l" rtl="0">
            <a:defRPr sz="1000"/>
          </a:pPr>
          <a:r>
            <a:rPr lang="nl-NL" sz="1000" b="0" i="0" u="none" strike="noStrike" baseline="0">
              <a:solidFill>
                <a:srgbClr val="000000"/>
              </a:solidFill>
              <a:latin typeface="Trebuchet MS"/>
            </a:rPr>
            <a:t>A distinction is made between parts and used trucks.</a:t>
          </a:r>
        </a:p>
        <a:p>
          <a:pPr algn="l" rtl="0">
            <a:defRPr sz="1000"/>
          </a:pPr>
          <a:r>
            <a:rPr lang="nl-NL" sz="1000" b="0" i="0" u="none" strike="noStrike" baseline="0">
              <a:solidFill>
                <a:srgbClr val="000000"/>
              </a:solidFill>
              <a:latin typeface="Trebuchet MS"/>
            </a:rPr>
            <a:t>The potential stock of other vehicles is not taken into account here yet.</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2</a:t>
          </a:r>
          <a:r>
            <a:rPr lang="nl-NL" sz="1000" b="1" i="0" u="none" strike="noStrike" baseline="0">
              <a:solidFill>
                <a:srgbClr val="000000"/>
              </a:solidFill>
              <a:latin typeface="Trebuchet MS"/>
            </a:rPr>
            <a:t>. Depreciations on fixed assets </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Intangible and tangible fixed assets</a:t>
          </a:r>
        </a:p>
        <a:p>
          <a:pPr algn="l" rtl="0">
            <a:defRPr sz="1000"/>
          </a:pPr>
          <a:r>
            <a:rPr lang="nl-NL" sz="1000" b="0" i="0" u="none" strike="noStrike" baseline="0">
              <a:solidFill>
                <a:srgbClr val="000000"/>
              </a:solidFill>
              <a:latin typeface="Trebuchet MS"/>
            </a:rPr>
            <a:t>Although several depreciation schemes are possible, we have chosen for a linear depreciation scheme. The only asset which cannot be depreciated is land, since in most countries this is not allowed by law. For every other asset, a separate depreciation percentage can be filled in. A suggested depreciation scheme is not given. As a consequence, depreciation percentages should be in accordance with the economic life cycle of every asset and/or local legislation. </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As suggestion for depreciation methods the following can be applied:</a:t>
          </a:r>
        </a:p>
        <a:p>
          <a:pPr algn="l" rtl="0">
            <a:defRPr sz="1000"/>
          </a:pPr>
          <a:r>
            <a:rPr lang="nl-NL" sz="1000" b="0" i="0" u="none" strike="noStrike" baseline="0">
              <a:solidFill>
                <a:srgbClr val="000000"/>
              </a:solidFill>
              <a:latin typeface="Trebuchet MS"/>
            </a:rPr>
            <a:t>• Land: Not applicable • Building: 5% • Installations &amp; equipment: 20% • Furniture &amp; fixture: 10% • Vehicles: 20%</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3. Amortization &amp; Provisions for risks and costs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1. Provisions (Structural and economic decrease in value (amounts) are taken for:</a:t>
          </a:r>
        </a:p>
        <a:p>
          <a:pPr algn="l" rtl="0">
            <a:defRPr sz="1000"/>
          </a:pPr>
          <a:r>
            <a:rPr lang="nl-NL" sz="1000" b="0" i="0" u="none" strike="noStrike" baseline="0">
              <a:solidFill>
                <a:srgbClr val="000000"/>
              </a:solidFill>
              <a:latin typeface="Trebuchet MS"/>
            </a:rPr>
            <a:t>Participations   : decrease in value of shares hold in affiliated companies</a:t>
          </a:r>
        </a:p>
        <a:p>
          <a:pPr algn="l" rtl="0">
            <a:defRPr sz="1000"/>
          </a:pPr>
          <a:r>
            <a:rPr lang="nl-NL" sz="1000" b="0" i="0" u="none" strike="noStrike" baseline="0">
              <a:solidFill>
                <a:srgbClr val="000000"/>
              </a:solidFill>
              <a:latin typeface="Trebuchet MS"/>
            </a:rPr>
            <a:t>Stock parts   : obsolete stock</a:t>
          </a:r>
        </a:p>
        <a:p>
          <a:pPr algn="l" rtl="0">
            <a:defRPr sz="1000"/>
          </a:pPr>
          <a:r>
            <a:rPr lang="nl-NL" sz="1000" b="0" i="0" u="none" strike="noStrike" baseline="0">
              <a:solidFill>
                <a:srgbClr val="000000"/>
              </a:solidFill>
              <a:latin typeface="Trebuchet MS"/>
            </a:rPr>
            <a:t>Stock Used Trucks  : obsolete stock</a:t>
          </a:r>
        </a:p>
        <a:p>
          <a:pPr algn="l" rtl="0">
            <a:defRPr sz="1000"/>
          </a:pPr>
          <a:r>
            <a:rPr lang="nl-NL" sz="1000" b="0" i="0" u="none" strike="noStrike" baseline="0">
              <a:solidFill>
                <a:srgbClr val="000000"/>
              </a:solidFill>
              <a:latin typeface="Trebuchet MS"/>
            </a:rPr>
            <a:t>Receivables   : not recoverable receivables/bad debts</a:t>
          </a:r>
        </a:p>
        <a:p>
          <a:pPr algn="l" rtl="0">
            <a:defRPr sz="1000"/>
          </a:pPr>
          <a:r>
            <a:rPr lang="nl-NL" sz="1000" b="0" i="0" u="none" strike="noStrike" baseline="0">
              <a:solidFill>
                <a:srgbClr val="000000"/>
              </a:solidFill>
              <a:latin typeface="Trebuchet MS"/>
            </a:rPr>
            <a:t>2. Costs which are likely to occur in the future, but the exact amount is not known yet. </a:t>
          </a:r>
        </a:p>
        <a:p>
          <a:pPr algn="l" rtl="0">
            <a:defRPr sz="1000"/>
          </a:pPr>
          <a:r>
            <a:rPr lang="nl-NL" sz="1000" b="0" i="0" u="none" strike="noStrike" baseline="0">
              <a:solidFill>
                <a:srgbClr val="000000"/>
              </a:solidFill>
              <a:latin typeface="Trebuchet MS"/>
            </a:rPr>
            <a:t>For example residual value guarantees and long term disputes with tax authorities.</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In case a provision is not needed any longer or recovery, it should be taken back in the running year. </a:t>
          </a:r>
        </a:p>
        <a:p>
          <a:pPr algn="l" rtl="0">
            <a:defRPr sz="1000"/>
          </a:pPr>
          <a:r>
            <a:rPr lang="nl-NL" sz="1000" b="0" i="0" u="none" strike="noStrike" baseline="0">
              <a:solidFill>
                <a:srgbClr val="000000"/>
              </a:solidFill>
              <a:latin typeface="Trebuchet MS"/>
            </a:rPr>
            <a:t>For example:</a:t>
          </a:r>
        </a:p>
        <a:p>
          <a:pPr algn="l" rtl="0">
            <a:defRPr sz="1000"/>
          </a:pPr>
          <a:r>
            <a:rPr lang="nl-NL" sz="1000" b="0" i="0" u="none" strike="noStrike" baseline="0">
              <a:solidFill>
                <a:srgbClr val="000000"/>
              </a:solidFill>
              <a:latin typeface="Trebuchet MS"/>
            </a:rPr>
            <a:t>- provision is made in year 1 = 5.000</a:t>
          </a:r>
        </a:p>
        <a:p>
          <a:pPr algn="l" rtl="0">
            <a:defRPr sz="1000"/>
          </a:pPr>
          <a:r>
            <a:rPr lang="nl-NL" sz="1000" b="0" i="0" u="none" strike="noStrike" baseline="0">
              <a:solidFill>
                <a:srgbClr val="000000"/>
              </a:solidFill>
              <a:latin typeface="Trebuchet MS"/>
            </a:rPr>
            <a:t>- provision has to be taken back in year 3 = -/- 5.000</a:t>
          </a:r>
          <a:endParaRPr lang="nl-NL" sz="1000" b="1" i="0" u="sng" strike="noStrike" baseline="0">
            <a:solidFill>
              <a:srgbClr val="000000"/>
            </a:solidFill>
            <a:latin typeface="Trebuchet MS"/>
          </a:endParaRPr>
        </a:p>
        <a:p>
          <a:pPr algn="l" rtl="0">
            <a:defRPr sz="1000"/>
          </a:pPr>
          <a:endParaRPr lang="nl-NL"/>
        </a:p>
      </xdr:txBody>
    </xdr:sp>
    <xdr:clientData/>
  </xdr:twoCellAnchor>
  <xdr:twoCellAnchor editAs="oneCell">
    <xdr:from>
      <xdr:col>0</xdr:col>
      <xdr:colOff>2692400</xdr:colOff>
      <xdr:row>0</xdr:row>
      <xdr:rowOff>0</xdr:rowOff>
    </xdr:from>
    <xdr:to>
      <xdr:col>1</xdr:col>
      <xdr:colOff>2464</xdr:colOff>
      <xdr:row>0</xdr:row>
      <xdr:rowOff>203200</xdr:rowOff>
    </xdr:to>
    <xdr:pic>
      <xdr:nvPicPr>
        <xdr:cNvPr id="16393" name="CommandButton1">
          <a:extLst>
            <a:ext uri="{FF2B5EF4-FFF2-40B4-BE49-F238E27FC236}">
              <a16:creationId xmlns:a16="http://schemas.microsoft.com/office/drawing/2014/main" xmlns="" id="{00000000-0008-0000-2D00-0000094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0300" y="0"/>
          <a:ext cx="0" cy="203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4</xdr:col>
      <xdr:colOff>266700</xdr:colOff>
      <xdr:row>3</xdr:row>
      <xdr:rowOff>152400</xdr:rowOff>
    </xdr:from>
    <xdr:to>
      <xdr:col>12</xdr:col>
      <xdr:colOff>190500</xdr:colOff>
      <xdr:row>79</xdr:row>
      <xdr:rowOff>95250</xdr:rowOff>
    </xdr:to>
    <xdr:sp macro="" textlink="">
      <xdr:nvSpPr>
        <xdr:cNvPr id="60561" name="MyHelpTekst" hidden="1">
          <a:extLst>
            <a:ext uri="{FF2B5EF4-FFF2-40B4-BE49-F238E27FC236}">
              <a16:creationId xmlns:a16="http://schemas.microsoft.com/office/drawing/2014/main" xmlns="" id="{00000000-0008-0000-2E00-000091EC0000}"/>
            </a:ext>
          </a:extLst>
        </xdr:cNvPr>
        <xdr:cNvSpPr>
          <a:spLocks noChangeArrowheads="1"/>
        </xdr:cNvSpPr>
      </xdr:nvSpPr>
      <xdr:spPr bwMode="auto">
        <a:xfrm>
          <a:off x="3552825" y="1704975"/>
          <a:ext cx="6877050" cy="147542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7.5.1 Financial Income: Requirements</a:t>
          </a:r>
        </a:p>
        <a:p>
          <a:pPr algn="l" rtl="0">
            <a:defRPr sz="1000"/>
          </a:pPr>
          <a:r>
            <a:rPr lang="nl-NL" sz="800" b="1" i="0" u="none" strike="noStrike" baseline="0">
              <a:solidFill>
                <a:srgbClr val="000000"/>
              </a:solidFill>
              <a:latin typeface="Trebuchet MS"/>
            </a:rPr>
            <a:t>The purpose of this section is to determine how much money is needed to finance the business as</a:t>
          </a:r>
        </a:p>
        <a:p>
          <a:pPr algn="l" rtl="0">
            <a:defRPr sz="1000"/>
          </a:pPr>
          <a:r>
            <a:rPr lang="nl-NL" sz="800" b="1" i="0" u="none" strike="noStrike" baseline="0">
              <a:solidFill>
                <a:srgbClr val="000000"/>
              </a:solidFill>
              <a:latin typeface="Trebuchet MS"/>
            </a:rPr>
            <a:t>described in the previous pages. Long term requirements should be financed with long term means</a:t>
          </a:r>
        </a:p>
        <a:p>
          <a:pPr algn="l" rtl="0">
            <a:defRPr sz="1000"/>
          </a:pPr>
          <a:r>
            <a:rPr lang="nl-NL" sz="800" b="1" i="0" u="none" strike="noStrike" baseline="0">
              <a:solidFill>
                <a:srgbClr val="000000"/>
              </a:solidFill>
              <a:latin typeface="Trebuchet MS"/>
            </a:rPr>
            <a:t>and short term requirements should be financed with short term means.</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Long term requirements (after depreciations)</a:t>
          </a:r>
        </a:p>
        <a:p>
          <a:pPr algn="l" rtl="0">
            <a:defRPr sz="1000"/>
          </a:pPr>
          <a:r>
            <a:rPr lang="nl-NL" sz="800" b="1" i="0" u="none" strike="noStrike" baseline="0">
              <a:solidFill>
                <a:srgbClr val="000000"/>
              </a:solidFill>
              <a:latin typeface="Trebuchet MS"/>
            </a:rPr>
            <a:t>In this module all fields are calculated fields.</a:t>
          </a:r>
        </a:p>
        <a:p>
          <a:pPr algn="l" rtl="0">
            <a:defRPr sz="1000"/>
          </a:pPr>
          <a:r>
            <a:rPr lang="nl-NL" sz="800" b="1" i="0" u="none" strike="noStrike" baseline="0">
              <a:solidFill>
                <a:srgbClr val="000000"/>
              </a:solidFill>
              <a:latin typeface="Trebuchet MS"/>
            </a:rPr>
            <a:t>New dealer: The opening balance applies to new dealers only and reflects the assets brought into the</a:t>
          </a:r>
        </a:p>
        <a:p>
          <a:pPr algn="l" rtl="0">
            <a:defRPr sz="1000"/>
          </a:pPr>
          <a:r>
            <a:rPr lang="nl-NL" sz="800" b="1" i="0" u="none" strike="noStrike" baseline="0">
              <a:solidFill>
                <a:srgbClr val="000000"/>
              </a:solidFill>
              <a:latin typeface="Trebuchet MS"/>
            </a:rPr>
            <a:t>company at the time of the set up. At the bottom of the page is determined how much capital this</a:t>
          </a:r>
        </a:p>
        <a:p>
          <a:pPr algn="l" rtl="0">
            <a:defRPr sz="1000"/>
          </a:pPr>
          <a:r>
            <a:rPr lang="nl-NL" sz="800" b="1" i="0" u="none" strike="noStrike" baseline="0">
              <a:solidFill>
                <a:srgbClr val="000000"/>
              </a:solidFill>
              <a:latin typeface="Trebuchet MS"/>
            </a:rPr>
            <a:t>requires. When assets are brought in the company instead of cash, this should be reflected</a:t>
          </a:r>
        </a:p>
        <a:p>
          <a:pPr algn="l" rtl="0">
            <a:defRPr sz="1000"/>
          </a:pPr>
          <a:r>
            <a:rPr lang="nl-NL" sz="800" b="1" i="0" u="none" strike="noStrike" baseline="0">
              <a:solidFill>
                <a:srgbClr val="000000"/>
              </a:solidFill>
              <a:latin typeface="Trebuchet MS"/>
            </a:rPr>
            <a:t>immediately in the capital paid in on the liabilities side of the balance sheet. This is not done</a:t>
          </a:r>
        </a:p>
        <a:p>
          <a:pPr algn="l" rtl="0">
            <a:defRPr sz="1000"/>
          </a:pPr>
          <a:r>
            <a:rPr lang="nl-NL" sz="800" b="1" i="0" u="none" strike="noStrike" baseline="0">
              <a:solidFill>
                <a:srgbClr val="000000"/>
              </a:solidFill>
              <a:latin typeface="Trebuchet MS"/>
            </a:rPr>
            <a:t>automatically, but there is a warning sign in sheet [7.5.2 Financial Income &amp; Expenses] in case</a:t>
          </a:r>
        </a:p>
        <a:p>
          <a:pPr algn="l" rtl="0">
            <a:defRPr sz="1000"/>
          </a:pPr>
          <a:r>
            <a:rPr lang="nl-NL" sz="800" b="1" i="0" u="none" strike="noStrike" baseline="0">
              <a:solidFill>
                <a:srgbClr val="000000"/>
              </a:solidFill>
              <a:latin typeface="Trebuchet MS"/>
            </a:rPr>
            <a:t>funding is insufficient.</a:t>
          </a:r>
        </a:p>
        <a:p>
          <a:pPr algn="l" rtl="0">
            <a:defRPr sz="1000"/>
          </a:pPr>
          <a:r>
            <a:rPr lang="nl-NL" sz="800" b="1" i="0" u="none" strike="noStrike" baseline="0">
              <a:solidFill>
                <a:srgbClr val="000000"/>
              </a:solidFill>
              <a:latin typeface="Trebuchet MS"/>
            </a:rPr>
            <a:t>Investments made in the first year of the business plan are added to determine the total required in</a:t>
          </a:r>
        </a:p>
        <a:p>
          <a:pPr algn="l" rtl="0">
            <a:defRPr sz="1000"/>
          </a:pPr>
          <a:r>
            <a:rPr lang="nl-NL" sz="800" b="1" i="0" u="none" strike="noStrike" baseline="0">
              <a:solidFill>
                <a:srgbClr val="000000"/>
              </a:solidFill>
              <a:latin typeface="Trebuchet MS"/>
            </a:rPr>
            <a:t>the first year.</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Existing dealer: The first year of the business plan should represent the financing required in the last</a:t>
          </a:r>
        </a:p>
        <a:p>
          <a:pPr algn="l" rtl="0">
            <a:defRPr sz="1000"/>
          </a:pPr>
          <a:r>
            <a:rPr lang="nl-NL" sz="800" b="1" i="0" u="none" strike="noStrike" baseline="0">
              <a:solidFill>
                <a:srgbClr val="000000"/>
              </a:solidFill>
              <a:latin typeface="Trebuchet MS"/>
            </a:rPr>
            <a:t>fiscal year.</a:t>
          </a:r>
        </a:p>
        <a:p>
          <a:pPr algn="l" rtl="0">
            <a:defRPr sz="1000"/>
          </a:pPr>
          <a:r>
            <a:rPr lang="nl-NL" sz="800" b="1" i="0" u="none" strike="noStrike" baseline="0">
              <a:solidFill>
                <a:srgbClr val="000000"/>
              </a:solidFill>
              <a:latin typeface="Trebuchet MS"/>
            </a:rPr>
            <a:t>Assumption: The yearly initial stock of parts and used trucks is considered long term (= 1 year) and</a:t>
          </a:r>
        </a:p>
        <a:p>
          <a:pPr algn="l" rtl="0">
            <a:defRPr sz="1000"/>
          </a:pPr>
          <a:r>
            <a:rPr lang="nl-NL" sz="800" b="1" i="0" u="none" strike="noStrike" baseline="0">
              <a:solidFill>
                <a:srgbClr val="000000"/>
              </a:solidFill>
              <a:latin typeface="Trebuchet MS"/>
            </a:rPr>
            <a:t>the change in stock is corrected on a short term basis (&lt; 1 year).</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Short term requirements (after depreciations)</a:t>
          </a:r>
        </a:p>
        <a:p>
          <a:pPr algn="l" rtl="0">
            <a:defRPr sz="1000"/>
          </a:pPr>
          <a:r>
            <a:rPr lang="nl-NL" sz="800" b="1" i="0" u="none" strike="noStrike" baseline="0">
              <a:solidFill>
                <a:srgbClr val="000000"/>
              </a:solidFill>
              <a:latin typeface="Trebuchet MS"/>
            </a:rPr>
            <a:t>The term depreciations refer to doubtful debtors and/or obsolete stock.</a:t>
          </a:r>
        </a:p>
        <a:p>
          <a:pPr algn="l" rtl="0">
            <a:defRPr sz="1000"/>
          </a:pPr>
          <a:r>
            <a:rPr lang="nl-NL" sz="800" b="1" i="0" u="none" strike="noStrike" baseline="0">
              <a:solidFill>
                <a:srgbClr val="000000"/>
              </a:solidFill>
              <a:latin typeface="Trebuchet MS"/>
            </a:rPr>
            <a:t>This module gives a detailed analysis of the working capital requirements.</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2.1 Trade receivables</a:t>
          </a:r>
        </a:p>
        <a:p>
          <a:pPr algn="l" rtl="0">
            <a:defRPr sz="1000"/>
          </a:pPr>
          <a:r>
            <a:rPr lang="nl-NL" sz="800" b="1" i="0" u="none" strike="noStrike" baseline="0">
              <a:solidFill>
                <a:srgbClr val="000000"/>
              </a:solidFill>
              <a:latin typeface="Trebuchet MS"/>
            </a:rPr>
            <a:t>Definition of days of sales outstanding (DSO): number of days between day of sales and value date of</a:t>
          </a:r>
        </a:p>
        <a:p>
          <a:pPr algn="l" rtl="0">
            <a:defRPr sz="1000"/>
          </a:pPr>
          <a:r>
            <a:rPr lang="nl-NL" sz="800" b="1" i="0" u="none" strike="noStrike" baseline="0">
              <a:solidFill>
                <a:srgbClr val="000000"/>
              </a:solidFill>
              <a:latin typeface="Trebuchet MS"/>
            </a:rPr>
            <a:t>payments received on your bank account.</a:t>
          </a:r>
        </a:p>
        <a:p>
          <a:pPr algn="l" rtl="0">
            <a:defRPr sz="1000"/>
          </a:pPr>
          <a:r>
            <a:rPr lang="nl-NL" sz="800" b="1" i="0" u="none" strike="noStrike" baseline="0">
              <a:solidFill>
                <a:srgbClr val="000000"/>
              </a:solidFill>
              <a:latin typeface="Trebuchet MS"/>
            </a:rPr>
            <a:t>Example: Days</a:t>
          </a:r>
        </a:p>
        <a:p>
          <a:pPr algn="l" rtl="0">
            <a:defRPr sz="1000"/>
          </a:pPr>
          <a:r>
            <a:rPr lang="nl-NL" sz="800" b="1" i="0" u="none" strike="noStrike" baseline="0">
              <a:solidFill>
                <a:srgbClr val="000000"/>
              </a:solidFill>
              <a:latin typeface="Trebuchet MS"/>
            </a:rPr>
            <a:t>Days between sales and invoice 5</a:t>
          </a:r>
        </a:p>
        <a:p>
          <a:pPr algn="l" rtl="0">
            <a:defRPr sz="1000"/>
          </a:pPr>
          <a:r>
            <a:rPr lang="nl-NL" sz="800" b="1" i="0" u="none" strike="noStrike" baseline="0">
              <a:solidFill>
                <a:srgbClr val="000000"/>
              </a:solidFill>
              <a:latin typeface="Trebuchet MS"/>
            </a:rPr>
            <a:t>Credit term 30</a:t>
          </a:r>
        </a:p>
        <a:p>
          <a:pPr algn="l" rtl="0">
            <a:defRPr sz="1000"/>
          </a:pPr>
          <a:r>
            <a:rPr lang="nl-NL" sz="800" b="1" i="0" u="none" strike="noStrike" baseline="0">
              <a:solidFill>
                <a:srgbClr val="000000"/>
              </a:solidFill>
              <a:latin typeface="Trebuchet MS"/>
            </a:rPr>
            <a:t>Overdue 10</a:t>
          </a:r>
        </a:p>
        <a:p>
          <a:pPr algn="l" rtl="0">
            <a:defRPr sz="1000"/>
          </a:pPr>
          <a:r>
            <a:rPr lang="nl-NL" sz="800" b="1" i="0" u="none" strike="noStrike" baseline="0">
              <a:solidFill>
                <a:srgbClr val="000000"/>
              </a:solidFill>
              <a:latin typeface="Trebuchet MS"/>
            </a:rPr>
            <a:t>DSO 45</a:t>
          </a:r>
        </a:p>
        <a:p>
          <a:pPr algn="l" rtl="0">
            <a:defRPr sz="1000"/>
          </a:pPr>
          <a:r>
            <a:rPr lang="nl-NL" sz="800" b="1" i="0" u="none" strike="noStrike" baseline="0">
              <a:solidFill>
                <a:srgbClr val="000000"/>
              </a:solidFill>
              <a:latin typeface="Trebuchet MS"/>
            </a:rPr>
            <a:t>Taking into account the diversity of credit given to customers, the terms for all categories of services</a:t>
          </a:r>
        </a:p>
        <a:p>
          <a:pPr algn="l" rtl="0">
            <a:defRPr sz="1000"/>
          </a:pPr>
          <a:r>
            <a:rPr lang="nl-NL" sz="800" b="1" i="0" u="none" strike="noStrike" baseline="0">
              <a:solidFill>
                <a:srgbClr val="000000"/>
              </a:solidFill>
              <a:latin typeface="Trebuchet MS"/>
            </a:rPr>
            <a:t>and products have to be filled in.</a:t>
          </a:r>
        </a:p>
        <a:p>
          <a:pPr algn="l" rtl="0">
            <a:defRPr sz="1000"/>
          </a:pPr>
          <a:r>
            <a:rPr lang="nl-NL" sz="800" b="1" i="0" u="none" strike="noStrike" baseline="0">
              <a:solidFill>
                <a:srgbClr val="000000"/>
              </a:solidFill>
              <a:latin typeface="Trebuchet MS"/>
            </a:rPr>
            <a:t>There is also the possibility to change the DSO per year. The DSO entered in the basis year is</a:t>
          </a:r>
        </a:p>
        <a:p>
          <a:pPr algn="l" rtl="0">
            <a:defRPr sz="1000"/>
          </a:pPr>
          <a:r>
            <a:rPr lang="nl-NL" sz="800" b="1" i="0" u="none" strike="noStrike" baseline="0">
              <a:solidFill>
                <a:srgbClr val="000000"/>
              </a:solidFill>
              <a:latin typeface="Trebuchet MS"/>
            </a:rPr>
            <a:t>automatically copied to the other years but may be overwritten.</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2.2 Inventories</a:t>
          </a:r>
        </a:p>
        <a:p>
          <a:pPr algn="l" rtl="0">
            <a:defRPr sz="1000"/>
          </a:pPr>
          <a:r>
            <a:rPr lang="nl-NL" sz="800" b="1" i="0" u="none" strike="noStrike" baseline="0">
              <a:solidFill>
                <a:srgbClr val="000000"/>
              </a:solidFill>
              <a:latin typeface="Trebuchet MS"/>
            </a:rPr>
            <a:t>This module focuses on stock financing.</a:t>
          </a:r>
        </a:p>
        <a:p>
          <a:pPr algn="l" rtl="0">
            <a:defRPr sz="1000"/>
          </a:pPr>
          <a:r>
            <a:rPr lang="nl-NL" sz="800" b="1" i="0" u="none" strike="noStrike" baseline="0">
              <a:solidFill>
                <a:srgbClr val="000000"/>
              </a:solidFill>
              <a:latin typeface="Trebuchet MS"/>
            </a:rPr>
            <a:t>Days on hand (DOH): Number of days a new truck and other products are in stock or WIP (work in</a:t>
          </a:r>
        </a:p>
        <a:p>
          <a:pPr algn="l" rtl="0">
            <a:defRPr sz="1000"/>
          </a:pPr>
          <a:r>
            <a:rPr lang="nl-NL" sz="800" b="1" i="0" u="none" strike="noStrike" baseline="0">
              <a:solidFill>
                <a:srgbClr val="000000"/>
              </a:solidFill>
              <a:latin typeface="Trebuchet MS"/>
            </a:rPr>
            <a:t>progress).</a:t>
          </a:r>
        </a:p>
        <a:p>
          <a:pPr algn="l" rtl="0">
            <a:defRPr sz="1000"/>
          </a:pPr>
          <a:r>
            <a:rPr lang="nl-NL" sz="800" b="1" i="0" u="none" strike="noStrike" baseline="0">
              <a:solidFill>
                <a:srgbClr val="000000"/>
              </a:solidFill>
              <a:latin typeface="Trebuchet MS"/>
            </a:rPr>
            <a:t>The possibility exists to change the DOH per year. The DOH entered in the basis year is automatically</a:t>
          </a:r>
        </a:p>
        <a:p>
          <a:pPr algn="l" rtl="0">
            <a:defRPr sz="1000"/>
          </a:pPr>
          <a:r>
            <a:rPr lang="nl-NL" sz="800" b="1" i="0" u="none" strike="noStrike" baseline="0">
              <a:solidFill>
                <a:srgbClr val="000000"/>
              </a:solidFill>
              <a:latin typeface="Trebuchet MS"/>
            </a:rPr>
            <a:t>copied to the other years but may be overwritten.</a:t>
          </a:r>
        </a:p>
        <a:p>
          <a:pPr algn="l" rtl="0">
            <a:defRPr sz="1000"/>
          </a:pPr>
          <a:r>
            <a:rPr lang="nl-NL" sz="800" b="1" i="0" u="none" strike="noStrike" baseline="0">
              <a:solidFill>
                <a:srgbClr val="000000"/>
              </a:solidFill>
              <a:latin typeface="Trebuchet MS"/>
            </a:rPr>
            <a:t>This module also has the assumption explained in 7.5.2: The yearly initial stock of parts and used</a:t>
          </a:r>
        </a:p>
        <a:p>
          <a:pPr algn="l" rtl="0">
            <a:defRPr sz="1000"/>
          </a:pPr>
          <a:r>
            <a:rPr lang="nl-NL" sz="800" b="1" i="0" u="none" strike="noStrike" baseline="0">
              <a:solidFill>
                <a:srgbClr val="000000"/>
              </a:solidFill>
              <a:latin typeface="Trebuchet MS"/>
            </a:rPr>
            <a:t>trucks is considered long term (= 1 year) and the change in stock is corrected on a short term basis</a:t>
          </a:r>
        </a:p>
        <a:p>
          <a:pPr algn="l" rtl="0">
            <a:defRPr sz="1000"/>
          </a:pPr>
          <a:r>
            <a:rPr lang="nl-NL" sz="800" b="1" i="0" u="none" strike="noStrike" baseline="0">
              <a:solidFill>
                <a:srgbClr val="000000"/>
              </a:solidFill>
              <a:latin typeface="Trebuchet MS"/>
            </a:rPr>
            <a:t>(&lt; 1 year). This means that only the change of stock in parts and used trucks is considered to be a</a:t>
          </a:r>
        </a:p>
        <a:p>
          <a:pPr algn="l" rtl="0">
            <a:defRPr sz="1000"/>
          </a:pPr>
          <a:r>
            <a:rPr lang="nl-NL" sz="800" b="1" i="0" u="none" strike="noStrike" baseline="0">
              <a:solidFill>
                <a:srgbClr val="000000"/>
              </a:solidFill>
              <a:latin typeface="Trebuchet MS"/>
            </a:rPr>
            <a:t>short term requirement. The assumption does not apply for new trucks and other products.</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2.3 Trade payables</a:t>
          </a:r>
        </a:p>
        <a:p>
          <a:pPr algn="l" rtl="0">
            <a:defRPr sz="1000"/>
          </a:pPr>
          <a:r>
            <a:rPr lang="nl-NL" sz="800" b="1" i="0" u="none" strike="noStrike" baseline="0">
              <a:solidFill>
                <a:srgbClr val="000000"/>
              </a:solidFill>
              <a:latin typeface="Trebuchet MS"/>
            </a:rPr>
            <a:t>Days of payables outstanding (DPO): number of days between day of invoice and value date of</a:t>
          </a:r>
        </a:p>
        <a:p>
          <a:pPr algn="l" rtl="0">
            <a:defRPr sz="1000"/>
          </a:pPr>
          <a:r>
            <a:rPr lang="nl-NL" sz="800" b="1" i="0" u="none" strike="noStrike" baseline="0">
              <a:solidFill>
                <a:srgbClr val="000000"/>
              </a:solidFill>
              <a:latin typeface="Trebuchet MS"/>
            </a:rPr>
            <a:t>payment from your bank account.</a:t>
          </a:r>
        </a:p>
        <a:p>
          <a:pPr algn="l" rtl="0">
            <a:defRPr sz="1000"/>
          </a:pPr>
          <a:r>
            <a:rPr lang="nl-NL" sz="800" b="1" i="0" u="none" strike="noStrike" baseline="0">
              <a:solidFill>
                <a:srgbClr val="000000"/>
              </a:solidFill>
              <a:latin typeface="Trebuchet MS"/>
            </a:rPr>
            <a:t>Example :</a:t>
          </a:r>
        </a:p>
        <a:p>
          <a:pPr algn="l" rtl="0">
            <a:defRPr sz="1000"/>
          </a:pPr>
          <a:r>
            <a:rPr lang="nl-NL" sz="800" b="1" i="0" u="none" strike="noStrike" baseline="0">
              <a:solidFill>
                <a:srgbClr val="000000"/>
              </a:solidFill>
              <a:latin typeface="Trebuchet MS"/>
            </a:rPr>
            <a:t>                                                                                   Days</a:t>
          </a:r>
        </a:p>
        <a:p>
          <a:pPr algn="l" rtl="0">
            <a:defRPr sz="1000"/>
          </a:pPr>
          <a:r>
            <a:rPr lang="nl-NL" sz="800" b="1" i="0" u="none" strike="noStrike" baseline="0">
              <a:solidFill>
                <a:srgbClr val="000000"/>
              </a:solidFill>
              <a:latin typeface="Trebuchet MS"/>
            </a:rPr>
            <a:t>Days of credit on invoice                                       30</a:t>
          </a:r>
        </a:p>
        <a:p>
          <a:pPr algn="l" rtl="0">
            <a:defRPr sz="1000"/>
          </a:pPr>
          <a:r>
            <a:rPr lang="nl-NL" sz="800" b="1" i="0" u="none" strike="noStrike" baseline="0">
              <a:solidFill>
                <a:srgbClr val="000000"/>
              </a:solidFill>
              <a:latin typeface="Trebuchet MS"/>
            </a:rPr>
            <a:t>Payment on day 29                                                   -1</a:t>
          </a:r>
        </a:p>
        <a:p>
          <a:pPr algn="l" rtl="0">
            <a:defRPr sz="1000"/>
          </a:pPr>
          <a:r>
            <a:rPr lang="nl-NL" sz="800" b="1" i="0" u="none" strike="noStrike" baseline="0">
              <a:solidFill>
                <a:srgbClr val="000000"/>
              </a:solidFill>
              <a:latin typeface="Trebuchet MS"/>
            </a:rPr>
            <a:t>Total DPO                                                                   29</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Taking into account the diversity of credit received from suppliers, the terms for all categories of</a:t>
          </a:r>
        </a:p>
        <a:p>
          <a:pPr algn="l" rtl="0">
            <a:defRPr sz="1000"/>
          </a:pPr>
          <a:r>
            <a:rPr lang="nl-NL" sz="800" b="1" i="0" u="none" strike="noStrike" baseline="0">
              <a:solidFill>
                <a:srgbClr val="000000"/>
              </a:solidFill>
              <a:latin typeface="Trebuchet MS"/>
            </a:rPr>
            <a:t>services and products have to be filled in.</a:t>
          </a:r>
        </a:p>
        <a:p>
          <a:pPr algn="l" rtl="0">
            <a:defRPr sz="1000"/>
          </a:pPr>
          <a:r>
            <a:rPr lang="nl-NL" sz="800" b="1" i="0" u="none" strike="noStrike" baseline="0">
              <a:solidFill>
                <a:srgbClr val="000000"/>
              </a:solidFill>
              <a:latin typeface="Trebuchet MS"/>
            </a:rPr>
            <a:t>There is also the possibility to change the DPO per year. The DPO entered in the basis year is</a:t>
          </a:r>
        </a:p>
        <a:p>
          <a:pPr algn="l" rtl="0">
            <a:defRPr sz="1000"/>
          </a:pPr>
          <a:r>
            <a:rPr lang="nl-NL" sz="800" b="1" i="0" u="none" strike="noStrike" baseline="0">
              <a:solidFill>
                <a:srgbClr val="000000"/>
              </a:solidFill>
              <a:latin typeface="Trebuchet MS"/>
            </a:rPr>
            <a:t>automatically copied to the other years but may be overwritten.</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2.4 VAT on investments (and part of the outstanding amounts to be paid)</a:t>
          </a:r>
        </a:p>
        <a:p>
          <a:pPr algn="l" rtl="0">
            <a:defRPr sz="1000"/>
          </a:pPr>
          <a:r>
            <a:rPr lang="nl-NL" sz="800" b="1" i="0" u="none" strike="noStrike" baseline="0">
              <a:solidFill>
                <a:srgbClr val="000000"/>
              </a:solidFill>
              <a:latin typeface="Trebuchet MS"/>
            </a:rPr>
            <a:t>Investments are financed by long term means in this format. The VAT meant here is the VAT part in</a:t>
          </a:r>
        </a:p>
        <a:p>
          <a:pPr algn="l" rtl="0">
            <a:defRPr sz="1000"/>
          </a:pPr>
          <a:r>
            <a:rPr lang="nl-NL" sz="800" b="1" i="0" u="none" strike="noStrike" baseline="0">
              <a:solidFill>
                <a:srgbClr val="000000"/>
              </a:solidFill>
              <a:latin typeface="Trebuchet MS"/>
            </a:rPr>
            <a:t>the amount to be paid to the supplier, not the VAT to be paid or recovered to the authorities.</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2.5 Total short term requirements</a:t>
          </a:r>
        </a:p>
        <a:p>
          <a:pPr algn="l" rtl="0">
            <a:defRPr sz="1000"/>
          </a:pPr>
          <a:r>
            <a:rPr lang="nl-NL" sz="800" b="1" i="0" u="none" strike="noStrike" baseline="0">
              <a:solidFill>
                <a:srgbClr val="000000"/>
              </a:solidFill>
              <a:latin typeface="Trebuchet MS"/>
            </a:rPr>
            <a:t>Gives a summary of the short term requirements:</a:t>
          </a:r>
        </a:p>
        <a:p>
          <a:pPr algn="l" rtl="0">
            <a:defRPr sz="1000"/>
          </a:pPr>
          <a:r>
            <a:rPr lang="nl-NL" sz="800" b="1" i="0" u="none" strike="noStrike" baseline="0">
              <a:solidFill>
                <a:srgbClr val="000000"/>
              </a:solidFill>
              <a:latin typeface="Trebuchet MS"/>
            </a:rPr>
            <a:t>Change in inventory : if the value of the stock increases, the funding requirements increase as well</a:t>
          </a:r>
        </a:p>
        <a:p>
          <a:pPr algn="l" rtl="0">
            <a:defRPr sz="1000"/>
          </a:pPr>
          <a:r>
            <a:rPr lang="nl-NL" sz="800" b="1" i="0" u="none" strike="noStrike" baseline="0">
              <a:solidFill>
                <a:srgbClr val="000000"/>
              </a:solidFill>
              <a:latin typeface="Trebuchet MS"/>
            </a:rPr>
            <a:t>Total trade receivables : the trade receivables increase the funding requirements</a:t>
          </a:r>
        </a:p>
        <a:p>
          <a:pPr algn="l" rtl="0">
            <a:defRPr sz="1000"/>
          </a:pPr>
          <a:r>
            <a:rPr lang="nl-NL" sz="800" b="1" i="0" u="none" strike="noStrike" baseline="0">
              <a:solidFill>
                <a:srgbClr val="000000"/>
              </a:solidFill>
              <a:latin typeface="Trebuchet MS"/>
            </a:rPr>
            <a:t>Total trade payables : trade payables are a kind of financing and therefore decrease the funding</a:t>
          </a:r>
        </a:p>
        <a:p>
          <a:pPr algn="l" rtl="0">
            <a:defRPr sz="1000"/>
          </a:pPr>
          <a:r>
            <a:rPr lang="nl-NL" sz="800" b="1" i="0" u="none" strike="noStrike" baseline="0">
              <a:solidFill>
                <a:srgbClr val="000000"/>
              </a:solidFill>
              <a:latin typeface="Trebuchet MS"/>
            </a:rPr>
            <a:t>requirements</a:t>
          </a:r>
        </a:p>
        <a:p>
          <a:pPr algn="l" rtl="0">
            <a:defRPr sz="1000"/>
          </a:pPr>
          <a:r>
            <a:rPr lang="nl-NL" sz="800" b="1" i="0" u="none" strike="noStrike" baseline="0">
              <a:solidFill>
                <a:srgbClr val="000000"/>
              </a:solidFill>
              <a:latin typeface="Trebuchet MS"/>
            </a:rPr>
            <a:t>VAT on investments : trade payable, so decreasing the funding requirements</a:t>
          </a:r>
        </a:p>
        <a:p>
          <a:pPr algn="l" rtl="0">
            <a:defRPr sz="1000"/>
          </a:pPr>
          <a:r>
            <a:rPr lang="nl-NL" sz="800" b="1" i="0" u="none" strike="noStrike" baseline="0">
              <a:solidFill>
                <a:srgbClr val="000000"/>
              </a:solidFill>
              <a:latin typeface="Trebuchet MS"/>
            </a:rPr>
            <a:t>VAT balance : see 7.5.3</a:t>
          </a:r>
        </a:p>
        <a:p>
          <a:pPr algn="l" rtl="0">
            <a:defRPr sz="1000"/>
          </a:pPr>
          <a:r>
            <a:rPr lang="nl-NL" sz="800" b="1" i="0" u="none" strike="noStrike" baseline="0">
              <a:solidFill>
                <a:srgbClr val="000000"/>
              </a:solidFill>
              <a:latin typeface="Trebuchet MS"/>
            </a:rPr>
            <a:t>Cash : if additional cash is required for day–to-day payment obligations, this can be</a:t>
          </a:r>
        </a:p>
        <a:p>
          <a:pPr algn="l" rtl="0">
            <a:defRPr sz="1000"/>
          </a:pPr>
          <a:r>
            <a:rPr lang="nl-NL" sz="800" b="1" i="0" u="none" strike="noStrike" baseline="0">
              <a:solidFill>
                <a:srgbClr val="000000"/>
              </a:solidFill>
              <a:latin typeface="Trebuchet MS"/>
            </a:rPr>
            <a:t>entered here and this increases the funding requirements</a:t>
          </a:r>
        </a:p>
        <a:p>
          <a:pPr algn="l" rtl="0">
            <a:defRPr sz="1000"/>
          </a:pPr>
          <a:r>
            <a:rPr lang="nl-NL" sz="800" b="1" i="0" u="none" strike="noStrike" baseline="0">
              <a:solidFill>
                <a:srgbClr val="000000"/>
              </a:solidFill>
              <a:latin typeface="Trebuchet MS"/>
            </a:rPr>
            <a:t>Dividends : in case the company makes a profit and it is decided to pay dividends to the</a:t>
          </a:r>
        </a:p>
        <a:p>
          <a:pPr algn="l" rtl="0">
            <a:defRPr sz="1000"/>
          </a:pPr>
          <a:r>
            <a:rPr lang="nl-NL" sz="800" b="1" i="0" u="none" strike="noStrike" baseline="0">
              <a:solidFill>
                <a:srgbClr val="000000"/>
              </a:solidFill>
              <a:latin typeface="Trebuchet MS"/>
            </a:rPr>
            <a:t>shareholders, the payment needs to be financed [7.7. Profit &amp; Loss Account]</a:t>
          </a:r>
        </a:p>
        <a:p>
          <a:pPr algn="l" rtl="0">
            <a:defRPr sz="1000"/>
          </a:pPr>
          <a:r>
            <a:rPr lang="nl-NL" sz="800" b="1" i="0" u="none" strike="noStrike" baseline="0">
              <a:solidFill>
                <a:srgbClr val="000000"/>
              </a:solidFill>
              <a:latin typeface="Trebuchet MS"/>
            </a:rPr>
            <a:t>The balance of the short term requirements and sources out of operational means, gives the short</a:t>
          </a:r>
        </a:p>
        <a:p>
          <a:pPr algn="l" rtl="0">
            <a:defRPr sz="1000"/>
          </a:pPr>
          <a:r>
            <a:rPr lang="nl-NL" sz="800" b="1" i="0" u="none" strike="noStrike" baseline="0">
              <a:solidFill>
                <a:srgbClr val="000000"/>
              </a:solidFill>
              <a:latin typeface="Trebuchet MS"/>
            </a:rPr>
            <a:t>term requirements to be financed or the abundance of short term means (=cash).</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endParaRPr lang="nl-NL"/>
        </a:p>
      </xdr:txBody>
    </xdr:sp>
    <xdr:clientData/>
  </xdr:twoCellAnchor>
  <xdr:twoCellAnchor editAs="oneCell">
    <xdr:from>
      <xdr:col>1</xdr:col>
      <xdr:colOff>1701800</xdr:colOff>
      <xdr:row>0</xdr:row>
      <xdr:rowOff>101600</xdr:rowOff>
    </xdr:from>
    <xdr:to>
      <xdr:col>2</xdr:col>
      <xdr:colOff>76200</xdr:colOff>
      <xdr:row>1</xdr:row>
      <xdr:rowOff>546</xdr:rowOff>
    </xdr:to>
    <xdr:pic>
      <xdr:nvPicPr>
        <xdr:cNvPr id="116737" name="CommandButton1">
          <a:extLst>
            <a:ext uri="{FF2B5EF4-FFF2-40B4-BE49-F238E27FC236}">
              <a16:creationId xmlns:a16="http://schemas.microsoft.com/office/drawing/2014/main" xmlns="" id="{00000000-0008-0000-2E00-000001C8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9100" y="101600"/>
          <a:ext cx="76200" cy="2540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3</xdr:col>
      <xdr:colOff>133350</xdr:colOff>
      <xdr:row>7</xdr:row>
      <xdr:rowOff>114300</xdr:rowOff>
    </xdr:from>
    <xdr:to>
      <xdr:col>12</xdr:col>
      <xdr:colOff>9525</xdr:colOff>
      <xdr:row>82</xdr:row>
      <xdr:rowOff>180975</xdr:rowOff>
    </xdr:to>
    <xdr:sp macro="" textlink="">
      <xdr:nvSpPr>
        <xdr:cNvPr id="60561" name="MyHelpTekst" hidden="1">
          <a:extLst>
            <a:ext uri="{FF2B5EF4-FFF2-40B4-BE49-F238E27FC236}">
              <a16:creationId xmlns:a16="http://schemas.microsoft.com/office/drawing/2014/main" xmlns="" id="{00000000-0008-0000-2F00-000091EC0000}"/>
            </a:ext>
          </a:extLst>
        </xdr:cNvPr>
        <xdr:cNvSpPr>
          <a:spLocks noChangeArrowheads="1"/>
        </xdr:cNvSpPr>
      </xdr:nvSpPr>
      <xdr:spPr bwMode="auto">
        <a:xfrm>
          <a:off x="3552825" y="1704975"/>
          <a:ext cx="6877050" cy="147542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7.5.2 Financial Income &amp; Expenses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Summary funding requirements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this module all fields are calculated fields.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New dealer: The opening balance applies to new dealers only and reflects the capital required for the assets brought into the company at the time of the set up. The short term requirements always equal zero.</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Investments made in the first year of the business plan are added to determine the total funding requirement in the first year.</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Existing dealer: The basis year of the business plan should represent the financing required during the last fiscal year.</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Long term funding</a:t>
          </a: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2.1. Equity &amp; associated means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Opening balance: only applies to new dealers. A distinction is made between:</a:t>
          </a:r>
        </a:p>
        <a:p>
          <a:pPr algn="l" rtl="0">
            <a:defRPr sz="1000"/>
          </a:pPr>
          <a:r>
            <a:rPr lang="nl-NL" sz="800" b="0" i="0" u="none" strike="noStrike" baseline="0">
              <a:solidFill>
                <a:srgbClr val="000000"/>
              </a:solidFill>
              <a:latin typeface="Trebuchet MS"/>
            </a:rPr>
            <a:t>- paid-in-capital  : minimum required and/or paid in capital</a:t>
          </a:r>
        </a:p>
        <a:p>
          <a:pPr algn="l" rtl="0">
            <a:defRPr sz="1000"/>
          </a:pPr>
          <a:r>
            <a:rPr lang="nl-NL" sz="800" b="0" i="0" u="none" strike="noStrike" baseline="0">
              <a:solidFill>
                <a:srgbClr val="000000"/>
              </a:solidFill>
              <a:latin typeface="Trebuchet MS"/>
            </a:rPr>
            <a:t>- subordinated loans : a loan which is placed in a higher rank than a normal loan but in a lower rank </a:t>
          </a:r>
        </a:p>
        <a:p>
          <a:pPr algn="l" rtl="0">
            <a:defRPr sz="1000"/>
          </a:pPr>
          <a:r>
            <a:rPr lang="nl-NL" sz="800" b="0" i="0" u="none" strike="noStrike" baseline="0">
              <a:solidFill>
                <a:srgbClr val="000000"/>
              </a:solidFill>
              <a:latin typeface="Trebuchet MS"/>
            </a:rPr>
            <a:t>than paid-in-capital. Only when the loan is subordinated to all creditors the loan can be addressed to the shareholders’ equity. If the loan is subordinated to the bank the loan can be addressed long term liabilities.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Explanations :</a:t>
          </a:r>
        </a:p>
        <a:p>
          <a:pPr algn="l" rtl="0">
            <a:defRPr sz="1000"/>
          </a:pPr>
          <a:r>
            <a:rPr lang="nl-NL" sz="800" b="0" i="0" u="none" strike="noStrike" baseline="0">
              <a:solidFill>
                <a:srgbClr val="000000"/>
              </a:solidFill>
              <a:latin typeface="Trebuchet MS"/>
            </a:rPr>
            <a:t>Difference between reserves and retained earnings/losses: see [7.7 Profit &amp; Loss Account]</a:t>
          </a:r>
        </a:p>
        <a:p>
          <a:pPr algn="l" rtl="0">
            <a:defRPr sz="1000"/>
          </a:pPr>
          <a:r>
            <a:rPr lang="nl-NL" sz="800" b="0" i="0" u="none" strike="noStrike" baseline="0">
              <a:solidFill>
                <a:srgbClr val="000000"/>
              </a:solidFill>
              <a:latin typeface="Trebuchet MS"/>
            </a:rPr>
            <a:t>Revaluation reserves: in case the economic value of an asset (especially land or building) at year-end is significantly higher than the book value, and this can be stated by a survey executed of an independent consultant, the revaluation generates additional equity.</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2.2. Long term funding (&gt;= 1 year)</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case funding by means of equity &amp; associated means is insufficient, this module gives you the opportunity to set up additional funding based on long term loans.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line “Financing need (-)/surplus(+)” determines whether there is a positive long term funding position or a negative long term funding position. In case there is a positive long term funding position, no additional funding is required. In case there is a negative long term funding position, additional funding is required. One has to take into account here the cash position in 7.5.2. In the end the deliberation between short and long term needs on one hand and the available means on short and long term on the other hand will decide how to finance the needs.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Two parameters per loan need to be filled in; “years” for duration of the loan and “amount” for amount of the loan.</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Explanation :</a:t>
          </a:r>
        </a:p>
        <a:p>
          <a:pPr algn="l" rtl="0">
            <a:defRPr sz="1000"/>
          </a:pPr>
          <a:r>
            <a:rPr lang="nl-NL" sz="800" b="0" i="0" u="none" strike="noStrike" baseline="0">
              <a:solidFill>
                <a:srgbClr val="000000"/>
              </a:solidFill>
              <a:latin typeface="Trebuchet MS"/>
            </a:rPr>
            <a:t>- Opening year: the amount of loan granted to a new dealer in the beginning of the first year</a:t>
          </a:r>
        </a:p>
        <a:p>
          <a:pPr algn="l" rtl="0">
            <a:defRPr sz="1000"/>
          </a:pPr>
          <a:r>
            <a:rPr lang="nl-NL" sz="800" b="0" i="0" u="none" strike="noStrike" baseline="0">
              <a:solidFill>
                <a:srgbClr val="000000"/>
              </a:solidFill>
              <a:latin typeface="Trebuchet MS"/>
            </a:rPr>
            <a:t>- Previous years: the total amount of loans for an existing dealer in the beginning of the first year, in case there is no equal redemption over the years to come, the loans may be filled in manually.  </a:t>
          </a:r>
        </a:p>
        <a:p>
          <a:pPr algn="l" rtl="0">
            <a:defRPr sz="1000"/>
          </a:pPr>
          <a:r>
            <a:rPr lang="nl-NL" sz="800" b="0" i="0" u="none" strike="noStrike" baseline="0">
              <a:solidFill>
                <a:srgbClr val="000000"/>
              </a:solidFill>
              <a:latin typeface="Trebuchet MS"/>
            </a:rPr>
            <a:t>- For the following years, in case there is a financial need, additional funding is required.</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Short term funding</a:t>
          </a: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3.1. Percentage of inventory financing</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percentage of vehicles that can be financed by specific inventory financing. Of course this should be in accordance with the terms of your financing company.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case a vehicle is longer in stock (on hand) than the credit received from the supplier, a vehicle can be financed.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 distinction is made between:</a:t>
          </a:r>
        </a:p>
        <a:p>
          <a:pPr algn="l" rtl="0">
            <a:defRPr sz="1000"/>
          </a:pPr>
          <a:r>
            <a:rPr lang="nl-NL" sz="800" b="0" i="0" u="none" strike="noStrike" baseline="0">
              <a:solidFill>
                <a:srgbClr val="000000"/>
              </a:solidFill>
              <a:latin typeface="Trebuchet MS"/>
            </a:rPr>
            <a:t>New trucks: in case truck inventory financing is not applicable (vehicle shorter in stock than the credit received from the supplier) a message “truck inventory financing not applicable” will appear </a:t>
          </a:r>
        </a:p>
        <a:p>
          <a:pPr algn="l" rtl="0">
            <a:defRPr sz="1000"/>
          </a:pPr>
          <a:r>
            <a:rPr lang="nl-NL" sz="800" b="0" i="0" u="none" strike="noStrike" baseline="0">
              <a:solidFill>
                <a:srgbClr val="000000"/>
              </a:solidFill>
              <a:latin typeface="Trebuchet MS"/>
            </a:rPr>
            <a:t>Used trucks: the average stock value (= average of the opening stock and closing stock) is used as a basis to calculate the amount to be floored</a:t>
          </a:r>
        </a:p>
        <a:p>
          <a:pPr algn="l" rtl="0">
            <a:defRPr sz="1000"/>
          </a:pPr>
          <a:r>
            <a:rPr lang="nl-NL" sz="800" b="0" i="0" u="none" strike="noStrike" baseline="0">
              <a:solidFill>
                <a:srgbClr val="000000"/>
              </a:solidFill>
              <a:latin typeface="Trebuchet MS"/>
            </a:rPr>
            <a:t>Other products: in case truck inventory financing is not applicable/possible (see credit terms) a message “truck inventory financing not applicable” will appear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3.2. Short term debt structure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Based on the parameters filled in above (both long term and short term sources), this module calculates whether additional short term financing is required or not.</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ST requirements: refers to the first module of this sheet</a:t>
          </a:r>
        </a:p>
        <a:p>
          <a:pPr algn="l" rtl="0">
            <a:defRPr sz="1000"/>
          </a:pPr>
          <a:r>
            <a:rPr lang="nl-NL" sz="800" b="0" i="0" u="none" strike="noStrike" baseline="0">
              <a:solidFill>
                <a:srgbClr val="000000"/>
              </a:solidFill>
              <a:latin typeface="Trebuchet MS"/>
            </a:rPr>
            <a:t>Financing need (-) or surplus (+) on long term: since LT-bank loans usually are rounded amounts and don’t necessarily match the LT-requirements, there are two possibilities :</a:t>
          </a:r>
        </a:p>
        <a:p>
          <a:pPr algn="l" rtl="0">
            <a:defRPr sz="1000"/>
          </a:pPr>
          <a:r>
            <a:rPr lang="nl-NL" sz="800" b="0" i="0" u="none" strike="noStrike" baseline="0">
              <a:solidFill>
                <a:srgbClr val="000000"/>
              </a:solidFill>
              <a:latin typeface="Trebuchet MS"/>
            </a:rPr>
            <a:t>LT-funding &gt; LT-sources : surplus can be used to fund ST-requirements</a:t>
          </a:r>
        </a:p>
        <a:p>
          <a:pPr algn="l" rtl="0">
            <a:defRPr sz="1000"/>
          </a:pPr>
          <a:r>
            <a:rPr lang="nl-NL" sz="800" b="0" i="0" u="none" strike="noStrike" baseline="0">
              <a:solidFill>
                <a:srgbClr val="000000"/>
              </a:solidFill>
              <a:latin typeface="Trebuchet MS"/>
            </a:rPr>
            <a:t>LT-funding &lt; LT-sources : shortage can be covered by ST-funding   </a:t>
          </a:r>
        </a:p>
        <a:p>
          <a:pPr algn="l" rtl="0">
            <a:defRPr sz="1000"/>
          </a:pPr>
          <a:r>
            <a:rPr lang="nl-NL" sz="800" b="0" i="0" u="none" strike="noStrike" baseline="0">
              <a:solidFill>
                <a:srgbClr val="000000"/>
              </a:solidFill>
              <a:latin typeface="Trebuchet MS"/>
            </a:rPr>
            <a:t>Inventory financing: based on the percentages given, ST requirements are corrected with the amount financed via inventory financing.</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result of this exercise can either be a cash shortage (= total short term financing required) or a cash surplus.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Financial costs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weighted average funding interest percentage for long term loans, truck inventory financing and short term loans. For long term loans the average outstanding amount in the year is used for the calculation. This assumes that the loans are amortized on an equal basis during the year.</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Financial income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weighted average interest percentage for cash surplus. The average outstanding amount in the year is used for the calculation. </a:t>
          </a:r>
        </a:p>
        <a:p>
          <a:pPr algn="l" rtl="0">
            <a:defRPr sz="1000"/>
          </a:pPr>
          <a:endParaRPr lang="nl-NL" sz="800" b="0" i="0" u="none" strike="noStrike" baseline="0">
            <a:solidFill>
              <a:srgbClr val="000000"/>
            </a:solidFill>
            <a:latin typeface="Trebuchet MS"/>
          </a:endParaRPr>
        </a:p>
      </xdr:txBody>
    </xdr:sp>
    <xdr:clientData/>
  </xdr:twoCellAnchor>
  <xdr:twoCellAnchor editAs="oneCell">
    <xdr:from>
      <xdr:col>2</xdr:col>
      <xdr:colOff>101600</xdr:colOff>
      <xdr:row>0</xdr:row>
      <xdr:rowOff>76200</xdr:rowOff>
    </xdr:from>
    <xdr:to>
      <xdr:col>2</xdr:col>
      <xdr:colOff>660400</xdr:colOff>
      <xdr:row>1</xdr:row>
      <xdr:rowOff>0</xdr:rowOff>
    </xdr:to>
    <xdr:pic>
      <xdr:nvPicPr>
        <xdr:cNvPr id="60560" name="CommandButton1">
          <a:extLst>
            <a:ext uri="{FF2B5EF4-FFF2-40B4-BE49-F238E27FC236}">
              <a16:creationId xmlns:a16="http://schemas.microsoft.com/office/drawing/2014/main" xmlns="" id="{00000000-0008-0000-2F00-000090E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9700" y="76200"/>
          <a:ext cx="5588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1501140</xdr:colOff>
          <xdr:row>9</xdr:row>
          <xdr:rowOff>99060</xdr:rowOff>
        </xdr:from>
        <xdr:to>
          <xdr:col>2</xdr:col>
          <xdr:colOff>0</xdr:colOff>
          <xdr:row>10</xdr:row>
          <xdr:rowOff>167640</xdr:rowOff>
        </xdr:to>
        <xdr:sp macro="" textlink="">
          <xdr:nvSpPr>
            <xdr:cNvPr id="60562" name="Button 14482" hidden="1">
              <a:extLst>
                <a:ext uri="{63B3BB69-23CF-44E3-9099-C40C66FF867C}">
                  <a14:compatExt spid="_x0000_s60562"/>
                </a:ext>
                <a:ext uri="{FF2B5EF4-FFF2-40B4-BE49-F238E27FC236}">
                  <a16:creationId xmlns:a16="http://schemas.microsoft.com/office/drawing/2014/main" xmlns="" id="{00000000-0008-0000-2F00-00009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fr-FR" sz="1000" b="1" i="0" u="none" strike="noStrike" baseline="0">
                  <a:solidFill>
                    <a:srgbClr val="000000"/>
                  </a:solidFill>
                  <a:latin typeface="Arial"/>
                  <a:cs typeface="Arial"/>
                </a:rPr>
                <a:t>Press to simulate retained result</a:t>
              </a:r>
            </a:p>
            <a:p>
              <a:pPr algn="ctr" rtl="0">
                <a:defRPr sz="1000"/>
              </a:pPr>
              <a:endParaRPr lang="fr-FR" sz="1000" b="1" i="0" u="none" strike="noStrike" baseline="0">
                <a:solidFill>
                  <a:srgbClr val="000000"/>
                </a:solidFill>
                <a:latin typeface="Arial"/>
                <a:cs typeface="Arial"/>
              </a:endParaRPr>
            </a:p>
          </xdr:txBody>
        </xdr:sp>
        <xdr:clientData fLocksWithSheet="0" fPrintsWithSheet="0"/>
      </xdr:twoCellAnchor>
    </mc:Choice>
    <mc:Fallback/>
  </mc:AlternateContent>
</xdr:wsDr>
</file>

<file path=xl/drawings/drawing47.xml><?xml version="1.0" encoding="utf-8"?>
<xdr:wsDr xmlns:xdr="http://schemas.openxmlformats.org/drawingml/2006/spreadsheetDrawing" xmlns:a="http://schemas.openxmlformats.org/drawingml/2006/main">
  <xdr:twoCellAnchor>
    <xdr:from>
      <xdr:col>3</xdr:col>
      <xdr:colOff>247650</xdr:colOff>
      <xdr:row>10</xdr:row>
      <xdr:rowOff>47625</xdr:rowOff>
    </xdr:from>
    <xdr:to>
      <xdr:col>10</xdr:col>
      <xdr:colOff>57150</xdr:colOff>
      <xdr:row>59</xdr:row>
      <xdr:rowOff>209550</xdr:rowOff>
    </xdr:to>
    <xdr:sp macro="" textlink="">
      <xdr:nvSpPr>
        <xdr:cNvPr id="14340" name="MyHelpTekst" hidden="1">
          <a:extLst>
            <a:ext uri="{FF2B5EF4-FFF2-40B4-BE49-F238E27FC236}">
              <a16:creationId xmlns:a16="http://schemas.microsoft.com/office/drawing/2014/main" xmlns="" id="{00000000-0008-0000-3000-000004380000}"/>
            </a:ext>
          </a:extLst>
        </xdr:cNvPr>
        <xdr:cNvSpPr>
          <a:spLocks noChangeArrowheads="1"/>
        </xdr:cNvSpPr>
      </xdr:nvSpPr>
      <xdr:spPr bwMode="auto">
        <a:xfrm>
          <a:off x="5048250" y="1971675"/>
          <a:ext cx="5505450" cy="83534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1000" b="1" i="0" u="none" strike="noStrike" baseline="0">
              <a:solidFill>
                <a:srgbClr val="000000"/>
              </a:solidFill>
              <a:latin typeface="Trebuchet MS"/>
            </a:rPr>
            <a:t>7.5.3 VAT</a:t>
          </a:r>
          <a:endParaRPr lang="nl-NL" sz="1000" b="0" i="0" u="none" strike="noStrike" baseline="0">
            <a:solidFill>
              <a:srgbClr val="000000"/>
            </a:solidFill>
            <a:latin typeface="Trebuchet MS"/>
          </a:endParaRP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1. VAT general</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This sheet calculates the amounts to be paid to and to recover from the tax authorities. </a:t>
          </a:r>
        </a:p>
        <a:p>
          <a:pPr algn="l" rtl="0">
            <a:defRPr sz="1000"/>
          </a:pPr>
          <a:r>
            <a:rPr lang="nl-NL" sz="1000" b="0" i="0" u="none" strike="noStrike" baseline="0">
              <a:solidFill>
                <a:srgbClr val="000000"/>
              </a:solidFill>
              <a:latin typeface="Trebuchet MS"/>
            </a:rPr>
            <a:t>The assumption is made that there is only one VAT tariff.</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To be filled in here is:</a:t>
          </a:r>
        </a:p>
        <a:p>
          <a:pPr algn="l" rtl="0">
            <a:defRPr sz="1000"/>
          </a:pPr>
          <a:r>
            <a:rPr lang="nl-NL" sz="1000" b="0" i="0" u="none" strike="noStrike" baseline="0">
              <a:solidFill>
                <a:srgbClr val="000000"/>
              </a:solidFill>
              <a:latin typeface="Trebuchet MS"/>
            </a:rPr>
            <a:t>• The number of days between two VAT declarations to the VAT authorities </a:t>
          </a:r>
        </a:p>
        <a:p>
          <a:pPr algn="l" rtl="0">
            <a:defRPr sz="1000"/>
          </a:pPr>
          <a:r>
            <a:rPr lang="nl-NL" sz="1000" b="0" i="0" u="none" strike="noStrike" baseline="0">
              <a:solidFill>
                <a:srgbClr val="000000"/>
              </a:solidFill>
              <a:latin typeface="Trebuchet MS"/>
            </a:rPr>
            <a:t>• The number of days between declaration and payment of VAT to or reception VAT from tax authorities</a:t>
          </a:r>
        </a:p>
        <a:p>
          <a:pPr algn="l" rtl="0">
            <a:defRPr sz="1000"/>
          </a:pPr>
          <a:r>
            <a:rPr lang="nl-NL" sz="1000" b="0" i="0" u="none" strike="noStrike" baseline="0">
              <a:solidFill>
                <a:srgbClr val="000000"/>
              </a:solidFill>
              <a:latin typeface="Trebuchet MS"/>
            </a:rPr>
            <a:t>• The VAT tariff</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2. VAT received from customers (to pay to VAT authorities)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Stated here is the average amount per product group of the VAT to be paid to the authorities. The average number of days is calculated using the number of days between two VAT declarations and the number days between declaration and payment.</a:t>
          </a:r>
        </a:p>
        <a:p>
          <a:pPr algn="l" rtl="0">
            <a:defRPr sz="1000"/>
          </a:pPr>
          <a:r>
            <a:rPr lang="nl-NL" sz="1000" b="0" i="0" u="none" strike="noStrike" baseline="0">
              <a:solidFill>
                <a:srgbClr val="000000"/>
              </a:solidFill>
              <a:latin typeface="Trebuchet MS"/>
            </a:rPr>
            <a:t>The amounts are calculated as follows: turnover x VAT tariff x (number of days/360).</a:t>
          </a:r>
        </a:p>
        <a:p>
          <a:pPr algn="l" rtl="0">
            <a:defRPr sz="1000"/>
          </a:pPr>
          <a:r>
            <a:rPr lang="nl-NL" sz="1000" b="0" i="0" u="none" strike="noStrike" baseline="0">
              <a:solidFill>
                <a:srgbClr val="000000"/>
              </a:solidFill>
              <a:latin typeface="Trebuchet MS"/>
            </a:rPr>
            <a:t>The total amount is transferred to the balance sheet.</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3. VAT paid (to recover from VAT authorities)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Stated here are the average amounts per product group of the VAT to be recovered from the tax authorities. The average number of days is calculated using the number of days between two VAT declarations and the number days between declaration and reception of the VAT amounts.</a:t>
          </a:r>
        </a:p>
        <a:p>
          <a:pPr algn="l" rtl="0">
            <a:defRPr sz="1000"/>
          </a:pPr>
          <a:r>
            <a:rPr lang="nl-NL" sz="1000" b="0" i="0" u="none" strike="noStrike" baseline="0">
              <a:solidFill>
                <a:srgbClr val="000000"/>
              </a:solidFill>
              <a:latin typeface="Trebuchet MS"/>
            </a:rPr>
            <a:t>The amounts are calculated as follows: costs/investments x VAT tariff x (number of days/360).</a:t>
          </a:r>
        </a:p>
        <a:p>
          <a:pPr algn="l" rtl="0">
            <a:defRPr sz="1000"/>
          </a:pPr>
          <a:r>
            <a:rPr lang="nl-NL" sz="1000" b="0" i="0" u="none" strike="noStrike" baseline="0">
              <a:solidFill>
                <a:srgbClr val="000000"/>
              </a:solidFill>
              <a:latin typeface="Trebuchet MS"/>
            </a:rPr>
            <a:t>The total amount is transferred to the balance sheet.</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Since the assumption has been made that no VAT is due on rent, taxes and insurance, a correction is made on the total amount of expenses as given in [7.4.2 Selling &amp; Operating Expenses]</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4. VAT balance</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The balance of VAT paid and VAT received. This amount is used in the calculation in sheet 7.5.1 concerning financing.</a:t>
          </a:r>
        </a:p>
        <a:p>
          <a:pPr algn="l" rtl="0">
            <a:defRPr sz="1000"/>
          </a:pPr>
          <a:r>
            <a:rPr lang="nl-NL" sz="1000" b="0" i="0" u="none" strike="noStrike" baseline="0">
              <a:solidFill>
                <a:srgbClr val="000000"/>
              </a:solidFill>
              <a:latin typeface="Trebuchet MS"/>
            </a:rPr>
            <a:t>The VAT balance provides additional financing for the dealer if there is a higher amount to be paid. On the other hand, if there is a higher amount to be received then additional financing is needed.</a:t>
          </a:r>
          <a:endParaRPr lang="nl-NL" sz="1000" b="1" i="0" u="sng" strike="noStrike" baseline="0">
            <a:solidFill>
              <a:srgbClr val="000000"/>
            </a:solidFill>
            <a:latin typeface="Trebuchet MS"/>
          </a:endParaRPr>
        </a:p>
        <a:p>
          <a:pPr algn="l" rtl="0">
            <a:defRPr sz="1000"/>
          </a:pPr>
          <a:endParaRPr lang="nl-NL" sz="1000" b="1" i="0" u="sng" strike="noStrike" baseline="0">
            <a:solidFill>
              <a:srgbClr val="000000"/>
            </a:solidFill>
            <a:latin typeface="Trebuchet MS"/>
          </a:endParaRPr>
        </a:p>
      </xdr:txBody>
    </xdr:sp>
    <xdr:clientData/>
  </xdr:twoCellAnchor>
  <xdr:twoCellAnchor editAs="oneCell">
    <xdr:from>
      <xdr:col>0</xdr:col>
      <xdr:colOff>6477000</xdr:colOff>
      <xdr:row>0</xdr:row>
      <xdr:rowOff>76200</xdr:rowOff>
    </xdr:from>
    <xdr:to>
      <xdr:col>1</xdr:col>
      <xdr:colOff>3175</xdr:colOff>
      <xdr:row>1</xdr:row>
      <xdr:rowOff>0</xdr:rowOff>
    </xdr:to>
    <xdr:pic>
      <xdr:nvPicPr>
        <xdr:cNvPr id="14339" name="CommandButton1">
          <a:extLst>
            <a:ext uri="{FF2B5EF4-FFF2-40B4-BE49-F238E27FC236}">
              <a16:creationId xmlns:a16="http://schemas.microsoft.com/office/drawing/2014/main" xmlns="" id="{00000000-0008-0000-3000-0000033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59200" y="76200"/>
          <a:ext cx="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4</xdr:col>
      <xdr:colOff>952500</xdr:colOff>
      <xdr:row>4</xdr:row>
      <xdr:rowOff>114300</xdr:rowOff>
    </xdr:from>
    <xdr:to>
      <xdr:col>8</xdr:col>
      <xdr:colOff>1200150</xdr:colOff>
      <xdr:row>58</xdr:row>
      <xdr:rowOff>57150</xdr:rowOff>
    </xdr:to>
    <xdr:sp macro="" textlink="">
      <xdr:nvSpPr>
        <xdr:cNvPr id="48474" name="MyHelpTekst" hidden="1">
          <a:extLst>
            <a:ext uri="{FF2B5EF4-FFF2-40B4-BE49-F238E27FC236}">
              <a16:creationId xmlns:a16="http://schemas.microsoft.com/office/drawing/2014/main" xmlns="" id="{00000000-0008-0000-3100-00005ABD0000}"/>
            </a:ext>
          </a:extLst>
        </xdr:cNvPr>
        <xdr:cNvSpPr>
          <a:spLocks noChangeArrowheads="1"/>
        </xdr:cNvSpPr>
      </xdr:nvSpPr>
      <xdr:spPr bwMode="auto">
        <a:xfrm>
          <a:off x="7134225" y="1085850"/>
          <a:ext cx="6067425" cy="1030605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1000" b="1" i="0" u="none" strike="noStrike" baseline="0">
              <a:solidFill>
                <a:srgbClr val="000000"/>
              </a:solidFill>
              <a:latin typeface="Trebuchet MS"/>
            </a:rPr>
            <a:t>7.6.1 Activity Contribution</a:t>
          </a:r>
          <a:endParaRPr lang="nl-NL" sz="1000" b="0" i="0" u="none" strike="noStrike" baseline="0">
            <a:solidFill>
              <a:srgbClr val="000000"/>
            </a:solidFill>
            <a:latin typeface="Trebuchet MS"/>
          </a:endParaRP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This sheet consists out of 5 pages; one sheet for every year of the business plan. These sheets are meant to give you an insight in the contribution per activity per year. The breakdown can best be summarized in the following matrix :</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 Vehicles Service Parts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 New Used Other Workshop Warehouse Gen. &amp; Admin. Total (incl. internal invoicing) Total (excl. Internal invoicing)</a:t>
          </a:r>
        </a:p>
        <a:p>
          <a:pPr algn="l" rtl="0">
            <a:defRPr sz="1000"/>
          </a:pPr>
          <a:r>
            <a:rPr lang="nl-NL" sz="1000" b="1" i="0" u="none" strike="noStrike" baseline="0">
              <a:solidFill>
                <a:srgbClr val="000000"/>
              </a:solidFill>
              <a:latin typeface="Trebuchet MS"/>
            </a:rPr>
            <a:t>Turnover        </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 -/-   Cost of sales        </a:t>
          </a:r>
        </a:p>
        <a:p>
          <a:pPr algn="l" rtl="0">
            <a:defRPr sz="1000"/>
          </a:pPr>
          <a:r>
            <a:rPr lang="nl-NL" sz="1000" b="1" i="0" u="none" strike="noStrike" baseline="0">
              <a:solidFill>
                <a:srgbClr val="000000"/>
              </a:solidFill>
              <a:latin typeface="Trebuchet MS"/>
            </a:rPr>
            <a:t>Gross profit / loss  </a:t>
          </a:r>
          <a:r>
            <a:rPr lang="nl-NL" sz="1000" b="0" i="0" u="none" strike="noStrike" baseline="0">
              <a:solidFill>
                <a:srgbClr val="000000"/>
              </a:solidFill>
              <a:latin typeface="Trebuchet MS"/>
            </a:rPr>
            <a:t>      </a:t>
          </a:r>
        </a:p>
        <a:p>
          <a:pPr algn="l" rtl="0">
            <a:defRPr sz="1000"/>
          </a:pPr>
          <a:r>
            <a:rPr lang="nl-NL" sz="1000" b="0" i="0" u="none" strike="noStrike" baseline="0">
              <a:solidFill>
                <a:srgbClr val="000000"/>
              </a:solidFill>
              <a:latin typeface="Trebuchet MS"/>
            </a:rPr>
            <a:t> -/-   Selling expenses        </a:t>
          </a:r>
        </a:p>
        <a:p>
          <a:pPr algn="l" rtl="0">
            <a:defRPr sz="1000"/>
          </a:pPr>
          <a:r>
            <a:rPr lang="nl-NL" sz="1000" b="0" i="0" u="none" strike="noStrike" baseline="0">
              <a:solidFill>
                <a:srgbClr val="000000"/>
              </a:solidFill>
              <a:latin typeface="Trebuchet MS"/>
            </a:rPr>
            <a:t> -/-   Salaries &amp; Wages        </a:t>
          </a:r>
        </a:p>
        <a:p>
          <a:pPr algn="l" rtl="0">
            <a:defRPr sz="1000"/>
          </a:pPr>
          <a:r>
            <a:rPr lang="nl-NL" sz="1000" b="0" i="0" u="none" strike="noStrike" baseline="0">
              <a:solidFill>
                <a:srgbClr val="000000"/>
              </a:solidFill>
              <a:latin typeface="Trebuchet MS"/>
            </a:rPr>
            <a:t> -/-   Other operating costs          </a:t>
          </a:r>
        </a:p>
        <a:p>
          <a:pPr algn="l" rtl="0">
            <a:defRPr sz="1000"/>
          </a:pPr>
          <a:r>
            <a:rPr lang="nl-NL" sz="1000" b="0" i="0" u="none" strike="noStrike" baseline="0">
              <a:solidFill>
                <a:srgbClr val="000000"/>
              </a:solidFill>
              <a:latin typeface="Trebuchet MS"/>
            </a:rPr>
            <a:t> -/-   Depr. &amp; Amortization        </a:t>
          </a:r>
        </a:p>
        <a:p>
          <a:pPr algn="l" rtl="0">
            <a:defRPr sz="1000"/>
          </a:pPr>
          <a:r>
            <a:rPr lang="nl-NL" sz="1000" b="1" i="0" u="none" strike="noStrike" baseline="0">
              <a:solidFill>
                <a:srgbClr val="000000"/>
              </a:solidFill>
              <a:latin typeface="Trebuchet MS"/>
            </a:rPr>
            <a:t>Operating profit / loss        </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 -/-    Financial Income        </a:t>
          </a:r>
        </a:p>
        <a:p>
          <a:pPr algn="l" rtl="0">
            <a:defRPr sz="1000"/>
          </a:pPr>
          <a:r>
            <a:rPr lang="nl-NL" sz="1000" b="1" i="0" u="none" strike="noStrike" baseline="0">
              <a:solidFill>
                <a:srgbClr val="000000"/>
              </a:solidFill>
              <a:latin typeface="Trebuchet MS"/>
            </a:rPr>
            <a:t>Profit before tax &amp; ex-ord.      </a:t>
          </a:r>
          <a:r>
            <a:rPr lang="nl-NL" sz="1000" b="0" i="0" u="none" strike="noStrike" baseline="0">
              <a:solidFill>
                <a:srgbClr val="000000"/>
              </a:solidFill>
              <a:latin typeface="Trebuchet MS"/>
            </a:rPr>
            <a:t>  </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Profit &amp; cost centers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Profit centers: in this business plan, we consider three profit centers:</a:t>
          </a:r>
        </a:p>
        <a:p>
          <a:pPr algn="l" rtl="0">
            <a:defRPr sz="1000"/>
          </a:pPr>
          <a:r>
            <a:rPr lang="nl-NL" sz="1000" b="0" i="0" u="none" strike="noStrike" baseline="0">
              <a:solidFill>
                <a:srgbClr val="000000"/>
              </a:solidFill>
              <a:latin typeface="Trebuchet MS"/>
            </a:rPr>
            <a:t>- Vehicles: broken down in three activities: new trucks, used trucks and other vehicles</a:t>
          </a:r>
        </a:p>
        <a:p>
          <a:pPr algn="l" rtl="0">
            <a:defRPr sz="1000"/>
          </a:pPr>
          <a:r>
            <a:rPr lang="nl-NL" sz="1000" b="0" i="0" u="none" strike="noStrike" baseline="0">
              <a:solidFill>
                <a:srgbClr val="000000"/>
              </a:solidFill>
              <a:latin typeface="Trebuchet MS"/>
            </a:rPr>
            <a:t>- Service: labour and outsourced services</a:t>
          </a:r>
        </a:p>
        <a:p>
          <a:pPr algn="l" rtl="0">
            <a:defRPr sz="1000"/>
          </a:pPr>
          <a:r>
            <a:rPr lang="nl-NL" sz="1000" b="0" i="0" u="none" strike="noStrike" baseline="0">
              <a:solidFill>
                <a:srgbClr val="000000"/>
              </a:solidFill>
              <a:latin typeface="Trebuchet MS"/>
            </a:rPr>
            <a:t>- Parts: workshop and counter </a:t>
          </a:r>
        </a:p>
        <a:p>
          <a:pPr algn="l" rtl="0">
            <a:defRPr sz="1000"/>
          </a:pPr>
          <a:r>
            <a:rPr lang="nl-NL" sz="1000" b="0" i="0" u="none" strike="noStrike" baseline="0">
              <a:solidFill>
                <a:srgbClr val="000000"/>
              </a:solidFill>
              <a:latin typeface="Trebuchet MS"/>
            </a:rPr>
            <a:t>Next to these profit centers there is one cost center for General &amp; Administration costs.</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Allocation of expenses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Basic principle is that all expenses are allocated to the corresponding profit centers as determined in sheet 7.4.2 and 7.4.3.</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Internal invoicing </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Internal invoicing is necessary in case you break down your business into profit centers. Usually, the published financial statements of a company are a reflection of the transactions with the external world. In this case, vital information to better understand the performance of a dealership is lost. To cope with this, a distinction is made between “Total (incl. Internal invoicing)” and “Total (excl. Internal invoicing)”. Bottom line, the result should be the same.</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Financial Income</a:t>
          </a:r>
        </a:p>
        <a:p>
          <a:pPr algn="l" rtl="0">
            <a:defRPr sz="1000"/>
          </a:pPr>
          <a:r>
            <a:rPr lang="nl-NL" sz="1000" b="0" i="0" u="none" strike="noStrike" baseline="0">
              <a:solidFill>
                <a:srgbClr val="000000"/>
              </a:solidFill>
              <a:latin typeface="Trebuchet MS"/>
            </a:rPr>
            <a:t>Information to be entered here (if applicable):</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Financial expense:</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 Interest to be paid for short term loans/liabilities</a:t>
          </a:r>
        </a:p>
        <a:p>
          <a:pPr algn="l" rtl="0">
            <a:defRPr sz="1000"/>
          </a:pPr>
          <a:r>
            <a:rPr lang="nl-NL" sz="1000" b="0" i="0" u="none" strike="noStrike" baseline="0">
              <a:solidFill>
                <a:srgbClr val="000000"/>
              </a:solidFill>
              <a:latin typeface="Trebuchet MS"/>
            </a:rPr>
            <a:t>• Interest to be paid for long term loans /liabilities</a:t>
          </a:r>
        </a:p>
        <a:p>
          <a:pPr algn="l" rtl="0">
            <a:defRPr sz="1000"/>
          </a:pPr>
          <a:r>
            <a:rPr lang="nl-NL" sz="1000" b="0" i="0" u="none" strike="noStrike" baseline="0">
              <a:solidFill>
                <a:srgbClr val="000000"/>
              </a:solidFill>
              <a:latin typeface="Trebuchet MS"/>
            </a:rPr>
            <a:t>• Interest to be paid for subordinated loans</a:t>
          </a:r>
        </a:p>
        <a:p>
          <a:pPr algn="l" rtl="0">
            <a:defRPr sz="1000"/>
          </a:pPr>
          <a:r>
            <a:rPr lang="nl-NL" sz="1000" b="0" i="0" u="none" strike="noStrike" baseline="0">
              <a:solidFill>
                <a:srgbClr val="000000"/>
              </a:solidFill>
              <a:latin typeface="Trebuchet MS"/>
            </a:rPr>
            <a:t>• Interest to be paid for wholesale financing (e.g. to Paccar Financial)</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Financial income: </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 Interest earned</a:t>
          </a:r>
        </a:p>
        <a:p>
          <a:pPr algn="l" rtl="0">
            <a:defRPr sz="1000"/>
          </a:pPr>
          <a:r>
            <a:rPr lang="nl-NL" sz="1000" b="0" i="0" u="none" strike="noStrike" baseline="0">
              <a:solidFill>
                <a:srgbClr val="000000"/>
              </a:solidFill>
              <a:latin typeface="Trebuchet MS"/>
            </a:rPr>
            <a:t>• Accrued interest revenues</a:t>
          </a:r>
        </a:p>
        <a:p>
          <a:pPr algn="l" rtl="0">
            <a:defRPr sz="1000"/>
          </a:pPr>
          <a:r>
            <a:rPr lang="nl-NL" sz="1000" b="0" i="0" u="none" strike="noStrike" baseline="0">
              <a:solidFill>
                <a:srgbClr val="000000"/>
              </a:solidFill>
              <a:latin typeface="Trebuchet MS"/>
            </a:rPr>
            <a:t>• Profit on other (participations, shares)</a:t>
          </a:r>
          <a:endParaRPr lang="nl-NL" sz="1000" b="1" i="0" u="sng" strike="noStrike" baseline="0">
            <a:solidFill>
              <a:srgbClr val="000000"/>
            </a:solidFill>
            <a:latin typeface="Trebuchet MS"/>
          </a:endParaRPr>
        </a:p>
        <a:p>
          <a:pPr algn="l" rtl="0">
            <a:defRPr sz="1000"/>
          </a:pPr>
          <a:endParaRPr lang="nl-NL" sz="1000" b="1" i="0" u="sng" strike="noStrike" baseline="0">
            <a:solidFill>
              <a:srgbClr val="000000"/>
            </a:solidFill>
            <a:latin typeface="Trebuchet MS"/>
          </a:endParaRPr>
        </a:p>
      </xdr:txBody>
    </xdr:sp>
    <xdr:clientData/>
  </xdr:twoCellAnchor>
  <xdr:twoCellAnchor editAs="oneCell">
    <xdr:from>
      <xdr:col>0</xdr:col>
      <xdr:colOff>6096000</xdr:colOff>
      <xdr:row>0</xdr:row>
      <xdr:rowOff>76200</xdr:rowOff>
    </xdr:from>
    <xdr:to>
      <xdr:col>0</xdr:col>
      <xdr:colOff>6553200</xdr:colOff>
      <xdr:row>0</xdr:row>
      <xdr:rowOff>381000</xdr:rowOff>
    </xdr:to>
    <xdr:pic>
      <xdr:nvPicPr>
        <xdr:cNvPr id="48473" name="CommandButton1">
          <a:extLst>
            <a:ext uri="{FF2B5EF4-FFF2-40B4-BE49-F238E27FC236}">
              <a16:creationId xmlns:a16="http://schemas.microsoft.com/office/drawing/2014/main" xmlns="" id="{00000000-0008-0000-3100-000059B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25800" y="76200"/>
          <a:ext cx="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6</xdr:col>
      <xdr:colOff>476250</xdr:colOff>
      <xdr:row>6</xdr:row>
      <xdr:rowOff>38100</xdr:rowOff>
    </xdr:from>
    <xdr:to>
      <xdr:col>13</xdr:col>
      <xdr:colOff>342900</xdr:colOff>
      <xdr:row>20</xdr:row>
      <xdr:rowOff>19050</xdr:rowOff>
    </xdr:to>
    <xdr:sp macro="" textlink="">
      <xdr:nvSpPr>
        <xdr:cNvPr id="84994" name="MyHelpTekst" hidden="1">
          <a:extLst>
            <a:ext uri="{FF2B5EF4-FFF2-40B4-BE49-F238E27FC236}">
              <a16:creationId xmlns:a16="http://schemas.microsoft.com/office/drawing/2014/main" xmlns="" id="{00000000-0008-0000-3200-0000024C0100}"/>
            </a:ext>
          </a:extLst>
        </xdr:cNvPr>
        <xdr:cNvSpPr>
          <a:spLocks noChangeArrowheads="1"/>
        </xdr:cNvSpPr>
      </xdr:nvSpPr>
      <xdr:spPr bwMode="auto">
        <a:xfrm>
          <a:off x="7591425" y="1504950"/>
          <a:ext cx="6267450" cy="264795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36576" tIns="36576" rIns="0" bIns="0" anchor="t" upright="1"/>
        <a:lstStyle/>
        <a:p>
          <a:pPr algn="l" rtl="0">
            <a:defRPr sz="1000"/>
          </a:pPr>
          <a:r>
            <a:rPr lang="nl-NL" sz="1200" b="1" i="0" u="none" strike="noStrike" baseline="0">
              <a:solidFill>
                <a:srgbClr val="000000"/>
              </a:solidFill>
              <a:latin typeface="Trebuchet MS"/>
            </a:rPr>
            <a:t>7.6.2 Activity Analysis</a:t>
          </a:r>
          <a:endParaRPr lang="nl-NL" sz="1200" b="0" i="0" u="none" strike="noStrike" baseline="0">
            <a:solidFill>
              <a:srgbClr val="000000"/>
            </a:solidFill>
            <a:latin typeface="Trebuchet MS"/>
          </a:endParaRPr>
        </a:p>
        <a:p>
          <a:pPr algn="l" rtl="0">
            <a:defRPr sz="1000"/>
          </a:pPr>
          <a:endParaRPr lang="nl-NL" sz="1200" b="0" i="0" u="none" strike="noStrike" baseline="0">
            <a:solidFill>
              <a:srgbClr val="000000"/>
            </a:solidFill>
            <a:latin typeface="Trebuchet MS"/>
          </a:endParaRPr>
        </a:p>
        <a:p>
          <a:pPr algn="l" rtl="0">
            <a:defRPr sz="1000"/>
          </a:pPr>
          <a:r>
            <a:rPr lang="nl-NL" sz="1200" b="0" i="0" u="none" strike="noStrike" baseline="0">
              <a:solidFill>
                <a:srgbClr val="000000"/>
              </a:solidFill>
              <a:latin typeface="Trebuchet MS"/>
            </a:rPr>
            <a:t>These two sheets give an insight in the evolution of the yearly contribution per activity. </a:t>
          </a:r>
        </a:p>
        <a:p>
          <a:pPr algn="l" rtl="0">
            <a:defRPr sz="1000"/>
          </a:pPr>
          <a:r>
            <a:rPr lang="nl-NL" sz="1200" b="0" i="0" u="none" strike="noStrike" baseline="0">
              <a:solidFill>
                <a:srgbClr val="000000"/>
              </a:solidFill>
              <a:latin typeface="Trebuchet MS"/>
            </a:rPr>
            <a:t>The breakdown is equal to the breakdown shown in 7.6.1 Activity Contribution but instead of looking at the breakdown of the result per profit center for a specific year, this breakdown gives an insight in the trend over the years of the result per profit center.</a:t>
          </a:r>
        </a:p>
        <a:p>
          <a:pPr algn="l" rtl="0">
            <a:defRPr sz="1000"/>
          </a:pPr>
          <a:endParaRPr lang="nl-NL" sz="1200" b="0" i="0" u="none" strike="noStrike" baseline="0">
            <a:solidFill>
              <a:srgbClr val="000000"/>
            </a:solidFill>
            <a:latin typeface="Trebuchet MS"/>
          </a:endParaRPr>
        </a:p>
      </xdr:txBody>
    </xdr:sp>
    <xdr:clientData/>
  </xdr:twoCellAnchor>
  <xdr:twoCellAnchor editAs="oneCell">
    <xdr:from>
      <xdr:col>0</xdr:col>
      <xdr:colOff>6527800</xdr:colOff>
      <xdr:row>0</xdr:row>
      <xdr:rowOff>50800</xdr:rowOff>
    </xdr:from>
    <xdr:to>
      <xdr:col>1</xdr:col>
      <xdr:colOff>127000</xdr:colOff>
      <xdr:row>0</xdr:row>
      <xdr:rowOff>304800</xdr:rowOff>
    </xdr:to>
    <xdr:pic>
      <xdr:nvPicPr>
        <xdr:cNvPr id="84993" name="CommandButton1">
          <a:extLst>
            <a:ext uri="{FF2B5EF4-FFF2-40B4-BE49-F238E27FC236}">
              <a16:creationId xmlns:a16="http://schemas.microsoft.com/office/drawing/2014/main" xmlns="" id="{00000000-0008-0000-3200-0000014C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8300" y="50800"/>
          <a:ext cx="127000" cy="2540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361950</xdr:colOff>
      <xdr:row>2</xdr:row>
      <xdr:rowOff>38100</xdr:rowOff>
    </xdr:from>
    <xdr:to>
      <xdr:col>9</xdr:col>
      <xdr:colOff>733425</xdr:colOff>
      <xdr:row>22</xdr:row>
      <xdr:rowOff>133350</xdr:rowOff>
    </xdr:to>
    <xdr:sp macro="" textlink="">
      <xdr:nvSpPr>
        <xdr:cNvPr id="21560" name="MyHelpTekst" hidden="1">
          <a:extLst>
            <a:ext uri="{FF2B5EF4-FFF2-40B4-BE49-F238E27FC236}">
              <a16:creationId xmlns:a16="http://schemas.microsoft.com/office/drawing/2014/main" xmlns="" id="{00000000-0008-0000-0500-000038540000}"/>
            </a:ext>
          </a:extLst>
        </xdr:cNvPr>
        <xdr:cNvSpPr>
          <a:spLocks noChangeArrowheads="1"/>
        </xdr:cNvSpPr>
      </xdr:nvSpPr>
      <xdr:spPr bwMode="auto">
        <a:xfrm>
          <a:off x="2819400" y="647700"/>
          <a:ext cx="6086475" cy="4657725"/>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2.0 Company Profile</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this section general information is asked of your company. This information is also needed to set up your company in the DAF systems.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Legal name dealership: statuary name of the company     </a:t>
          </a:r>
        </a:p>
        <a:p>
          <a:pPr algn="l" rtl="0">
            <a:defRPr sz="1000"/>
          </a:pPr>
          <a:r>
            <a:rPr lang="nl-NL" sz="800" b="0" i="0" u="none" strike="noStrike" baseline="0">
              <a:solidFill>
                <a:srgbClr val="000000"/>
              </a:solidFill>
              <a:latin typeface="Trebuchet MS"/>
            </a:rPr>
            <a:t>Trading Name(s): other name(s)     </a:t>
          </a:r>
        </a:p>
        <a:p>
          <a:pPr algn="l" rtl="0">
            <a:defRPr sz="1000"/>
          </a:pPr>
          <a:r>
            <a:rPr lang="nl-NL" sz="800" b="0" i="0" u="none" strike="noStrike" baseline="0">
              <a:solidFill>
                <a:srgbClr val="000000"/>
              </a:solidFill>
              <a:latin typeface="Trebuchet MS"/>
            </a:rPr>
            <a:t>Address: address of dealership facility      </a:t>
          </a:r>
        </a:p>
        <a:p>
          <a:pPr algn="l" rtl="0">
            <a:defRPr sz="1000"/>
          </a:pPr>
          <a:r>
            <a:rPr lang="nl-NL" sz="800" b="0" i="0" u="none" strike="noStrike" baseline="0">
              <a:solidFill>
                <a:srgbClr val="000000"/>
              </a:solidFill>
              <a:latin typeface="Trebuchet MS"/>
            </a:rPr>
            <a:t>Postal code: postal code of dealership facility      </a:t>
          </a:r>
        </a:p>
        <a:p>
          <a:pPr algn="l" rtl="0">
            <a:defRPr sz="1000"/>
          </a:pPr>
          <a:r>
            <a:rPr lang="nl-NL" sz="800" b="0" i="0" u="none" strike="noStrike" baseline="0">
              <a:solidFill>
                <a:srgbClr val="000000"/>
              </a:solidFill>
              <a:latin typeface="Trebuchet MS"/>
            </a:rPr>
            <a:t>City</a:t>
          </a:r>
        </a:p>
        <a:p>
          <a:pPr algn="l" rtl="0">
            <a:defRPr sz="1000"/>
          </a:pPr>
          <a:r>
            <a:rPr lang="nl-NL" sz="800" b="0" i="0" u="none" strike="noStrike" baseline="0">
              <a:solidFill>
                <a:srgbClr val="000000"/>
              </a:solidFill>
              <a:latin typeface="Trebuchet MS"/>
            </a:rPr>
            <a:t>Country</a:t>
          </a:r>
        </a:p>
        <a:p>
          <a:pPr algn="l" rtl="0">
            <a:defRPr sz="1000"/>
          </a:pPr>
          <a:r>
            <a:rPr lang="nl-NL" sz="800" b="0" i="0" u="none" strike="noStrike" baseline="0">
              <a:solidFill>
                <a:srgbClr val="000000"/>
              </a:solidFill>
              <a:latin typeface="Trebuchet MS"/>
            </a:rPr>
            <a:t>Telephone number</a:t>
          </a:r>
        </a:p>
        <a:p>
          <a:pPr algn="l" rtl="0">
            <a:defRPr sz="1000"/>
          </a:pPr>
          <a:r>
            <a:rPr lang="nl-NL" sz="800" b="0" i="0" u="none" strike="noStrike" baseline="0">
              <a:solidFill>
                <a:srgbClr val="000000"/>
              </a:solidFill>
              <a:latin typeface="Trebuchet MS"/>
            </a:rPr>
            <a:t>Fax number      </a:t>
          </a:r>
        </a:p>
        <a:p>
          <a:pPr algn="l" rtl="0">
            <a:defRPr sz="1000"/>
          </a:pPr>
          <a:r>
            <a:rPr lang="nl-NL" sz="800" b="0" i="0" u="none" strike="noStrike" baseline="0">
              <a:solidFill>
                <a:srgbClr val="000000"/>
              </a:solidFill>
              <a:latin typeface="Trebuchet MS"/>
            </a:rPr>
            <a:t>E-mail address      </a:t>
          </a:r>
        </a:p>
        <a:p>
          <a:pPr algn="l" rtl="0">
            <a:defRPr sz="1000"/>
          </a:pPr>
          <a:r>
            <a:rPr lang="nl-NL" sz="800" b="0" i="0" u="none" strike="noStrike" baseline="0">
              <a:solidFill>
                <a:srgbClr val="000000"/>
              </a:solidFill>
              <a:latin typeface="Trebuchet MS"/>
            </a:rPr>
            <a:t>Web-site      </a:t>
          </a:r>
        </a:p>
        <a:p>
          <a:pPr algn="l" rtl="0">
            <a:defRPr sz="1000"/>
          </a:pPr>
          <a:r>
            <a:rPr lang="nl-NL" sz="800" b="0" i="0" u="none" strike="noStrike" baseline="0">
              <a:solidFill>
                <a:srgbClr val="000000"/>
              </a:solidFill>
              <a:latin typeface="Trebuchet MS"/>
            </a:rPr>
            <a:t>Legal entity: Limited liability or not: Please choose one of the pre-selected options  </a:t>
          </a:r>
        </a:p>
        <a:p>
          <a:pPr algn="l" rtl="0">
            <a:defRPr sz="1000"/>
          </a:pPr>
          <a:r>
            <a:rPr lang="nl-NL" sz="800" b="0" i="0" u="none" strike="noStrike" baseline="0">
              <a:solidFill>
                <a:srgbClr val="000000"/>
              </a:solidFill>
              <a:latin typeface="Trebuchet MS"/>
            </a:rPr>
            <a:t>VAT number (EU countries only)      </a:t>
          </a:r>
        </a:p>
        <a:p>
          <a:pPr algn="l" rtl="0">
            <a:defRPr sz="1000"/>
          </a:pPr>
          <a:r>
            <a:rPr lang="nl-NL" sz="800" b="0" i="0" u="none" strike="noStrike" baseline="0">
              <a:solidFill>
                <a:srgbClr val="000000"/>
              </a:solidFill>
              <a:latin typeface="Trebuchet MS"/>
            </a:rPr>
            <a:t>Chamber of Commerce number: Fill here in your Chamber of Commerce number</a:t>
          </a:r>
        </a:p>
        <a:p>
          <a:pPr algn="l" rtl="0">
            <a:defRPr sz="1000"/>
          </a:pPr>
          <a:r>
            <a:rPr lang="nl-NL" sz="800" b="0" i="0" u="none" strike="noStrike" baseline="0">
              <a:solidFill>
                <a:srgbClr val="000000"/>
              </a:solidFill>
              <a:latin typeface="Trebuchet MS"/>
            </a:rPr>
            <a:t>Chamber of Commerce seat: Location of registration    </a:t>
          </a:r>
        </a:p>
        <a:p>
          <a:pPr algn="l" rtl="0">
            <a:defRPr sz="1000"/>
          </a:pPr>
          <a:r>
            <a:rPr lang="nl-NL" sz="800" b="0" i="0" u="none" strike="noStrike" baseline="0">
              <a:solidFill>
                <a:srgbClr val="000000"/>
              </a:solidFill>
              <a:latin typeface="Trebuchet MS"/>
            </a:rPr>
            <a:t>ISO-certificate 9001: yes or no (if yes, valid date thru:)</a:t>
          </a:r>
        </a:p>
        <a:p>
          <a:pPr algn="l" rtl="0">
            <a:defRPr sz="1000"/>
          </a:pPr>
          <a:r>
            <a:rPr lang="nl-NL" sz="800" b="0" i="0" u="none" strike="noStrike" baseline="0">
              <a:solidFill>
                <a:srgbClr val="000000"/>
              </a:solidFill>
              <a:latin typeface="Trebuchet MS"/>
            </a:rPr>
            <a:t>ISO-certificate 14001: yes or no (if yes, valid date thru:)</a:t>
          </a:r>
        </a:p>
        <a:p>
          <a:pPr algn="l" rtl="0">
            <a:defRPr sz="1000"/>
          </a:pPr>
          <a:r>
            <a:rPr lang="nl-NL" sz="800" b="0" i="0" u="none" strike="noStrike" baseline="0">
              <a:solidFill>
                <a:srgbClr val="000000"/>
              </a:solidFill>
              <a:latin typeface="Trebuchet MS"/>
            </a:rPr>
            <a:t>Name of (dealer) holding: name of the parent company</a:t>
          </a:r>
        </a:p>
        <a:p>
          <a:pPr algn="l" rtl="0">
            <a:defRPr sz="1000"/>
          </a:pPr>
          <a:r>
            <a:rPr lang="nl-NL" sz="800" b="0" i="0" u="none" strike="noStrike" baseline="0">
              <a:solidFill>
                <a:srgbClr val="000000"/>
              </a:solidFill>
              <a:latin typeface="Trebuchet MS"/>
            </a:rPr>
            <a:t>Date established: date of foundation      </a:t>
          </a:r>
        </a:p>
        <a:p>
          <a:pPr algn="l" rtl="0">
            <a:defRPr sz="1000"/>
          </a:pPr>
          <a:r>
            <a:rPr lang="nl-NL" sz="800" b="0" i="0" u="none" strike="noStrike" baseline="0">
              <a:solidFill>
                <a:srgbClr val="000000"/>
              </a:solidFill>
              <a:latin typeface="Trebuchet MS"/>
            </a:rPr>
            <a:t>Chamber of Commerce number Holding: Fill here in your Chamber of Commerce number of Holding company</a:t>
          </a:r>
          <a:endParaRPr lang="nl-NL"/>
        </a:p>
      </xdr:txBody>
    </xdr:sp>
    <xdr:clientData/>
  </xdr:twoCellAnchor>
  <xdr:twoCellAnchor editAs="oneCell">
    <xdr:from>
      <xdr:col>5</xdr:col>
      <xdr:colOff>152400</xdr:colOff>
      <xdr:row>0</xdr:row>
      <xdr:rowOff>177800</xdr:rowOff>
    </xdr:from>
    <xdr:to>
      <xdr:col>5</xdr:col>
      <xdr:colOff>1092200</xdr:colOff>
      <xdr:row>1</xdr:row>
      <xdr:rowOff>0</xdr:rowOff>
    </xdr:to>
    <xdr:pic>
      <xdr:nvPicPr>
        <xdr:cNvPr id="21553" name="CommandButton1">
          <a:extLst>
            <a:ext uri="{FF2B5EF4-FFF2-40B4-BE49-F238E27FC236}">
              <a16:creationId xmlns:a16="http://schemas.microsoft.com/office/drawing/2014/main" xmlns="" id="{00000000-0008-0000-0500-0000315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56200" y="177800"/>
          <a:ext cx="939800" cy="177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6</xdr:col>
      <xdr:colOff>9525</xdr:colOff>
      <xdr:row>5</xdr:row>
      <xdr:rowOff>114300</xdr:rowOff>
    </xdr:from>
    <xdr:to>
      <xdr:col>10</xdr:col>
      <xdr:colOff>895350</xdr:colOff>
      <xdr:row>34</xdr:row>
      <xdr:rowOff>180975</xdr:rowOff>
    </xdr:to>
    <xdr:sp macro="" textlink="">
      <xdr:nvSpPr>
        <xdr:cNvPr id="59759" name="MyHelpTekst" hidden="1">
          <a:extLst>
            <a:ext uri="{FF2B5EF4-FFF2-40B4-BE49-F238E27FC236}">
              <a16:creationId xmlns:a16="http://schemas.microsoft.com/office/drawing/2014/main" xmlns="" id="{00000000-0008-0000-3300-00006FE90000}"/>
            </a:ext>
          </a:extLst>
        </xdr:cNvPr>
        <xdr:cNvSpPr>
          <a:spLocks noChangeArrowheads="1"/>
        </xdr:cNvSpPr>
      </xdr:nvSpPr>
      <xdr:spPr bwMode="auto">
        <a:xfrm>
          <a:off x="7153275" y="1314450"/>
          <a:ext cx="4705350" cy="684847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7.7 Profit &amp; Loss Account</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profit &amp; loss account is a summary of the financial result of the company per year. </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A warning text will appear if the expenses as mentioned in [7.4.2 Selling and Operating Expenses] are not totally allocated to one or more profit centers. As long as this warning text is visible, not all expenses are taking into account in the profit &amp; loss account.</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Extraordinary Income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Information to be entered here (if applicable):</a:t>
          </a:r>
        </a:p>
        <a:p>
          <a:pPr algn="l" rtl="0">
            <a:defRPr sz="1000"/>
          </a:pPr>
          <a:r>
            <a:rPr lang="nl-NL" sz="800" b="0" i="0" u="none" strike="noStrike" baseline="0">
              <a:solidFill>
                <a:srgbClr val="000000"/>
              </a:solidFill>
              <a:latin typeface="Trebuchet MS"/>
            </a:rPr>
            <a:t>- Extraordinary revenues: </a:t>
          </a:r>
        </a:p>
        <a:p>
          <a:pPr algn="l" rtl="0">
            <a:defRPr sz="1000"/>
          </a:pPr>
          <a:r>
            <a:rPr lang="nl-NL" sz="800" b="0" i="0" u="none" strike="noStrike" baseline="0">
              <a:solidFill>
                <a:srgbClr val="000000"/>
              </a:solidFill>
              <a:latin typeface="Trebuchet MS"/>
            </a:rPr>
            <a:t>• Profit from non dealership related business</a:t>
          </a:r>
        </a:p>
        <a:p>
          <a:pPr algn="l" rtl="0">
            <a:defRPr sz="1000"/>
          </a:pPr>
          <a:r>
            <a:rPr lang="nl-NL" sz="800" b="0" i="0" u="none" strike="noStrike" baseline="0">
              <a:solidFill>
                <a:srgbClr val="000000"/>
              </a:solidFill>
              <a:latin typeface="Trebuchet MS"/>
            </a:rPr>
            <a:t>• Profit from disinvestments</a:t>
          </a:r>
        </a:p>
        <a:p>
          <a:pPr algn="l" rtl="0">
            <a:defRPr sz="1000"/>
          </a:pPr>
          <a:r>
            <a:rPr lang="nl-NL" sz="800" b="0" i="0" u="none" strike="noStrike" baseline="0">
              <a:solidFill>
                <a:srgbClr val="000000"/>
              </a:solidFill>
              <a:latin typeface="Trebuchet MS"/>
            </a:rPr>
            <a:t>• Positive results on revaluation</a:t>
          </a:r>
        </a:p>
        <a:p>
          <a:pPr algn="l" rtl="0">
            <a:defRPr sz="1000"/>
          </a:pPr>
          <a:r>
            <a:rPr lang="nl-NL" sz="800" b="0" i="0" u="none" strike="noStrike" baseline="0">
              <a:solidFill>
                <a:srgbClr val="000000"/>
              </a:solidFill>
              <a:latin typeface="Trebuchet MS"/>
            </a:rPr>
            <a:t>- Extraordinary costs:</a:t>
          </a:r>
        </a:p>
        <a:p>
          <a:pPr algn="l" rtl="0">
            <a:defRPr sz="1000"/>
          </a:pPr>
          <a:r>
            <a:rPr lang="nl-NL" sz="800" b="0" i="0" u="none" strike="noStrike" baseline="0">
              <a:solidFill>
                <a:srgbClr val="000000"/>
              </a:solidFill>
              <a:latin typeface="Trebuchet MS"/>
            </a:rPr>
            <a:t>• Losses, coming from non dealership related business</a:t>
          </a:r>
        </a:p>
        <a:p>
          <a:pPr algn="l" rtl="0">
            <a:defRPr sz="1000"/>
          </a:pPr>
          <a:r>
            <a:rPr lang="nl-NL" sz="800" b="0" i="0" u="none" strike="noStrike" baseline="0">
              <a:solidFill>
                <a:srgbClr val="000000"/>
              </a:solidFill>
              <a:latin typeface="Trebuchet MS"/>
            </a:rPr>
            <a:t>• Losses on the repurchase of trucks (buy back guarantees) in case of downward revaluation of the portfolio</a:t>
          </a:r>
        </a:p>
        <a:p>
          <a:pPr algn="l" rtl="0">
            <a:defRPr sz="1000"/>
          </a:pPr>
          <a:r>
            <a:rPr lang="nl-NL" sz="800" b="0" i="0" u="none" strike="noStrike" baseline="0">
              <a:solidFill>
                <a:srgbClr val="000000"/>
              </a:solidFill>
              <a:latin typeface="Trebuchet MS"/>
            </a:rPr>
            <a:t>• Negative result on revaluation</a:t>
          </a:r>
        </a:p>
        <a:p>
          <a:pPr algn="l" rtl="0">
            <a:defRPr sz="1000"/>
          </a:pPr>
          <a:r>
            <a:rPr lang="nl-NL" sz="800" b="0" i="0" u="none" strike="noStrike" baseline="0">
              <a:solidFill>
                <a:srgbClr val="000000"/>
              </a:solidFill>
              <a:latin typeface="Trebuchet MS"/>
            </a:rPr>
            <a:t>- Result on R&amp;M contracts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Corporate Income Tax</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the field “Taxation” an estimate (not provision) of the tax percentage has to be submitted. The rate in the basis year is automatically copied to the other years but may be overwritten in those years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Changes in equity</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case the company is generating a profit, the Board of Directors will decide upon the destination of the result. The final decision will affect equity, solvency and in case dividend is paid, liquidity. </a:t>
          </a:r>
        </a:p>
        <a:p>
          <a:pPr algn="l" rtl="0">
            <a:defRPr sz="1000"/>
          </a:pPr>
          <a:r>
            <a:rPr lang="nl-NL" sz="800" b="0" i="0" u="none" strike="noStrike" baseline="0">
              <a:solidFill>
                <a:srgbClr val="000000"/>
              </a:solidFill>
              <a:latin typeface="Trebuchet MS"/>
            </a:rPr>
            <a:t>In this business plan, a distinction is made between:</a:t>
          </a:r>
        </a:p>
        <a:p>
          <a:pPr algn="l" rtl="0">
            <a:defRPr sz="1000"/>
          </a:pPr>
          <a:r>
            <a:rPr lang="nl-NL" sz="800" b="0" i="0" u="none" strike="noStrike" baseline="0">
              <a:solidFill>
                <a:srgbClr val="000000"/>
              </a:solidFill>
              <a:latin typeface="Trebuchet MS"/>
            </a:rPr>
            <a:t>Reserves   : allocation to reserves increases equity. Depends on local accounting </a:t>
          </a:r>
        </a:p>
        <a:p>
          <a:pPr algn="l" rtl="0">
            <a:defRPr sz="1000"/>
          </a:pPr>
          <a:r>
            <a:rPr lang="nl-NL" sz="800" b="0" i="0" u="none" strike="noStrike" baseline="0">
              <a:solidFill>
                <a:srgbClr val="000000"/>
              </a:solidFill>
              <a:latin typeface="Trebuchet MS"/>
            </a:rPr>
            <a:t>  practices/legislation.</a:t>
          </a:r>
        </a:p>
        <a:p>
          <a:pPr algn="l" rtl="0">
            <a:defRPr sz="1000"/>
          </a:pPr>
          <a:r>
            <a:rPr lang="nl-NL" sz="800" b="0" i="0" u="none" strike="noStrike" baseline="0">
              <a:solidFill>
                <a:srgbClr val="000000"/>
              </a:solidFill>
              <a:latin typeface="Trebuchet MS"/>
            </a:rPr>
            <a:t>Dividends   : the payment of dividends will decrease equity and cash and needs therefore</a:t>
          </a:r>
        </a:p>
        <a:p>
          <a:pPr algn="l" rtl="0">
            <a:defRPr sz="1000"/>
          </a:pPr>
          <a:r>
            <a:rPr lang="nl-NL" sz="800" b="0" i="0" u="none" strike="noStrike" baseline="0">
              <a:solidFill>
                <a:srgbClr val="000000"/>
              </a:solidFill>
              <a:latin typeface="Trebuchet MS"/>
            </a:rPr>
            <a:t>  to be financed.</a:t>
          </a:r>
        </a:p>
        <a:p>
          <a:pPr algn="l" rtl="0">
            <a:defRPr sz="1000"/>
          </a:pPr>
          <a:r>
            <a:rPr lang="nl-NL" sz="800" b="0" i="0" u="none" strike="noStrike" baseline="0">
              <a:solidFill>
                <a:srgbClr val="000000"/>
              </a:solidFill>
              <a:latin typeface="Trebuchet MS"/>
            </a:rPr>
            <a:t>Retained profit / loss  : after the amount allocated to reserves and dividends is determined, the </a:t>
          </a:r>
        </a:p>
        <a:p>
          <a:pPr algn="l" rtl="0">
            <a:defRPr sz="1000"/>
          </a:pPr>
          <a:r>
            <a:rPr lang="nl-NL" sz="800" b="0" i="0" u="none" strike="noStrike" baseline="0">
              <a:solidFill>
                <a:srgbClr val="000000"/>
              </a:solidFill>
              <a:latin typeface="Trebuchet MS"/>
            </a:rPr>
            <a:t>  balance will be allocated automatically to retained profit / loss.</a:t>
          </a:r>
        </a:p>
        <a:p>
          <a:pPr algn="l" rtl="0">
            <a:defRPr sz="1000"/>
          </a:pPr>
          <a:endParaRPr lang="nl-NL" sz="800" b="0" i="0" u="none" strike="noStrike" baseline="0">
            <a:solidFill>
              <a:srgbClr val="000000"/>
            </a:solidFill>
            <a:latin typeface="Trebuchet MS"/>
          </a:endParaRPr>
        </a:p>
      </xdr:txBody>
    </xdr:sp>
    <xdr:clientData/>
  </xdr:twoCellAnchor>
  <xdr:twoCellAnchor editAs="oneCell">
    <xdr:from>
      <xdr:col>1</xdr:col>
      <xdr:colOff>2184400</xdr:colOff>
      <xdr:row>0</xdr:row>
      <xdr:rowOff>76200</xdr:rowOff>
    </xdr:from>
    <xdr:to>
      <xdr:col>2</xdr:col>
      <xdr:colOff>8468</xdr:colOff>
      <xdr:row>1</xdr:row>
      <xdr:rowOff>2822</xdr:rowOff>
    </xdr:to>
    <xdr:pic>
      <xdr:nvPicPr>
        <xdr:cNvPr id="59758" name="CommandButton1">
          <a:extLst>
            <a:ext uri="{FF2B5EF4-FFF2-40B4-BE49-F238E27FC236}">
              <a16:creationId xmlns:a16="http://schemas.microsoft.com/office/drawing/2014/main" xmlns="" id="{00000000-0008-0000-3300-00006EE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25900" y="76200"/>
          <a:ext cx="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0</xdr:col>
      <xdr:colOff>1266825</xdr:colOff>
      <xdr:row>7</xdr:row>
      <xdr:rowOff>57150</xdr:rowOff>
    </xdr:from>
    <xdr:to>
      <xdr:col>10</xdr:col>
      <xdr:colOff>942975</xdr:colOff>
      <xdr:row>84</xdr:row>
      <xdr:rowOff>57090</xdr:rowOff>
    </xdr:to>
    <xdr:sp macro="" textlink="">
      <xdr:nvSpPr>
        <xdr:cNvPr id="86018" name="MyHelpTekst" hidden="1">
          <a:extLst>
            <a:ext uri="{FF2B5EF4-FFF2-40B4-BE49-F238E27FC236}">
              <a16:creationId xmlns:a16="http://schemas.microsoft.com/office/drawing/2014/main" xmlns="" id="{00000000-0008-0000-3400-000002500100}"/>
            </a:ext>
          </a:extLst>
        </xdr:cNvPr>
        <xdr:cNvSpPr>
          <a:spLocks noChangeArrowheads="1"/>
        </xdr:cNvSpPr>
      </xdr:nvSpPr>
      <xdr:spPr bwMode="auto">
        <a:xfrm>
          <a:off x="1266825" y="1676400"/>
          <a:ext cx="10944225" cy="1524000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7.8 Dealer Benchmark</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This page provides an overview in the evolution of the yearly contribution per department.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General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Sales Total Sales</a:t>
          </a:r>
        </a:p>
        <a:p>
          <a:pPr algn="l" rtl="0">
            <a:defRPr sz="1000"/>
          </a:pPr>
          <a:r>
            <a:rPr lang="nl-NL" sz="800" b="0" i="0" u="none" strike="noStrike" baseline="0">
              <a:solidFill>
                <a:srgbClr val="000000"/>
              </a:solidFill>
              <a:latin typeface="Trebuchet MS"/>
            </a:rPr>
            <a:t>Gross Margin % (Total Gross Profit/ Total Sales) * 100%</a:t>
          </a:r>
        </a:p>
        <a:p>
          <a:pPr algn="l" rtl="0">
            <a:defRPr sz="1000"/>
          </a:pPr>
          <a:r>
            <a:rPr lang="nl-NL" sz="800" b="0" i="0" u="none" strike="noStrike" baseline="0">
              <a:solidFill>
                <a:srgbClr val="000000"/>
              </a:solidFill>
              <a:latin typeface="Trebuchet MS"/>
            </a:rPr>
            <a:t>Operating Margin % (Total Operating Profit/ Total Sales) * 100%</a:t>
          </a:r>
        </a:p>
        <a:p>
          <a:pPr algn="l" rtl="0">
            <a:defRPr sz="1000"/>
          </a:pPr>
          <a:r>
            <a:rPr lang="nl-NL" sz="800" b="0" i="0" u="none" strike="noStrike" baseline="0">
              <a:solidFill>
                <a:srgbClr val="000000"/>
              </a:solidFill>
              <a:latin typeface="Trebuchet MS"/>
            </a:rPr>
            <a:t>Return on Sales % (Total Net Profit/ Total Sales) * 100%</a:t>
          </a:r>
        </a:p>
        <a:p>
          <a:pPr algn="l" rtl="0">
            <a:defRPr sz="1000"/>
          </a:pPr>
          <a:r>
            <a:rPr lang="nl-NL" sz="800" b="0" i="0" u="none" strike="noStrike" baseline="0">
              <a:solidFill>
                <a:srgbClr val="000000"/>
              </a:solidFill>
              <a:latin typeface="Trebuchet MS"/>
            </a:rPr>
            <a:t>Absorption % ((Parts Gross Profit + Service and Body Gross Profit) / (Total Salaries &amp; Wages + Total Other Operating Cost + Total Depreciation &amp; Amortization)) * 100 %</a:t>
          </a:r>
        </a:p>
        <a:p>
          <a:pPr algn="l" rtl="0">
            <a:defRPr sz="1000"/>
          </a:pPr>
          <a:r>
            <a:rPr lang="nl-NL" sz="800" b="0" i="0" u="none" strike="noStrike" baseline="0">
              <a:solidFill>
                <a:srgbClr val="000000"/>
              </a:solidFill>
              <a:latin typeface="Trebuchet MS"/>
            </a:rPr>
            <a:t>Debt/ Equity (Total Short Term Liabilities + Total Long Term Liabilities) / Total Equity</a:t>
          </a:r>
        </a:p>
        <a:p>
          <a:pPr algn="l" rtl="0">
            <a:defRPr sz="1000"/>
          </a:pPr>
          <a:r>
            <a:rPr lang="nl-NL" sz="800" b="0" i="0" u="none" strike="noStrike" baseline="0">
              <a:solidFill>
                <a:srgbClr val="000000"/>
              </a:solidFill>
              <a:latin typeface="Trebuchet MS"/>
            </a:rPr>
            <a:t>Current Ratio (Total Inventory + Account Receivables + Cash &amp; Bank + Other) / Total Short Term Liabilities</a:t>
          </a:r>
        </a:p>
        <a:p>
          <a:pPr algn="l" rtl="0">
            <a:defRPr sz="1000"/>
          </a:pPr>
          <a:r>
            <a:rPr lang="nl-NL" sz="800" b="0" i="0" u="none" strike="noStrike" baseline="0">
              <a:solidFill>
                <a:srgbClr val="000000"/>
              </a:solidFill>
              <a:latin typeface="Trebuchet MS"/>
            </a:rPr>
            <a:t>Quick Ratio (Account Receivables + Cash &amp; Bank + Other) / Total Short Term Liabilities</a:t>
          </a:r>
        </a:p>
        <a:p>
          <a:pPr algn="l" rtl="0">
            <a:defRPr sz="1000"/>
          </a:pPr>
          <a:r>
            <a:rPr lang="nl-NL" sz="800" b="0" i="0" u="none" strike="noStrike" baseline="0">
              <a:solidFill>
                <a:srgbClr val="000000"/>
              </a:solidFill>
              <a:latin typeface="Trebuchet MS"/>
            </a:rPr>
            <a:t>Solvency % (Total Equity / Total Liabilities) * 100%</a:t>
          </a:r>
        </a:p>
        <a:p>
          <a:pPr algn="l" rtl="0">
            <a:defRPr sz="1000"/>
          </a:pPr>
          <a:r>
            <a:rPr lang="nl-NL" sz="800" b="0" i="0" u="none" strike="noStrike" baseline="0">
              <a:solidFill>
                <a:srgbClr val="000000"/>
              </a:solidFill>
              <a:latin typeface="Trebuchet MS"/>
            </a:rPr>
            <a:t>DSO (days credit debtors) (Account Receivables / Total Sales * # days</a:t>
          </a:r>
        </a:p>
        <a:p>
          <a:pPr algn="l" rtl="0">
            <a:defRPr sz="1000"/>
          </a:pPr>
          <a:r>
            <a:rPr lang="nl-NL" sz="800" b="0" i="0" u="none" strike="noStrike" baseline="0">
              <a:solidFill>
                <a:srgbClr val="000000"/>
              </a:solidFill>
              <a:latin typeface="Trebuchet MS"/>
            </a:rPr>
            <a:t>DPO (days credit suppliers) Trade Creditors / (Total Sales  - Total Gross Profit) * # days</a:t>
          </a:r>
        </a:p>
        <a:p>
          <a:pPr algn="l" rtl="0">
            <a:defRPr sz="1000"/>
          </a:pPr>
          <a:r>
            <a:rPr lang="nl-NL" sz="800" b="0" i="1" u="none" strike="noStrike" baseline="0">
              <a:solidFill>
                <a:srgbClr val="000000"/>
              </a:solidFill>
              <a:latin typeface="Trebuchet MS"/>
            </a:rPr>
            <a:t>Sales Mix %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New Trucks New Truck Sales / Total Sales</a:t>
          </a:r>
        </a:p>
        <a:p>
          <a:pPr algn="l" rtl="0">
            <a:defRPr sz="1000"/>
          </a:pPr>
          <a:r>
            <a:rPr lang="nl-NL" sz="800" b="0" i="0" u="none" strike="noStrike" baseline="0">
              <a:solidFill>
                <a:srgbClr val="000000"/>
              </a:solidFill>
              <a:latin typeface="Trebuchet MS"/>
            </a:rPr>
            <a:t>Used Trucks Used Truck Sales / Total Sales</a:t>
          </a:r>
        </a:p>
        <a:p>
          <a:pPr algn="l" rtl="0">
            <a:defRPr sz="1000"/>
          </a:pPr>
          <a:r>
            <a:rPr lang="nl-NL" sz="800" b="0" i="0" u="none" strike="noStrike" baseline="0">
              <a:solidFill>
                <a:srgbClr val="000000"/>
              </a:solidFill>
              <a:latin typeface="Trebuchet MS"/>
            </a:rPr>
            <a:t>Parts Parts Sales / Total Sales</a:t>
          </a:r>
        </a:p>
        <a:p>
          <a:pPr algn="l" rtl="0">
            <a:defRPr sz="1000"/>
          </a:pPr>
          <a:r>
            <a:rPr lang="nl-NL" sz="800" b="0" i="0" u="none" strike="noStrike" baseline="0">
              <a:solidFill>
                <a:srgbClr val="000000"/>
              </a:solidFill>
              <a:latin typeface="Trebuchet MS"/>
            </a:rPr>
            <a:t>Service &amp; Body Shop Service &amp; Body shop Sales / Total Sales</a:t>
          </a:r>
        </a:p>
        <a:p>
          <a:pPr algn="l" rtl="0">
            <a:defRPr sz="1000"/>
          </a:pPr>
          <a:r>
            <a:rPr lang="nl-NL" sz="800" b="0" i="0" u="none" strike="noStrike" baseline="0">
              <a:solidFill>
                <a:srgbClr val="000000"/>
              </a:solidFill>
              <a:latin typeface="Trebuchet MS"/>
            </a:rPr>
            <a:t>Other Business Other Business Sales / Total Sales</a:t>
          </a:r>
        </a:p>
        <a:p>
          <a:pPr algn="l" rtl="0">
            <a:defRPr sz="1000"/>
          </a:pPr>
          <a:r>
            <a:rPr lang="nl-NL" sz="800" b="0" i="0" u="none" strike="noStrike" baseline="0">
              <a:solidFill>
                <a:srgbClr val="000000"/>
              </a:solidFill>
              <a:latin typeface="Trebuchet MS"/>
            </a:rPr>
            <a:t>   </a:t>
          </a:r>
        </a:p>
        <a:p>
          <a:pPr algn="l" rtl="0">
            <a:defRPr sz="1000"/>
          </a:pPr>
          <a:r>
            <a:rPr lang="nl-NL" sz="800" b="1" i="0" u="none" strike="noStrike" baseline="0">
              <a:solidFill>
                <a:srgbClr val="000000"/>
              </a:solidFill>
              <a:latin typeface="Trebuchet MS"/>
            </a:rPr>
            <a:t>New Truck Department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Deliveries Deliveries XF &amp; CF + Deliveries LF</a:t>
          </a:r>
        </a:p>
        <a:p>
          <a:pPr algn="l" rtl="0">
            <a:defRPr sz="1000"/>
          </a:pPr>
          <a:r>
            <a:rPr lang="nl-NL" sz="800" b="0" i="0" u="none" strike="noStrike" baseline="0">
              <a:solidFill>
                <a:srgbClr val="000000"/>
              </a:solidFill>
              <a:latin typeface="Trebuchet MS"/>
            </a:rPr>
            <a:t>Sales New Truck Sales</a:t>
          </a:r>
        </a:p>
        <a:p>
          <a:pPr algn="l" rtl="0">
            <a:defRPr sz="1000"/>
          </a:pPr>
          <a:r>
            <a:rPr lang="nl-NL" sz="800" b="0" i="0" u="none" strike="noStrike" baseline="0">
              <a:solidFill>
                <a:srgbClr val="000000"/>
              </a:solidFill>
              <a:latin typeface="Trebuchet MS"/>
            </a:rPr>
            <a:t>Avg Turnover/ # New Trucks New Truck Sales / (Deliveries XF &amp; CF + Deliveries LF)</a:t>
          </a:r>
        </a:p>
        <a:p>
          <a:pPr algn="l" rtl="0">
            <a:defRPr sz="1000"/>
          </a:pPr>
          <a:r>
            <a:rPr lang="nl-NL" sz="800" b="0" i="0" u="none" strike="noStrike" baseline="0">
              <a:solidFill>
                <a:srgbClr val="000000"/>
              </a:solidFill>
              <a:latin typeface="Trebuchet MS"/>
            </a:rPr>
            <a:t>Gross Margin New Truck Gross Profit / New Truck Sales</a:t>
          </a:r>
        </a:p>
        <a:p>
          <a:pPr algn="l" rtl="0">
            <a:defRPr sz="1000"/>
          </a:pPr>
          <a:r>
            <a:rPr lang="nl-NL" sz="800" b="0" i="0" u="none" strike="noStrike" baseline="0">
              <a:solidFill>
                <a:srgbClr val="000000"/>
              </a:solidFill>
              <a:latin typeface="Trebuchet MS"/>
            </a:rPr>
            <a:t>Avg GP/ # New Trucks New Truck Gross Profit / (Deliveries XF &amp; CF + Deliveries LF)</a:t>
          </a:r>
        </a:p>
        <a:p>
          <a:pPr algn="l" rtl="0">
            <a:defRPr sz="1000"/>
          </a:pPr>
          <a:r>
            <a:rPr lang="nl-NL" sz="800" b="0" i="0" u="none" strike="noStrike" baseline="0">
              <a:solidFill>
                <a:srgbClr val="000000"/>
              </a:solidFill>
              <a:latin typeface="Trebuchet MS"/>
            </a:rPr>
            <a:t>Operating Expense % ((New Truck Selling Expense + New Truck Salaries &amp; Wages + New Truck Other Operating Cost + New Truck Depreciation) / New Truck Sales ) * 100 %</a:t>
          </a:r>
        </a:p>
        <a:p>
          <a:pPr algn="l" rtl="0">
            <a:defRPr sz="1000"/>
          </a:pPr>
          <a:r>
            <a:rPr lang="nl-NL" sz="800" b="0" i="0" u="none" strike="noStrike" baseline="0">
              <a:solidFill>
                <a:srgbClr val="000000"/>
              </a:solidFill>
              <a:latin typeface="Trebuchet MS"/>
            </a:rPr>
            <a:t>Operating Margin % (New Truck Operating Profit / New Truck Sales) * 100%</a:t>
          </a:r>
        </a:p>
        <a:p>
          <a:pPr algn="l" rtl="0">
            <a:defRPr sz="1000"/>
          </a:pPr>
          <a:r>
            <a:rPr lang="nl-NL" sz="800" b="0" i="0" u="none" strike="noStrike" baseline="0">
              <a:solidFill>
                <a:srgbClr val="000000"/>
              </a:solidFill>
              <a:latin typeface="Trebuchet MS"/>
            </a:rPr>
            <a:t>Inventory Turns (New Truck Sales - New Truck Gross Profit) / New Truck Inventory</a:t>
          </a:r>
        </a:p>
        <a:p>
          <a:pPr algn="l" rtl="0">
            <a:defRPr sz="1000"/>
          </a:pPr>
          <a:r>
            <a:rPr lang="nl-NL" sz="800" b="0" i="0" u="none" strike="noStrike" baseline="0">
              <a:solidFill>
                <a:srgbClr val="000000"/>
              </a:solidFill>
              <a:latin typeface="Trebuchet MS"/>
            </a:rPr>
            <a:t>Inventory DOH New Truck Inventory / (New Truck Sales - New Truck Gross Profit) * # days</a:t>
          </a:r>
        </a:p>
        <a:p>
          <a:pPr algn="l" rtl="0">
            <a:defRPr sz="1000"/>
          </a:pPr>
          <a:r>
            <a:rPr lang="nl-NL" sz="800" b="0" i="0" u="none" strike="noStrike" baseline="0">
              <a:solidFill>
                <a:srgbClr val="000000"/>
              </a:solidFill>
              <a:latin typeface="Trebuchet MS"/>
            </a:rPr>
            <a:t>   </a:t>
          </a:r>
        </a:p>
        <a:p>
          <a:pPr algn="l" rtl="0">
            <a:defRPr sz="1000"/>
          </a:pPr>
          <a:r>
            <a:rPr lang="nl-NL" sz="800" b="1" i="0" u="none" strike="noStrike" baseline="0">
              <a:solidFill>
                <a:srgbClr val="000000"/>
              </a:solidFill>
              <a:latin typeface="Trebuchet MS"/>
            </a:rPr>
            <a:t>Used Truck Department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Deliveries Deliveries Used Trucks &amp; Vans</a:t>
          </a:r>
        </a:p>
        <a:p>
          <a:pPr algn="l" rtl="0">
            <a:defRPr sz="1000"/>
          </a:pPr>
          <a:r>
            <a:rPr lang="nl-NL" sz="800" b="0" i="0" u="none" strike="noStrike" baseline="0">
              <a:solidFill>
                <a:srgbClr val="000000"/>
              </a:solidFill>
              <a:latin typeface="Trebuchet MS"/>
            </a:rPr>
            <a:t>Sales Used Truck Sales</a:t>
          </a:r>
        </a:p>
        <a:p>
          <a:pPr algn="l" rtl="0">
            <a:defRPr sz="1000"/>
          </a:pPr>
          <a:r>
            <a:rPr lang="nl-NL" sz="800" b="0" i="0" u="none" strike="noStrike" baseline="0">
              <a:solidFill>
                <a:srgbClr val="000000"/>
              </a:solidFill>
              <a:latin typeface="Trebuchet MS"/>
            </a:rPr>
            <a:t>Avg Turnover/ # Used Trucks Used Truck Sales / Deliveries Used Trucks &amp; Vans</a:t>
          </a:r>
        </a:p>
        <a:p>
          <a:pPr algn="l" rtl="0">
            <a:defRPr sz="1000"/>
          </a:pPr>
          <a:r>
            <a:rPr lang="nl-NL" sz="800" b="0" i="0" u="none" strike="noStrike" baseline="0">
              <a:solidFill>
                <a:srgbClr val="000000"/>
              </a:solidFill>
              <a:latin typeface="Trebuchet MS"/>
            </a:rPr>
            <a:t>Gross Margin Used Truck Gross Profit / Used Truck Sales</a:t>
          </a:r>
        </a:p>
        <a:p>
          <a:pPr algn="l" rtl="0">
            <a:defRPr sz="1000"/>
          </a:pPr>
          <a:r>
            <a:rPr lang="nl-NL" sz="800" b="0" i="0" u="none" strike="noStrike" baseline="0">
              <a:solidFill>
                <a:srgbClr val="000000"/>
              </a:solidFill>
              <a:latin typeface="Trebuchet MS"/>
            </a:rPr>
            <a:t>Avg GP/ # Used Trucks Used Truck Gross Profit / Deliveries Used Trucks &amp; Vans</a:t>
          </a:r>
        </a:p>
        <a:p>
          <a:pPr algn="l" rtl="0">
            <a:defRPr sz="1000"/>
          </a:pPr>
          <a:r>
            <a:rPr lang="nl-NL" sz="800" b="0" i="0" u="none" strike="noStrike" baseline="0">
              <a:solidFill>
                <a:srgbClr val="000000"/>
              </a:solidFill>
              <a:latin typeface="Trebuchet MS"/>
            </a:rPr>
            <a:t>Operating Expense % ((Used Truck Selling Expense + Used Truck Salaries &amp; Wages + Used Truck Other Operating Cost+ Used Truck Depreciation) / Used Truck Sales) * 100%</a:t>
          </a:r>
        </a:p>
        <a:p>
          <a:pPr algn="l" rtl="0">
            <a:defRPr sz="1000"/>
          </a:pPr>
          <a:r>
            <a:rPr lang="nl-NL" sz="800" b="0" i="0" u="none" strike="noStrike" baseline="0">
              <a:solidFill>
                <a:srgbClr val="000000"/>
              </a:solidFill>
              <a:latin typeface="Trebuchet MS"/>
            </a:rPr>
            <a:t>Operating Margin % (Used Truck Operating Profit / Used Truck Sales) * 100%</a:t>
          </a:r>
        </a:p>
        <a:p>
          <a:pPr algn="l" rtl="0">
            <a:defRPr sz="1000"/>
          </a:pPr>
          <a:r>
            <a:rPr lang="nl-NL" sz="800" b="0" i="0" u="none" strike="noStrike" baseline="0">
              <a:solidFill>
                <a:srgbClr val="000000"/>
              </a:solidFill>
              <a:latin typeface="Trebuchet MS"/>
            </a:rPr>
            <a:t>Inventory Turns (Used Truck Sales - Used Truck Gross Profit) / Used Truck Inventory</a:t>
          </a:r>
        </a:p>
        <a:p>
          <a:pPr algn="l" rtl="0">
            <a:defRPr sz="1000"/>
          </a:pPr>
          <a:r>
            <a:rPr lang="nl-NL" sz="800" b="0" i="0" u="none" strike="noStrike" baseline="0">
              <a:solidFill>
                <a:srgbClr val="000000"/>
              </a:solidFill>
              <a:latin typeface="Trebuchet MS"/>
            </a:rPr>
            <a:t>Inventory DOH Used Truck Inventory / (Used Truck Sales - Used Truck Gross Profit) * # days</a:t>
          </a:r>
        </a:p>
        <a:p>
          <a:pPr algn="l" rtl="0">
            <a:defRPr sz="1000"/>
          </a:pPr>
          <a:r>
            <a:rPr lang="nl-NL" sz="800" b="0" i="0" u="none" strike="noStrike" baseline="0">
              <a:solidFill>
                <a:srgbClr val="000000"/>
              </a:solidFill>
              <a:latin typeface="Trebuchet MS"/>
            </a:rPr>
            <a:t>   </a:t>
          </a:r>
        </a:p>
        <a:p>
          <a:pPr algn="l" rtl="0">
            <a:defRPr sz="1000"/>
          </a:pPr>
          <a:r>
            <a:rPr lang="nl-NL" sz="800" b="1" i="0" u="none" strike="noStrike" baseline="0">
              <a:solidFill>
                <a:srgbClr val="000000"/>
              </a:solidFill>
              <a:latin typeface="Trebuchet MS"/>
            </a:rPr>
            <a:t>Other Business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Deliveries Deliveries Other Business</a:t>
          </a:r>
        </a:p>
        <a:p>
          <a:pPr algn="l" rtl="0">
            <a:defRPr sz="1000"/>
          </a:pPr>
          <a:r>
            <a:rPr lang="nl-NL" sz="800" b="0" i="0" u="none" strike="noStrike" baseline="0">
              <a:solidFill>
                <a:srgbClr val="000000"/>
              </a:solidFill>
              <a:latin typeface="Trebuchet MS"/>
            </a:rPr>
            <a:t>Sales Other Business Sales</a:t>
          </a:r>
        </a:p>
        <a:p>
          <a:pPr algn="l" rtl="0">
            <a:defRPr sz="1000"/>
          </a:pPr>
          <a:r>
            <a:rPr lang="nl-NL" sz="800" b="0" i="0" u="none" strike="noStrike" baseline="0">
              <a:solidFill>
                <a:srgbClr val="000000"/>
              </a:solidFill>
              <a:latin typeface="Trebuchet MS"/>
            </a:rPr>
            <a:t>Avg Turnover/ # Other Business Other Business Sales / Deliveries Other Business</a:t>
          </a:r>
        </a:p>
        <a:p>
          <a:pPr algn="l" rtl="0">
            <a:defRPr sz="1000"/>
          </a:pPr>
          <a:r>
            <a:rPr lang="nl-NL" sz="800" b="0" i="0" u="none" strike="noStrike" baseline="0">
              <a:solidFill>
                <a:srgbClr val="000000"/>
              </a:solidFill>
              <a:latin typeface="Trebuchet MS"/>
            </a:rPr>
            <a:t>Gross Margin Other Business Gross Profit / Other Business Sales</a:t>
          </a:r>
        </a:p>
        <a:p>
          <a:pPr algn="l" rtl="0">
            <a:defRPr sz="1000"/>
          </a:pPr>
          <a:r>
            <a:rPr lang="nl-NL" sz="800" b="0" i="0" u="none" strike="noStrike" baseline="0">
              <a:solidFill>
                <a:srgbClr val="000000"/>
              </a:solidFill>
              <a:latin typeface="Trebuchet MS"/>
            </a:rPr>
            <a:t>Avg GP/ # Other Business Other Business Gross Profit / Deliveries Other Business</a:t>
          </a:r>
        </a:p>
        <a:p>
          <a:pPr algn="l" rtl="0">
            <a:defRPr sz="1000"/>
          </a:pPr>
          <a:r>
            <a:rPr lang="nl-NL" sz="800" b="0" i="0" u="none" strike="noStrike" baseline="0">
              <a:solidFill>
                <a:srgbClr val="000000"/>
              </a:solidFill>
              <a:latin typeface="Trebuchet MS"/>
            </a:rPr>
            <a:t>Operating Expense % ((Other Business Selling Expense + Other Business Salaries &amp; Wages + Other Business Other Operating cost + Other Business Depreciation) / Other Business Sales) * 100 %</a:t>
          </a:r>
        </a:p>
        <a:p>
          <a:pPr algn="l" rtl="0">
            <a:defRPr sz="1000"/>
          </a:pPr>
          <a:r>
            <a:rPr lang="nl-NL" sz="800" b="0" i="0" u="none" strike="noStrike" baseline="0">
              <a:solidFill>
                <a:srgbClr val="000000"/>
              </a:solidFill>
              <a:latin typeface="Trebuchet MS"/>
            </a:rPr>
            <a:t>Operating Margin % (Other Business Operating Profit / Other Business Sales) * 100%</a:t>
          </a:r>
        </a:p>
        <a:p>
          <a:pPr algn="l" rtl="0">
            <a:defRPr sz="1000"/>
          </a:pPr>
          <a:r>
            <a:rPr lang="nl-NL" sz="800" b="0" i="0" u="none" strike="noStrike" baseline="0">
              <a:solidFill>
                <a:srgbClr val="000000"/>
              </a:solidFill>
              <a:latin typeface="Trebuchet MS"/>
            </a:rPr>
            <a:t>   </a:t>
          </a:r>
        </a:p>
        <a:p>
          <a:pPr algn="l" rtl="0">
            <a:defRPr sz="1000"/>
          </a:pPr>
          <a:r>
            <a:rPr lang="nl-NL" sz="800" b="1" i="0" u="none" strike="noStrike" baseline="0">
              <a:solidFill>
                <a:srgbClr val="000000"/>
              </a:solidFill>
              <a:latin typeface="Trebuchet MS"/>
            </a:rPr>
            <a:t>Parts Department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Sales Parts Sales</a:t>
          </a:r>
        </a:p>
        <a:p>
          <a:pPr algn="l" rtl="0">
            <a:defRPr sz="1000"/>
          </a:pPr>
          <a:r>
            <a:rPr lang="nl-NL" sz="800" b="0" i="0" u="none" strike="noStrike" baseline="0">
              <a:solidFill>
                <a:srgbClr val="000000"/>
              </a:solidFill>
              <a:latin typeface="Trebuchet MS"/>
            </a:rPr>
            <a:t>Gross Margin Parts Gross Profit / Parts Sales</a:t>
          </a:r>
        </a:p>
        <a:p>
          <a:pPr algn="l" rtl="0">
            <a:defRPr sz="1000"/>
          </a:pPr>
          <a:r>
            <a:rPr lang="nl-NL" sz="800" b="0" i="0" u="none" strike="noStrike" baseline="0">
              <a:solidFill>
                <a:srgbClr val="000000"/>
              </a:solidFill>
              <a:latin typeface="Trebuchet MS"/>
            </a:rPr>
            <a:t>Operating Expense % ((Parts Selling Expense + Parts Salaries &amp; Wages + Parts Other Operating cost + Parts Depreciation) / Parts Sales) * 100%</a:t>
          </a:r>
        </a:p>
        <a:p>
          <a:pPr algn="l" rtl="0">
            <a:defRPr sz="1000"/>
          </a:pPr>
          <a:r>
            <a:rPr lang="nl-NL" sz="800" b="0" i="0" u="none" strike="noStrike" baseline="0">
              <a:solidFill>
                <a:srgbClr val="000000"/>
              </a:solidFill>
              <a:latin typeface="Trebuchet MS"/>
            </a:rPr>
            <a:t>Operating Margin % (Parts Operating Profit / Parts Sales) * 100%</a:t>
          </a:r>
        </a:p>
        <a:p>
          <a:pPr algn="l" rtl="0">
            <a:defRPr sz="1000"/>
          </a:pPr>
          <a:r>
            <a:rPr lang="nl-NL" sz="800" b="0" i="0" u="none" strike="noStrike" baseline="0">
              <a:solidFill>
                <a:srgbClr val="000000"/>
              </a:solidFill>
              <a:latin typeface="Trebuchet MS"/>
            </a:rPr>
            <a:t>Inventory Turns (Parts Sales - Parts Gross Profit) / Parts Inventory</a:t>
          </a:r>
        </a:p>
        <a:p>
          <a:pPr algn="l" rtl="0">
            <a:defRPr sz="1000"/>
          </a:pPr>
          <a:r>
            <a:rPr lang="nl-NL" sz="800" b="0" i="0" u="none" strike="noStrike" baseline="0">
              <a:solidFill>
                <a:srgbClr val="000000"/>
              </a:solidFill>
              <a:latin typeface="Trebuchet MS"/>
            </a:rPr>
            <a:t>Inventory DOH Parts Inventory / (Parts Sales - Parts Gross Profit) * # days</a:t>
          </a:r>
        </a:p>
        <a:p>
          <a:pPr algn="l" rtl="0">
            <a:defRPr sz="1000"/>
          </a:pPr>
          <a:r>
            <a:rPr lang="nl-NL" sz="800" b="0" i="0" u="none" strike="noStrike" baseline="0">
              <a:solidFill>
                <a:srgbClr val="000000"/>
              </a:solidFill>
              <a:latin typeface="Trebuchet MS"/>
            </a:rPr>
            <a:t>Sales/ Employee Parts Sales / Headcount Parts Department</a:t>
          </a:r>
        </a:p>
        <a:p>
          <a:pPr algn="l" rtl="0">
            <a:defRPr sz="1000"/>
          </a:pPr>
          <a:r>
            <a:rPr lang="nl-NL" sz="800" b="0" i="0" u="none" strike="noStrike" baseline="0">
              <a:solidFill>
                <a:srgbClr val="000000"/>
              </a:solidFill>
              <a:latin typeface="Trebuchet MS"/>
            </a:rPr>
            <a:t>   </a:t>
          </a:r>
        </a:p>
        <a:p>
          <a:pPr algn="l" rtl="0">
            <a:defRPr sz="1000"/>
          </a:pPr>
          <a:r>
            <a:rPr lang="nl-NL" sz="800" b="1" i="0" u="none" strike="noStrike" baseline="0">
              <a:solidFill>
                <a:srgbClr val="000000"/>
              </a:solidFill>
              <a:latin typeface="Trebuchet MS"/>
            </a:rPr>
            <a:t>Service &amp; Body Department</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Sales Service &amp; Body shop Sales</a:t>
          </a:r>
        </a:p>
        <a:p>
          <a:pPr algn="l" rtl="0">
            <a:defRPr sz="1000"/>
          </a:pPr>
          <a:r>
            <a:rPr lang="nl-NL" sz="800" b="0" i="0" u="none" strike="noStrike" baseline="0">
              <a:solidFill>
                <a:srgbClr val="000000"/>
              </a:solidFill>
              <a:latin typeface="Trebuchet MS"/>
            </a:rPr>
            <a:t>Gross Margin Service &amp; Body shop Gross Profit / Service &amp; Body shop Sales</a:t>
          </a:r>
        </a:p>
        <a:p>
          <a:pPr algn="l" rtl="0">
            <a:defRPr sz="1000"/>
          </a:pPr>
          <a:r>
            <a:rPr lang="nl-NL" sz="800" b="0" i="0" u="none" strike="noStrike" baseline="0">
              <a:solidFill>
                <a:srgbClr val="000000"/>
              </a:solidFill>
              <a:latin typeface="Trebuchet MS"/>
            </a:rPr>
            <a:t>Operating Expense % ((Service &amp; Body shop Selling Expense + Service &amp; Body shop Salaries &amp; Wages + Service &amp; Body shop Other Operating cost + Service &amp; Body shop Depreciation) / Service &amp; Body shop Sales) * 100%</a:t>
          </a:r>
        </a:p>
        <a:p>
          <a:pPr algn="l" rtl="0">
            <a:defRPr sz="1000"/>
          </a:pPr>
          <a:r>
            <a:rPr lang="nl-NL" sz="800" b="0" i="0" u="none" strike="noStrike" baseline="0">
              <a:solidFill>
                <a:srgbClr val="000000"/>
              </a:solidFill>
              <a:latin typeface="Trebuchet MS"/>
            </a:rPr>
            <a:t>Operating Margin % (Service &amp; Body shop Operating Profit / Service &amp; Body shop Sales) *100 %</a:t>
          </a:r>
        </a:p>
        <a:p>
          <a:pPr algn="l" rtl="0">
            <a:defRPr sz="1000"/>
          </a:pPr>
          <a:r>
            <a:rPr lang="nl-NL" sz="800" b="0" i="0" u="none" strike="noStrike" baseline="0">
              <a:solidFill>
                <a:srgbClr val="000000"/>
              </a:solidFill>
              <a:latin typeface="Trebuchet MS"/>
            </a:rPr>
            <a:t>Sales/ Employee Service &amp; Body shop Sales / Headcount Service &amp; Body Shop Dept</a:t>
          </a:r>
        </a:p>
        <a:p>
          <a:pPr algn="l" rtl="0">
            <a:defRPr sz="1000"/>
          </a:pPr>
          <a:r>
            <a:rPr lang="nl-NL" sz="800" b="0" i="0" u="none" strike="noStrike" baseline="0">
              <a:solidFill>
                <a:srgbClr val="000000"/>
              </a:solidFill>
              <a:latin typeface="Trebuchet MS"/>
            </a:rPr>
            <a:t>   </a:t>
          </a:r>
        </a:p>
        <a:p>
          <a:pPr algn="l" rtl="0">
            <a:defRPr sz="1000"/>
          </a:pPr>
          <a:r>
            <a:rPr lang="nl-NL" sz="800" b="1" i="0" u="none" strike="noStrike" baseline="0">
              <a:solidFill>
                <a:srgbClr val="000000"/>
              </a:solidFill>
              <a:latin typeface="Trebuchet MS"/>
            </a:rPr>
            <a:t>General &amp; Administration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Unallocated Expenses General &amp; Administration Expenses</a:t>
          </a:r>
        </a:p>
        <a:p>
          <a:pPr algn="l" rtl="0">
            <a:defRPr sz="1000"/>
          </a:pPr>
          <a:r>
            <a:rPr lang="nl-NL" sz="800" b="0" i="0" u="none" strike="noStrike" baseline="0">
              <a:solidFill>
                <a:srgbClr val="000000"/>
              </a:solidFill>
              <a:latin typeface="Trebuchet MS"/>
            </a:rPr>
            <a:t>% Sales (General &amp; Administration Expenses / Total Sales) * 100%</a:t>
          </a:r>
        </a:p>
        <a:p>
          <a:pPr algn="l" rtl="0">
            <a:defRPr sz="1000"/>
          </a:pPr>
          <a:endParaRPr lang="nl-NL"/>
        </a:p>
      </xdr:txBody>
    </xdr:sp>
    <xdr:clientData/>
  </xdr:twoCellAnchor>
  <xdr:twoCellAnchor editAs="oneCell">
    <xdr:from>
      <xdr:col>0</xdr:col>
      <xdr:colOff>6172200</xdr:colOff>
      <xdr:row>0</xdr:row>
      <xdr:rowOff>76200</xdr:rowOff>
    </xdr:from>
    <xdr:to>
      <xdr:col>0</xdr:col>
      <xdr:colOff>6654800</xdr:colOff>
      <xdr:row>0</xdr:row>
      <xdr:rowOff>406400</xdr:rowOff>
    </xdr:to>
    <xdr:pic>
      <xdr:nvPicPr>
        <xdr:cNvPr id="86017" name="CommandButton1">
          <a:extLst>
            <a:ext uri="{FF2B5EF4-FFF2-40B4-BE49-F238E27FC236}">
              <a16:creationId xmlns:a16="http://schemas.microsoft.com/office/drawing/2014/main" xmlns="" id="{00000000-0008-0000-3400-00000150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00" y="76200"/>
          <a:ext cx="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2</xdr:col>
      <xdr:colOff>485775</xdr:colOff>
      <xdr:row>1</xdr:row>
      <xdr:rowOff>47625</xdr:rowOff>
    </xdr:from>
    <xdr:to>
      <xdr:col>10</xdr:col>
      <xdr:colOff>495300</xdr:colOff>
      <xdr:row>50</xdr:row>
      <xdr:rowOff>190500</xdr:rowOff>
    </xdr:to>
    <xdr:sp macro="" textlink="">
      <xdr:nvSpPr>
        <xdr:cNvPr id="87042" name="MyHelpTekst" hidden="1">
          <a:extLst>
            <a:ext uri="{FF2B5EF4-FFF2-40B4-BE49-F238E27FC236}">
              <a16:creationId xmlns:a16="http://schemas.microsoft.com/office/drawing/2014/main" xmlns="" id="{00000000-0008-0000-3500-000002540100}"/>
            </a:ext>
          </a:extLst>
        </xdr:cNvPr>
        <xdr:cNvSpPr>
          <a:spLocks noChangeArrowheads="1"/>
        </xdr:cNvSpPr>
      </xdr:nvSpPr>
      <xdr:spPr bwMode="auto">
        <a:xfrm>
          <a:off x="3238500" y="409575"/>
          <a:ext cx="7010400" cy="970597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7.9.1 Balance Sheet – Assets</a:t>
          </a: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The opening balance of year 1 is only shown for new dealers.</a:t>
          </a:r>
        </a:p>
        <a:p>
          <a:pPr algn="l" rtl="0">
            <a:defRPr sz="1000"/>
          </a:pPr>
          <a:r>
            <a:rPr lang="nl-NL" sz="800" b="1" i="0" u="none" strike="noStrike" baseline="0">
              <a:solidFill>
                <a:srgbClr val="000000"/>
              </a:solidFill>
              <a:latin typeface="Trebuchet MS"/>
            </a:rPr>
            <a:t>General: Please apply fixed valuation principles for fixed and current assets: Preferably historical value</a:t>
          </a:r>
        </a:p>
        <a:p>
          <a:pPr algn="l" rtl="0">
            <a:defRPr sz="1000"/>
          </a:pPr>
          <a:r>
            <a:rPr lang="nl-NL" sz="800" b="1" i="0" u="none" strike="noStrike" baseline="0">
              <a:solidFill>
                <a:srgbClr val="000000"/>
              </a:solidFill>
              <a:latin typeface="Trebuchet MS"/>
            </a:rPr>
            <a:t>The structure is summarized in the following matrix:</a:t>
          </a:r>
        </a:p>
        <a:p>
          <a:pPr algn="l" rtl="0">
            <a:defRPr sz="1000"/>
          </a:pPr>
          <a:r>
            <a:rPr lang="nl-NL" sz="800" b="1" i="0" u="none" strike="noStrike" baseline="0">
              <a:solidFill>
                <a:srgbClr val="000000"/>
              </a:solidFill>
              <a:latin typeface="Trebuchet MS"/>
            </a:rPr>
            <a:t>Fixed Assets</a:t>
          </a:r>
        </a:p>
        <a:p>
          <a:pPr algn="l" rtl="0">
            <a:defRPr sz="1000"/>
          </a:pPr>
          <a:r>
            <a:rPr lang="nl-NL" sz="800" b="0" i="0" u="none" strike="noStrike" baseline="0">
              <a:solidFill>
                <a:srgbClr val="000000"/>
              </a:solidFill>
              <a:latin typeface="Trebuchet MS"/>
            </a:rPr>
            <a:t>Intangible Assets</a:t>
          </a:r>
        </a:p>
        <a:p>
          <a:pPr algn="l" rtl="0">
            <a:defRPr sz="1000"/>
          </a:pPr>
          <a:r>
            <a:rPr lang="nl-NL" sz="800" b="0" i="0" u="none" strike="noStrike" baseline="0">
              <a:solidFill>
                <a:srgbClr val="000000"/>
              </a:solidFill>
              <a:latin typeface="Trebuchet MS"/>
            </a:rPr>
            <a:t>• Start up costs (notary, emission cost of shares, etc.)</a:t>
          </a:r>
        </a:p>
        <a:p>
          <a:pPr algn="l" rtl="0">
            <a:defRPr sz="1000"/>
          </a:pPr>
          <a:r>
            <a:rPr lang="nl-NL" sz="800" b="0" i="0" u="none" strike="noStrike" baseline="0">
              <a:solidFill>
                <a:srgbClr val="000000"/>
              </a:solidFill>
              <a:latin typeface="Trebuchet MS"/>
            </a:rPr>
            <a:t>• Goodwill</a:t>
          </a:r>
        </a:p>
        <a:p>
          <a:pPr algn="l" rtl="0">
            <a:defRPr sz="1000"/>
          </a:pPr>
          <a:r>
            <a:rPr lang="nl-NL" sz="800" b="0" i="0" u="none" strike="noStrike" baseline="0">
              <a:solidFill>
                <a:srgbClr val="000000"/>
              </a:solidFill>
              <a:latin typeface="Trebuchet MS"/>
            </a:rPr>
            <a:t>• Licenses</a:t>
          </a:r>
        </a:p>
        <a:p>
          <a:pPr algn="l" rtl="0">
            <a:defRPr sz="1000"/>
          </a:pPr>
          <a:r>
            <a:rPr lang="nl-NL" sz="800" b="0" i="0" u="none" strike="noStrike" baseline="0">
              <a:solidFill>
                <a:srgbClr val="000000"/>
              </a:solidFill>
              <a:latin typeface="Trebuchet MS"/>
            </a:rPr>
            <a:t>Tangible Assets</a:t>
          </a:r>
        </a:p>
        <a:p>
          <a:pPr algn="l" rtl="0">
            <a:defRPr sz="1000"/>
          </a:pPr>
          <a:r>
            <a:rPr lang="nl-NL" sz="800" b="0" i="0" u="none" strike="noStrike" baseline="0">
              <a:solidFill>
                <a:srgbClr val="000000"/>
              </a:solidFill>
              <a:latin typeface="Trebuchet MS"/>
            </a:rPr>
            <a:t>• Land</a:t>
          </a:r>
        </a:p>
        <a:p>
          <a:pPr algn="l" rtl="0">
            <a:defRPr sz="1000"/>
          </a:pPr>
          <a:r>
            <a:rPr lang="nl-NL" sz="800" b="0" i="0" u="none" strike="noStrike" baseline="0">
              <a:solidFill>
                <a:srgbClr val="000000"/>
              </a:solidFill>
              <a:latin typeface="Trebuchet MS"/>
            </a:rPr>
            <a:t>• Building</a:t>
          </a:r>
        </a:p>
        <a:p>
          <a:pPr algn="l" rtl="0">
            <a:defRPr sz="1000"/>
          </a:pPr>
          <a:r>
            <a:rPr lang="nl-NL" sz="800" b="0" i="0" u="none" strike="noStrike" baseline="0">
              <a:solidFill>
                <a:srgbClr val="000000"/>
              </a:solidFill>
              <a:latin typeface="Trebuchet MS"/>
            </a:rPr>
            <a:t>• Installations &amp; equipment</a:t>
          </a:r>
        </a:p>
        <a:p>
          <a:pPr algn="l" rtl="0">
            <a:defRPr sz="1000"/>
          </a:pPr>
          <a:r>
            <a:rPr lang="nl-NL" sz="800" b="0" i="0" u="none" strike="noStrike" baseline="0">
              <a:solidFill>
                <a:srgbClr val="000000"/>
              </a:solidFill>
              <a:latin typeface="Trebuchet MS"/>
            </a:rPr>
            <a:t>• Furniture &amp; fixture</a:t>
          </a:r>
        </a:p>
        <a:p>
          <a:pPr algn="l" rtl="0">
            <a:defRPr sz="1000"/>
          </a:pPr>
          <a:r>
            <a:rPr lang="nl-NL" sz="800" b="0" i="0" u="none" strike="noStrike" baseline="0">
              <a:solidFill>
                <a:srgbClr val="000000"/>
              </a:solidFill>
              <a:latin typeface="Trebuchet MS"/>
            </a:rPr>
            <a:t>• Vehicles</a:t>
          </a:r>
        </a:p>
        <a:p>
          <a:pPr algn="l" rtl="0">
            <a:defRPr sz="1000"/>
          </a:pPr>
          <a:r>
            <a:rPr lang="nl-NL" sz="800" b="0" i="0" u="none" strike="noStrike" baseline="0">
              <a:solidFill>
                <a:srgbClr val="000000"/>
              </a:solidFill>
              <a:latin typeface="Trebuchet MS"/>
            </a:rPr>
            <a:t>Financial Assets</a:t>
          </a:r>
        </a:p>
        <a:p>
          <a:pPr algn="l" rtl="0">
            <a:defRPr sz="1000"/>
          </a:pPr>
          <a:r>
            <a:rPr lang="nl-NL" sz="800" b="0" i="0" u="none" strike="noStrike" baseline="0">
              <a:solidFill>
                <a:srgbClr val="000000"/>
              </a:solidFill>
              <a:latin typeface="Trebuchet MS"/>
            </a:rPr>
            <a:t>● Long term loans distributed by the company to:</a:t>
          </a:r>
        </a:p>
        <a:p>
          <a:pPr algn="l" rtl="0">
            <a:defRPr sz="1000"/>
          </a:pPr>
          <a:r>
            <a:rPr lang="nl-NL" sz="800" b="0" i="0" u="none" strike="noStrike" baseline="0">
              <a:solidFill>
                <a:srgbClr val="000000"/>
              </a:solidFill>
              <a:latin typeface="Trebuchet MS"/>
            </a:rPr>
            <a:t>o Personnel</a:t>
          </a:r>
        </a:p>
        <a:p>
          <a:pPr algn="l" rtl="0">
            <a:defRPr sz="1000"/>
          </a:pPr>
          <a:r>
            <a:rPr lang="nl-NL" sz="800" b="0" i="0" u="none" strike="noStrike" baseline="0">
              <a:solidFill>
                <a:srgbClr val="000000"/>
              </a:solidFill>
              <a:latin typeface="Trebuchet MS"/>
            </a:rPr>
            <a:t>o Group companies or affiliated companies</a:t>
          </a:r>
        </a:p>
        <a:p>
          <a:pPr algn="l" rtl="0">
            <a:defRPr sz="1000"/>
          </a:pPr>
          <a:r>
            <a:rPr lang="nl-NL" sz="800" b="0" i="0" u="none" strike="noStrike" baseline="0">
              <a:solidFill>
                <a:srgbClr val="000000"/>
              </a:solidFill>
              <a:latin typeface="Trebuchet MS"/>
            </a:rPr>
            <a:t>● Participations:</a:t>
          </a:r>
        </a:p>
        <a:p>
          <a:pPr algn="l" rtl="0">
            <a:defRPr sz="1000"/>
          </a:pPr>
          <a:r>
            <a:rPr lang="nl-NL" sz="800" b="0" i="0" u="none" strike="noStrike" baseline="0">
              <a:solidFill>
                <a:srgbClr val="000000"/>
              </a:solidFill>
              <a:latin typeface="Trebuchet MS"/>
            </a:rPr>
            <a:t>o In companies which are not part of the group or are not affiliated.</a:t>
          </a:r>
        </a:p>
        <a:p>
          <a:pPr algn="l" rtl="0">
            <a:defRPr sz="1000"/>
          </a:pPr>
          <a:r>
            <a:rPr lang="nl-NL" sz="800" b="0" i="0" u="none" strike="noStrike" baseline="0">
              <a:solidFill>
                <a:srgbClr val="000000"/>
              </a:solidFill>
              <a:latin typeface="Trebuchet MS"/>
            </a:rPr>
            <a:t>o In companies which are part of the group or affiliated</a:t>
          </a:r>
          <a:endParaRPr lang="nl-NL" sz="800" b="1" i="0" u="none" strike="noStrike" baseline="0">
            <a:solidFill>
              <a:srgbClr val="000000"/>
            </a:solidFill>
            <a:latin typeface="Trebuchet MS"/>
          </a:endParaRPr>
        </a:p>
        <a:p>
          <a:pPr algn="l" rtl="0">
            <a:defRPr sz="1000"/>
          </a:pPr>
          <a:endParaRPr lang="nl-NL" sz="800" b="1"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Current Assets</a:t>
          </a:r>
        </a:p>
        <a:p>
          <a:pPr algn="l" rtl="0">
            <a:defRPr sz="1000"/>
          </a:pPr>
          <a:r>
            <a:rPr lang="nl-NL" sz="800" b="1" i="0" u="none" strike="noStrike" baseline="0">
              <a:solidFill>
                <a:srgbClr val="000000"/>
              </a:solidFill>
              <a:latin typeface="Trebuchet MS"/>
            </a:rPr>
            <a:t>I</a:t>
          </a:r>
          <a:r>
            <a:rPr lang="nl-NL" sz="800" b="0" i="0" u="none" strike="noStrike" baseline="0">
              <a:solidFill>
                <a:srgbClr val="000000"/>
              </a:solidFill>
              <a:latin typeface="Trebuchet MS"/>
            </a:rPr>
            <a:t>nventories</a:t>
          </a:r>
        </a:p>
        <a:p>
          <a:pPr algn="l" rtl="0">
            <a:defRPr sz="1000"/>
          </a:pPr>
          <a:r>
            <a:rPr lang="nl-NL" sz="800" b="0" i="0" u="none" strike="noStrike" baseline="0">
              <a:solidFill>
                <a:srgbClr val="000000"/>
              </a:solidFill>
              <a:latin typeface="Trebuchet MS"/>
            </a:rPr>
            <a:t>New Truck Inventory</a:t>
          </a:r>
        </a:p>
        <a:p>
          <a:pPr algn="l" rtl="0">
            <a:defRPr sz="1000"/>
          </a:pPr>
          <a:r>
            <a:rPr lang="nl-NL" sz="800" b="0" i="0" u="none" strike="noStrike" baseline="0">
              <a:solidFill>
                <a:srgbClr val="000000"/>
              </a:solidFill>
              <a:latin typeface="Trebuchet MS"/>
            </a:rPr>
            <a:t>● New DAF trucks (Accessories, paint and other related costs are also included)</a:t>
          </a:r>
        </a:p>
        <a:p>
          <a:pPr algn="l" rtl="0">
            <a:defRPr sz="1000"/>
          </a:pPr>
          <a:r>
            <a:rPr lang="nl-NL" sz="800" b="0" i="0" u="none" strike="noStrike" baseline="0">
              <a:solidFill>
                <a:srgbClr val="000000"/>
              </a:solidFill>
              <a:latin typeface="Trebuchet MS"/>
            </a:rPr>
            <a:t>● DAF Demonstration Vehicles (both rolling as static)</a:t>
          </a:r>
        </a:p>
        <a:p>
          <a:pPr algn="l" rtl="0">
            <a:defRPr sz="1000"/>
          </a:pPr>
          <a:r>
            <a:rPr lang="nl-NL" sz="800" b="0" i="0" u="none" strike="noStrike" baseline="0">
              <a:solidFill>
                <a:srgbClr val="000000"/>
              </a:solidFill>
              <a:latin typeface="Trebuchet MS"/>
            </a:rPr>
            <a:t>Used Truck Inventory</a:t>
          </a:r>
        </a:p>
        <a:p>
          <a:pPr algn="l" rtl="0">
            <a:defRPr sz="1000"/>
          </a:pPr>
          <a:r>
            <a:rPr lang="nl-NL" sz="800" b="0" i="0" u="none" strike="noStrike" baseline="0">
              <a:solidFill>
                <a:srgbClr val="000000"/>
              </a:solidFill>
              <a:latin typeface="Trebuchet MS"/>
            </a:rPr>
            <a:t>● Used trucks  (both DAF and non-DAF brands)</a:t>
          </a:r>
        </a:p>
        <a:p>
          <a:pPr algn="l" rtl="0">
            <a:defRPr sz="1000"/>
          </a:pPr>
          <a:r>
            <a:rPr lang="nl-NL" sz="800" b="0" i="0" u="none" strike="noStrike" baseline="0">
              <a:solidFill>
                <a:srgbClr val="000000"/>
              </a:solidFill>
              <a:latin typeface="Trebuchet MS"/>
            </a:rPr>
            <a:t>Parts Inventory</a:t>
          </a:r>
        </a:p>
        <a:p>
          <a:pPr algn="l" rtl="0">
            <a:defRPr sz="1000"/>
          </a:pPr>
          <a:r>
            <a:rPr lang="nl-NL" sz="800" b="0" i="0" u="none" strike="noStrike" baseline="0">
              <a:solidFill>
                <a:srgbClr val="000000"/>
              </a:solidFill>
              <a:latin typeface="Trebuchet MS"/>
            </a:rPr>
            <a:t>● Parts, exchange units and accessories (both DAF parts as non-DAF parts)</a:t>
          </a:r>
        </a:p>
        <a:p>
          <a:pPr algn="l" rtl="0">
            <a:defRPr sz="1000"/>
          </a:pPr>
          <a:r>
            <a:rPr lang="nl-NL" sz="800" b="0" i="0" u="none" strike="noStrike" baseline="0">
              <a:solidFill>
                <a:srgbClr val="000000"/>
              </a:solidFill>
              <a:latin typeface="Trebuchet MS"/>
            </a:rPr>
            <a:t>Other Inventory</a:t>
          </a:r>
        </a:p>
        <a:p>
          <a:pPr algn="l" rtl="0">
            <a:defRPr sz="1000"/>
          </a:pPr>
          <a:r>
            <a:rPr lang="nl-NL" sz="800" b="0" i="0" u="none" strike="noStrike" baseline="0">
              <a:solidFill>
                <a:srgbClr val="000000"/>
              </a:solidFill>
              <a:latin typeface="Trebuchet MS"/>
            </a:rPr>
            <a:t>● Other Vehicles: Vans, personal cars, trailers, new trucks of other brands</a:t>
          </a:r>
        </a:p>
        <a:p>
          <a:pPr algn="l" rtl="0">
            <a:defRPr sz="1000"/>
          </a:pPr>
          <a:r>
            <a:rPr lang="nl-NL" sz="800" b="0" i="0" u="none" strike="noStrike" baseline="0">
              <a:solidFill>
                <a:srgbClr val="000000"/>
              </a:solidFill>
              <a:latin typeface="Trebuchet MS"/>
            </a:rPr>
            <a:t>● Material service and  body shop</a:t>
          </a:r>
        </a:p>
        <a:p>
          <a:pPr algn="l" rtl="0">
            <a:defRPr sz="1000"/>
          </a:pPr>
          <a:r>
            <a:rPr lang="nl-NL" sz="800" b="0" i="0" u="none" strike="noStrike" baseline="0">
              <a:solidFill>
                <a:srgbClr val="000000"/>
              </a:solidFill>
              <a:latin typeface="Trebuchet MS"/>
            </a:rPr>
            <a:t>● Oil &amp; Lubricants</a:t>
          </a:r>
          <a:endParaRPr lang="nl-NL" sz="800" b="1"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 Tyres</a:t>
          </a:r>
        </a:p>
        <a:p>
          <a:pPr algn="l" rtl="0">
            <a:defRPr sz="1000"/>
          </a:pPr>
          <a:r>
            <a:rPr lang="nl-NL" sz="800" b="0" i="0" u="none" strike="noStrike" baseline="0">
              <a:solidFill>
                <a:srgbClr val="000000"/>
              </a:solidFill>
              <a:latin typeface="Trebuchet MS"/>
            </a:rPr>
            <a:t>Trade receivables</a:t>
          </a:r>
        </a:p>
        <a:p>
          <a:pPr algn="l" rtl="0">
            <a:defRPr sz="1000"/>
          </a:pPr>
          <a:r>
            <a:rPr lang="nl-NL" sz="800" b="0" i="0" u="none" strike="noStrike" baseline="0">
              <a:solidFill>
                <a:srgbClr val="000000"/>
              </a:solidFill>
              <a:latin typeface="Trebuchet MS"/>
            </a:rPr>
            <a:t>● Customers of new DAF trucks</a:t>
          </a:r>
        </a:p>
        <a:p>
          <a:pPr algn="l" rtl="0">
            <a:defRPr sz="1000"/>
          </a:pPr>
          <a:r>
            <a:rPr lang="nl-NL" sz="800" b="0" i="0" u="none" strike="noStrike" baseline="0">
              <a:solidFill>
                <a:srgbClr val="000000"/>
              </a:solidFill>
              <a:latin typeface="Trebuchet MS"/>
            </a:rPr>
            <a:t>● Customers of used DAF trucks (both DAF and non-DAF)</a:t>
          </a:r>
          <a:endParaRPr lang="nl-NL" sz="800" b="1"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 Customers of other business</a:t>
          </a:r>
        </a:p>
        <a:p>
          <a:pPr algn="l" rtl="0">
            <a:defRPr sz="1000"/>
          </a:pPr>
          <a:r>
            <a:rPr lang="nl-NL" sz="800" b="0" i="0" u="none" strike="noStrike" baseline="0">
              <a:solidFill>
                <a:srgbClr val="000000"/>
              </a:solidFill>
              <a:latin typeface="Trebuchet MS"/>
            </a:rPr>
            <a:t>● Customers of parts, exchange units or accessories (both DAF and non-DAF)</a:t>
          </a:r>
        </a:p>
        <a:p>
          <a:pPr algn="l" rtl="0">
            <a:defRPr sz="1000"/>
          </a:pPr>
          <a:r>
            <a:rPr lang="nl-NL" sz="800" b="0" i="0" u="none" strike="noStrike" baseline="0">
              <a:solidFill>
                <a:srgbClr val="000000"/>
              </a:solidFill>
              <a:latin typeface="Trebuchet MS"/>
            </a:rPr>
            <a:t>● Customers of workshop and body shop</a:t>
          </a:r>
          <a:endParaRPr lang="nl-NL" sz="800" b="1"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Cash &amp; Bank</a:t>
          </a:r>
          <a:endParaRPr lang="nl-NL" sz="800" b="1"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 Cash balance</a:t>
          </a:r>
        </a:p>
        <a:p>
          <a:pPr algn="l" rtl="0">
            <a:defRPr sz="1000"/>
          </a:pPr>
          <a:r>
            <a:rPr lang="nl-NL" sz="800" b="0" i="0" u="none" strike="noStrike" baseline="0">
              <a:solidFill>
                <a:srgbClr val="000000"/>
              </a:solidFill>
              <a:latin typeface="Trebuchet MS"/>
            </a:rPr>
            <a:t>● Bank balance</a:t>
          </a:r>
        </a:p>
        <a:p>
          <a:pPr algn="l" rtl="0">
            <a:defRPr sz="1000"/>
          </a:pPr>
          <a:r>
            <a:rPr lang="nl-NL" sz="800" b="0" i="0" u="none" strike="noStrike" baseline="0">
              <a:solidFill>
                <a:srgbClr val="000000"/>
              </a:solidFill>
              <a:latin typeface="Trebuchet MS"/>
            </a:rPr>
            <a:t>● Deposits account</a:t>
          </a:r>
        </a:p>
        <a:p>
          <a:pPr algn="l" rtl="0">
            <a:defRPr sz="1000"/>
          </a:pPr>
          <a:r>
            <a:rPr lang="nl-NL" sz="800" b="0" i="0" u="none" strike="noStrike" baseline="0">
              <a:solidFill>
                <a:srgbClr val="000000"/>
              </a:solidFill>
              <a:latin typeface="Trebuchet MS"/>
            </a:rPr>
            <a:t>● Suspense account</a:t>
          </a:r>
          <a:endParaRPr lang="nl-NL" sz="800" b="1" i="0" u="none" strike="noStrike" baseline="0">
            <a:solidFill>
              <a:srgbClr val="000000"/>
            </a:solidFill>
            <a:latin typeface="Trebuchet MS"/>
          </a:endParaRPr>
        </a:p>
        <a:p>
          <a:pPr algn="l" rtl="0">
            <a:defRPr sz="1000"/>
          </a:pPr>
          <a:endParaRPr lang="nl-NL" sz="800" b="1" i="0" u="none" strike="noStrike" baseline="0">
            <a:solidFill>
              <a:srgbClr val="000000"/>
            </a:solidFill>
            <a:latin typeface="Trebuchet MS"/>
          </a:endParaRPr>
        </a:p>
      </xdr:txBody>
    </xdr:sp>
    <xdr:clientData/>
  </xdr:twoCellAnchor>
  <xdr:twoCellAnchor editAs="oneCell">
    <xdr:from>
      <xdr:col>1</xdr:col>
      <xdr:colOff>1930400</xdr:colOff>
      <xdr:row>0</xdr:row>
      <xdr:rowOff>101600</xdr:rowOff>
    </xdr:from>
    <xdr:to>
      <xdr:col>1</xdr:col>
      <xdr:colOff>2514600</xdr:colOff>
      <xdr:row>0</xdr:row>
      <xdr:rowOff>482600</xdr:rowOff>
    </xdr:to>
    <xdr:pic>
      <xdr:nvPicPr>
        <xdr:cNvPr id="87041" name="CommandButton1">
          <a:extLst>
            <a:ext uri="{FF2B5EF4-FFF2-40B4-BE49-F238E27FC236}">
              <a16:creationId xmlns:a16="http://schemas.microsoft.com/office/drawing/2014/main" xmlns="" id="{00000000-0008-0000-3500-00000154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101600"/>
          <a:ext cx="0" cy="2540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4</xdr:col>
      <xdr:colOff>923925</xdr:colOff>
      <xdr:row>6</xdr:row>
      <xdr:rowOff>66675</xdr:rowOff>
    </xdr:from>
    <xdr:to>
      <xdr:col>10</xdr:col>
      <xdr:colOff>847725</xdr:colOff>
      <xdr:row>56</xdr:row>
      <xdr:rowOff>47625</xdr:rowOff>
    </xdr:to>
    <xdr:sp macro="" textlink="">
      <xdr:nvSpPr>
        <xdr:cNvPr id="88066" name="MyHelpTekst" hidden="1">
          <a:extLst>
            <a:ext uri="{FF2B5EF4-FFF2-40B4-BE49-F238E27FC236}">
              <a16:creationId xmlns:a16="http://schemas.microsoft.com/office/drawing/2014/main" xmlns="" id="{00000000-0008-0000-3600-000002580100}"/>
            </a:ext>
          </a:extLst>
        </xdr:cNvPr>
        <xdr:cNvSpPr>
          <a:spLocks noChangeArrowheads="1"/>
        </xdr:cNvSpPr>
      </xdr:nvSpPr>
      <xdr:spPr bwMode="auto">
        <a:xfrm>
          <a:off x="6657975" y="1419225"/>
          <a:ext cx="5143500" cy="969645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7.9.2 Balance Sheet – Liabilities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structure is summarized in the following matrix:</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Equity</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Share Capital</a:t>
          </a:r>
        </a:p>
        <a:p>
          <a:pPr algn="l" rtl="0">
            <a:defRPr sz="1000"/>
          </a:pPr>
          <a:r>
            <a:rPr lang="nl-NL" sz="800" b="0" i="0" u="none" strike="noStrike" baseline="0">
              <a:solidFill>
                <a:srgbClr val="000000"/>
              </a:solidFill>
              <a:latin typeface="Trebuchet MS"/>
            </a:rPr>
            <a:t>• Paid share capital and non paid capital</a:t>
          </a:r>
        </a:p>
        <a:p>
          <a:pPr algn="l" rtl="0">
            <a:defRPr sz="1000"/>
          </a:pPr>
          <a:r>
            <a:rPr lang="nl-NL" sz="800" b="0" i="0" u="none" strike="noStrike" baseline="0">
              <a:solidFill>
                <a:srgbClr val="000000"/>
              </a:solidFill>
              <a:latin typeface="Trebuchet MS"/>
            </a:rPr>
            <a:t>Reserves</a:t>
          </a:r>
        </a:p>
        <a:p>
          <a:pPr algn="l" rtl="0">
            <a:defRPr sz="1000"/>
          </a:pPr>
          <a:r>
            <a:rPr lang="nl-NL" sz="800" b="0" i="0" u="none" strike="noStrike" baseline="0">
              <a:solidFill>
                <a:srgbClr val="000000"/>
              </a:solidFill>
              <a:latin typeface="Trebuchet MS"/>
            </a:rPr>
            <a:t>• Statutory reserves: non distributable reserves</a:t>
          </a:r>
        </a:p>
        <a:p>
          <a:pPr algn="l" rtl="0">
            <a:defRPr sz="1000"/>
          </a:pPr>
          <a:r>
            <a:rPr lang="nl-NL" sz="800" b="0" i="0" u="none" strike="noStrike" baseline="0">
              <a:solidFill>
                <a:srgbClr val="000000"/>
              </a:solidFill>
              <a:latin typeface="Trebuchet MS"/>
            </a:rPr>
            <a:t>• Legal reserves</a:t>
          </a:r>
        </a:p>
        <a:p>
          <a:pPr algn="l" rtl="0">
            <a:defRPr sz="1000"/>
          </a:pPr>
          <a:r>
            <a:rPr lang="nl-NL" sz="800" b="0" i="0" u="none" strike="noStrike" baseline="0">
              <a:solidFill>
                <a:srgbClr val="000000"/>
              </a:solidFill>
              <a:latin typeface="Trebuchet MS"/>
            </a:rPr>
            <a:t>Revaluation reserves</a:t>
          </a:r>
        </a:p>
        <a:p>
          <a:pPr algn="l" rtl="0">
            <a:defRPr sz="1000"/>
          </a:pPr>
          <a:r>
            <a:rPr lang="nl-NL" sz="800" b="0" i="0" u="none" strike="noStrike" baseline="0">
              <a:solidFill>
                <a:srgbClr val="000000"/>
              </a:solidFill>
              <a:latin typeface="Trebuchet MS"/>
            </a:rPr>
            <a:t>Subordinated loans</a:t>
          </a:r>
        </a:p>
        <a:p>
          <a:pPr algn="l" rtl="0">
            <a:defRPr sz="1000"/>
          </a:pPr>
          <a:r>
            <a:rPr lang="nl-NL" sz="800" b="0" i="0" u="none" strike="noStrike" baseline="0">
              <a:solidFill>
                <a:srgbClr val="000000"/>
              </a:solidFill>
              <a:latin typeface="Trebuchet MS"/>
            </a:rPr>
            <a:t>● Only if loan is subordinated to ALL creditors</a:t>
          </a:r>
        </a:p>
        <a:p>
          <a:pPr algn="l" rtl="0">
            <a:defRPr sz="1000"/>
          </a:pPr>
          <a:r>
            <a:rPr lang="nl-NL" sz="800" b="0" i="0" u="none" strike="noStrike" baseline="0">
              <a:solidFill>
                <a:srgbClr val="000000"/>
              </a:solidFill>
              <a:latin typeface="Trebuchet MS"/>
            </a:rPr>
            <a:t>Retained earnings</a:t>
          </a:r>
        </a:p>
        <a:p>
          <a:pPr algn="l" rtl="0">
            <a:defRPr sz="1000"/>
          </a:pPr>
          <a:r>
            <a:rPr lang="nl-NL" sz="800" b="0" i="0" u="none" strike="noStrike" baseline="0">
              <a:solidFill>
                <a:srgbClr val="000000"/>
              </a:solidFill>
              <a:latin typeface="Trebuchet MS"/>
            </a:rPr>
            <a:t>• Retained earnings past fiscal years (Profit &amp; Loss Account)</a:t>
          </a:r>
        </a:p>
        <a:p>
          <a:pPr algn="l" rtl="0">
            <a:defRPr sz="1000"/>
          </a:pPr>
          <a:r>
            <a:rPr lang="nl-NL" sz="800" b="0" i="0" u="none" strike="noStrike" baseline="0">
              <a:solidFill>
                <a:srgbClr val="000000"/>
              </a:solidFill>
              <a:latin typeface="Trebuchet MS"/>
            </a:rPr>
            <a:t>Net profit (loss) after tax</a:t>
          </a:r>
        </a:p>
        <a:p>
          <a:pPr algn="l" rtl="0">
            <a:defRPr sz="1000"/>
          </a:pPr>
          <a:r>
            <a:rPr lang="nl-NL" sz="800" b="0" i="0" u="none" strike="noStrike" baseline="0">
              <a:solidFill>
                <a:srgbClr val="000000"/>
              </a:solidFill>
              <a:latin typeface="Trebuchet MS"/>
            </a:rPr>
            <a:t>• Result of the year (Retained profit (loss) for the current year)</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Long Term Liabilities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Provisions</a:t>
          </a:r>
        </a:p>
        <a:p>
          <a:pPr algn="l" rtl="0">
            <a:defRPr sz="1000"/>
          </a:pPr>
          <a:r>
            <a:rPr lang="nl-NL" sz="800" b="0" i="0" u="none" strike="noStrike" baseline="0">
              <a:solidFill>
                <a:srgbClr val="000000"/>
              </a:solidFill>
              <a:latin typeface="Trebuchet MS"/>
            </a:rPr>
            <a:t>● Pension funds</a:t>
          </a:r>
        </a:p>
        <a:p>
          <a:pPr algn="l" rtl="0">
            <a:defRPr sz="1000"/>
          </a:pPr>
          <a:r>
            <a:rPr lang="nl-NL" sz="800" b="0" i="0" u="none" strike="noStrike" baseline="0">
              <a:solidFill>
                <a:srgbClr val="000000"/>
              </a:solidFill>
              <a:latin typeface="Trebuchet MS"/>
            </a:rPr>
            <a:t>● RVG Residual value guarantees</a:t>
          </a:r>
        </a:p>
        <a:p>
          <a:pPr algn="l" rtl="0">
            <a:defRPr sz="1000"/>
          </a:pPr>
          <a:r>
            <a:rPr lang="nl-NL" sz="800" b="0" i="0" u="none" strike="noStrike" baseline="0">
              <a:solidFill>
                <a:srgbClr val="000000"/>
              </a:solidFill>
              <a:latin typeface="Trebuchet MS"/>
            </a:rPr>
            <a:t>● Repair &amp; Maintenance contracts</a:t>
          </a:r>
        </a:p>
        <a:p>
          <a:pPr algn="l" rtl="0">
            <a:defRPr sz="1000"/>
          </a:pPr>
          <a:r>
            <a:rPr lang="nl-NL" sz="800" b="0" i="0" u="none" strike="noStrike" baseline="0">
              <a:solidFill>
                <a:srgbClr val="000000"/>
              </a:solidFill>
              <a:latin typeface="Trebuchet MS"/>
            </a:rPr>
            <a:t>● Maintenance of assets</a:t>
          </a:r>
        </a:p>
        <a:p>
          <a:pPr algn="l" rtl="0">
            <a:defRPr sz="1000"/>
          </a:pPr>
          <a:r>
            <a:rPr lang="nl-NL" sz="800" b="0" i="0" u="none" strike="noStrike" baseline="0">
              <a:solidFill>
                <a:srgbClr val="000000"/>
              </a:solidFill>
              <a:latin typeface="Trebuchet MS"/>
            </a:rPr>
            <a:t>● Deferred taxes</a:t>
          </a:r>
        </a:p>
        <a:p>
          <a:pPr algn="l" rtl="0">
            <a:defRPr sz="1000"/>
          </a:pPr>
          <a:r>
            <a:rPr lang="nl-NL" sz="800" b="0" i="0" u="none" strike="noStrike" baseline="0">
              <a:solidFill>
                <a:srgbClr val="000000"/>
              </a:solidFill>
              <a:latin typeface="Trebuchet MS"/>
            </a:rPr>
            <a:t>Subordinated loans</a:t>
          </a:r>
        </a:p>
        <a:p>
          <a:pPr algn="l" rtl="0">
            <a:defRPr sz="1000"/>
          </a:pPr>
          <a:r>
            <a:rPr lang="nl-NL" sz="800" b="0" i="0" u="none" strike="noStrike" baseline="0">
              <a:solidFill>
                <a:srgbClr val="000000"/>
              </a:solidFill>
              <a:latin typeface="Trebuchet MS"/>
            </a:rPr>
            <a:t>● If loan is subordinated to the bank</a:t>
          </a:r>
        </a:p>
        <a:p>
          <a:pPr algn="l" rtl="0">
            <a:defRPr sz="1000"/>
          </a:pPr>
          <a:r>
            <a:rPr lang="nl-NL" sz="800" b="0" i="0" u="none" strike="noStrike" baseline="0">
              <a:solidFill>
                <a:srgbClr val="000000"/>
              </a:solidFill>
              <a:latin typeface="Trebuchet MS"/>
            </a:rPr>
            <a:t>Long term loans</a:t>
          </a:r>
        </a:p>
        <a:p>
          <a:pPr algn="l" rtl="0">
            <a:defRPr sz="1000"/>
          </a:pPr>
          <a:r>
            <a:rPr lang="nl-NL" sz="800" b="0" i="0" u="none" strike="noStrike" baseline="0">
              <a:solidFill>
                <a:srgbClr val="000000"/>
              </a:solidFill>
              <a:latin typeface="Trebuchet MS"/>
            </a:rPr>
            <a:t>Banks (&gt; 1 Year)</a:t>
          </a:r>
        </a:p>
        <a:p>
          <a:pPr algn="l" rtl="0">
            <a:defRPr sz="1000"/>
          </a:pPr>
          <a:r>
            <a:rPr lang="nl-NL" sz="800" b="0" i="0" u="none" strike="noStrike" baseline="0">
              <a:solidFill>
                <a:srgbClr val="000000"/>
              </a:solidFill>
              <a:latin typeface="Trebuchet MS"/>
            </a:rPr>
            <a:t>● Debts and loans at banks and financial institutions</a:t>
          </a:r>
        </a:p>
        <a:p>
          <a:pPr algn="l" rtl="0">
            <a:defRPr sz="1000"/>
          </a:pPr>
          <a:r>
            <a:rPr lang="nl-NL" sz="800" b="0" i="0" u="none" strike="noStrike" baseline="0">
              <a:solidFill>
                <a:srgbClr val="000000"/>
              </a:solidFill>
              <a:latin typeface="Trebuchet MS"/>
            </a:rPr>
            <a:t>Other (&gt; 1 Year)</a:t>
          </a:r>
        </a:p>
        <a:p>
          <a:pPr algn="l" rtl="0">
            <a:defRPr sz="1000"/>
          </a:pPr>
          <a:r>
            <a:rPr lang="nl-NL" sz="800" b="0" i="0" u="none" strike="noStrike" baseline="0">
              <a:solidFill>
                <a:srgbClr val="000000"/>
              </a:solidFill>
              <a:latin typeface="Trebuchet MS"/>
            </a:rPr>
            <a:t>● Long term debts to group companies</a:t>
          </a:r>
        </a:p>
        <a:p>
          <a:pPr algn="l" rtl="0">
            <a:defRPr sz="1000"/>
          </a:pPr>
          <a:r>
            <a:rPr lang="nl-NL" sz="800" b="0" i="0" u="none" strike="noStrike" baseline="0">
              <a:solidFill>
                <a:srgbClr val="000000"/>
              </a:solidFill>
              <a:latin typeface="Trebuchet MS"/>
            </a:rPr>
            <a:t>● Long term part of leasing contracts (e.g. Finance leases and hire purchase agreements)</a:t>
          </a:r>
        </a:p>
        <a:p>
          <a:pPr algn="l" rtl="0">
            <a:defRPr sz="1000"/>
          </a:pPr>
          <a:r>
            <a:rPr lang="nl-NL" sz="800" b="0" i="0" u="none" strike="noStrike" baseline="0">
              <a:solidFill>
                <a:srgbClr val="000000"/>
              </a:solidFill>
              <a:latin typeface="Trebuchet MS"/>
            </a:rPr>
            <a:t>● Long term debts (loans) to owners</a:t>
          </a:r>
        </a:p>
        <a:p>
          <a:pPr algn="l" rtl="0">
            <a:defRPr sz="1000"/>
          </a:pPr>
          <a:r>
            <a:rPr lang="nl-NL" sz="800" b="0" i="0" u="none" strike="noStrike" baseline="0">
              <a:solidFill>
                <a:srgbClr val="000000"/>
              </a:solidFill>
              <a:latin typeface="Trebuchet MS"/>
            </a:rPr>
            <a:t>Note: When opening a new balance for a new book year the amount that will be paid off within one year is expected to be transferred to the short term liabilities. During book year the long term liabilities are expected to change only via new additional long term loans.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Short Term Liabilities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Trade payables</a:t>
          </a:r>
        </a:p>
        <a:p>
          <a:pPr algn="l" rtl="0">
            <a:defRPr sz="1000"/>
          </a:pPr>
          <a:r>
            <a:rPr lang="nl-NL" sz="800" b="0" i="0" u="none" strike="noStrike" baseline="0">
              <a:solidFill>
                <a:srgbClr val="000000"/>
              </a:solidFill>
              <a:latin typeface="Trebuchet MS"/>
            </a:rPr>
            <a:t>● Suppliers</a:t>
          </a:r>
        </a:p>
        <a:p>
          <a:pPr algn="l" rtl="0">
            <a:defRPr sz="1000"/>
          </a:pPr>
          <a:r>
            <a:rPr lang="nl-NL" sz="800" b="0" i="0" u="none" strike="noStrike" baseline="0">
              <a:solidFill>
                <a:srgbClr val="000000"/>
              </a:solidFill>
              <a:latin typeface="Trebuchet MS"/>
            </a:rPr>
            <a:t>VAT to be paid</a:t>
          </a:r>
        </a:p>
        <a:p>
          <a:pPr algn="l" rtl="0">
            <a:defRPr sz="1000"/>
          </a:pPr>
          <a:r>
            <a:rPr lang="nl-NL" sz="800" b="0" i="0" u="none" strike="noStrike" baseline="0">
              <a:solidFill>
                <a:srgbClr val="000000"/>
              </a:solidFill>
              <a:latin typeface="Trebuchet MS"/>
            </a:rPr>
            <a:t>● VAT payable</a:t>
          </a:r>
        </a:p>
        <a:p>
          <a:pPr algn="l" rtl="0">
            <a:defRPr sz="1000"/>
          </a:pPr>
          <a:r>
            <a:rPr lang="nl-NL" sz="800" b="0" i="0" u="none" strike="noStrike" baseline="0">
              <a:solidFill>
                <a:srgbClr val="000000"/>
              </a:solidFill>
              <a:latin typeface="Trebuchet MS"/>
            </a:rPr>
            <a:t>● Corporate Income Tax due</a:t>
          </a:r>
        </a:p>
        <a:p>
          <a:pPr algn="l" rtl="0">
            <a:defRPr sz="1000"/>
          </a:pPr>
          <a:r>
            <a:rPr lang="nl-NL" sz="800" b="0" i="0" u="none" strike="noStrike" baseline="0">
              <a:solidFill>
                <a:srgbClr val="000000"/>
              </a:solidFill>
              <a:latin typeface="Trebuchet MS"/>
            </a:rPr>
            <a:t>● Social Charges &amp; Personnel</a:t>
          </a:r>
        </a:p>
        <a:p>
          <a:pPr algn="l" rtl="0">
            <a:defRPr sz="1000"/>
          </a:pPr>
          <a:r>
            <a:rPr lang="nl-NL" sz="800" b="0" i="0" u="none" strike="noStrike" baseline="0">
              <a:solidFill>
                <a:srgbClr val="000000"/>
              </a:solidFill>
              <a:latin typeface="Trebuchet MS"/>
            </a:rPr>
            <a:t>● Intercompany payments</a:t>
          </a:r>
        </a:p>
        <a:p>
          <a:pPr algn="l" rtl="0">
            <a:defRPr sz="1000"/>
          </a:pPr>
          <a:r>
            <a:rPr lang="nl-NL" sz="800" b="0" i="0" u="none" strike="noStrike" baseline="0">
              <a:solidFill>
                <a:srgbClr val="000000"/>
              </a:solidFill>
              <a:latin typeface="Trebuchet MS"/>
            </a:rPr>
            <a:t>● Dividends payable</a:t>
          </a:r>
        </a:p>
        <a:p>
          <a:pPr algn="l" rtl="0">
            <a:defRPr sz="1000"/>
          </a:pPr>
          <a:r>
            <a:rPr lang="nl-NL" sz="800" b="0" i="0" u="none" strike="noStrike" baseline="0">
              <a:solidFill>
                <a:srgbClr val="000000"/>
              </a:solidFill>
              <a:latin typeface="Trebuchet MS"/>
            </a:rPr>
            <a:t>● Short term part of leasing contracts</a:t>
          </a:r>
        </a:p>
        <a:p>
          <a:pPr algn="l" rtl="0">
            <a:defRPr sz="1000"/>
          </a:pPr>
          <a:r>
            <a:rPr lang="nl-NL" sz="800" b="0" i="0" u="none" strike="noStrike" baseline="0">
              <a:solidFill>
                <a:srgbClr val="000000"/>
              </a:solidFill>
              <a:latin typeface="Trebuchet MS"/>
            </a:rPr>
            <a:t>Banks</a:t>
          </a:r>
        </a:p>
        <a:p>
          <a:pPr algn="l" rtl="0">
            <a:defRPr sz="1000"/>
          </a:pPr>
          <a:r>
            <a:rPr lang="nl-NL" sz="800" b="0" i="0" u="none" strike="noStrike" baseline="0">
              <a:solidFill>
                <a:srgbClr val="000000"/>
              </a:solidFill>
              <a:latin typeface="Trebuchet MS"/>
            </a:rPr>
            <a:t>● Debts and loans at banks and financial institutions due within one year</a:t>
          </a:r>
        </a:p>
        <a:p>
          <a:pPr algn="l" rtl="0">
            <a:defRPr sz="1000"/>
          </a:pPr>
          <a:r>
            <a:rPr lang="nl-NL" sz="800" b="0" i="0" u="none" strike="noStrike" baseline="0">
              <a:solidFill>
                <a:srgbClr val="000000"/>
              </a:solidFill>
              <a:latin typeface="Trebuchet MS"/>
            </a:rPr>
            <a:t>● Pay-offs within a year (of long term loans / debts)</a:t>
          </a:r>
        </a:p>
        <a:p>
          <a:pPr algn="l" rtl="0">
            <a:defRPr sz="1000"/>
          </a:pPr>
          <a:endParaRPr lang="nl-NL" sz="800" b="0" i="0" u="none" strike="noStrike" baseline="0">
            <a:solidFill>
              <a:srgbClr val="000000"/>
            </a:solidFill>
            <a:latin typeface="Trebuchet MS"/>
          </a:endParaRPr>
        </a:p>
      </xdr:txBody>
    </xdr:sp>
    <xdr:clientData/>
  </xdr:twoCellAnchor>
  <xdr:twoCellAnchor editAs="oneCell">
    <xdr:from>
      <xdr:col>0</xdr:col>
      <xdr:colOff>7061200</xdr:colOff>
      <xdr:row>0</xdr:row>
      <xdr:rowOff>76200</xdr:rowOff>
    </xdr:from>
    <xdr:to>
      <xdr:col>1</xdr:col>
      <xdr:colOff>0</xdr:colOff>
      <xdr:row>0</xdr:row>
      <xdr:rowOff>406400</xdr:rowOff>
    </xdr:to>
    <xdr:pic>
      <xdr:nvPicPr>
        <xdr:cNvPr id="88065" name="CommandButton1">
          <a:extLst>
            <a:ext uri="{FF2B5EF4-FFF2-40B4-BE49-F238E27FC236}">
              <a16:creationId xmlns:a16="http://schemas.microsoft.com/office/drawing/2014/main" xmlns="" id="{00000000-0008-0000-3600-00000158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76200"/>
          <a:ext cx="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2</xdr:col>
      <xdr:colOff>295275</xdr:colOff>
      <xdr:row>7</xdr:row>
      <xdr:rowOff>152400</xdr:rowOff>
    </xdr:from>
    <xdr:to>
      <xdr:col>9</xdr:col>
      <xdr:colOff>28575</xdr:colOff>
      <xdr:row>57</xdr:row>
      <xdr:rowOff>152400</xdr:rowOff>
    </xdr:to>
    <xdr:sp macro="" textlink="">
      <xdr:nvSpPr>
        <xdr:cNvPr id="89090" name="MyHelpTekst" hidden="1">
          <a:extLst>
            <a:ext uri="{FF2B5EF4-FFF2-40B4-BE49-F238E27FC236}">
              <a16:creationId xmlns:a16="http://schemas.microsoft.com/office/drawing/2014/main" xmlns="" id="{00000000-0008-0000-3700-0000025C0100}"/>
            </a:ext>
          </a:extLst>
        </xdr:cNvPr>
        <xdr:cNvSpPr>
          <a:spLocks noChangeArrowheads="1"/>
        </xdr:cNvSpPr>
      </xdr:nvSpPr>
      <xdr:spPr bwMode="auto">
        <a:xfrm>
          <a:off x="4095750" y="1771650"/>
          <a:ext cx="5343525" cy="967740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7.10 Ratio’s Balance Sheet</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This sheet consists of three modules; financial ratios, operational ratios and the absorption rate.</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A. Financial ratios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Change of turnover</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Percentage of yearly increase or decrease of turnover.</a:t>
          </a:r>
        </a:p>
        <a:p>
          <a:pPr algn="l" rtl="0">
            <a:defRPr sz="1000"/>
          </a:pPr>
          <a:r>
            <a:rPr lang="nl-NL" sz="800" b="1" i="0" u="none" strike="noStrike" baseline="0">
              <a:solidFill>
                <a:srgbClr val="000000"/>
              </a:solidFill>
              <a:latin typeface="Trebuchet MS"/>
            </a:rPr>
            <a:t>2. Margins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2.1. Gross margin     (Gross profit / loss) / Turnover</a:t>
          </a:r>
        </a:p>
        <a:p>
          <a:pPr algn="l" rtl="0">
            <a:defRPr sz="1000"/>
          </a:pPr>
          <a:r>
            <a:rPr lang="nl-NL" sz="800" b="0" i="0" u="none" strike="noStrike" baseline="0">
              <a:solidFill>
                <a:srgbClr val="000000"/>
              </a:solidFill>
              <a:latin typeface="Trebuchet MS"/>
            </a:rPr>
            <a:t>2.2. Gross operating profit / Turnover   (Operating profit / loss) / Turnover</a:t>
          </a:r>
        </a:p>
        <a:p>
          <a:pPr algn="l" rtl="0">
            <a:defRPr sz="1000"/>
          </a:pPr>
          <a:r>
            <a:rPr lang="nl-NL" sz="800" b="0" i="0" u="none" strike="noStrike" baseline="0">
              <a:solidFill>
                <a:srgbClr val="000000"/>
              </a:solidFill>
              <a:latin typeface="Trebuchet MS"/>
            </a:rPr>
            <a:t>2.3. Profit before tax / Turnover    (Profit / loss before tax) / Turnover</a:t>
          </a:r>
        </a:p>
        <a:p>
          <a:pPr algn="l" rtl="0">
            <a:defRPr sz="1000"/>
          </a:pPr>
          <a:r>
            <a:rPr lang="nl-NL" sz="800" b="0" i="0" u="none" strike="noStrike" baseline="0">
              <a:solidFill>
                <a:srgbClr val="000000"/>
              </a:solidFill>
              <a:latin typeface="Trebuchet MS"/>
            </a:rPr>
            <a:t>2.4. Profit before interest and tax / Turnover  (Profit / loss before tax – interest cost) / Turnover</a:t>
          </a:r>
        </a:p>
        <a:p>
          <a:pPr algn="l" rtl="0">
            <a:defRPr sz="1000"/>
          </a:pPr>
          <a:r>
            <a:rPr lang="nl-NL" sz="800" b="0" i="0" u="none" strike="noStrike" baseline="0">
              <a:solidFill>
                <a:srgbClr val="000000"/>
              </a:solidFill>
              <a:latin typeface="Trebuchet MS"/>
            </a:rPr>
            <a:t>2.5. Net profit / Turnover :    (Net profit / loss) / Turnover</a:t>
          </a:r>
        </a:p>
        <a:p>
          <a:pPr algn="l" rtl="0">
            <a:defRPr sz="1000"/>
          </a:pPr>
          <a:r>
            <a:rPr lang="nl-NL" sz="800" b="1" i="0" u="none" strike="noStrike" baseline="0">
              <a:solidFill>
                <a:srgbClr val="000000"/>
              </a:solidFill>
              <a:latin typeface="Trebuchet MS"/>
            </a:rPr>
            <a:t>3. Profitability</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3.1. Profit before tax / Equity (= ROE)   (Profit / loss before tax) / Total equity</a:t>
          </a:r>
        </a:p>
        <a:p>
          <a:pPr algn="l" rtl="0">
            <a:defRPr sz="1000"/>
          </a:pPr>
          <a:r>
            <a:rPr lang="nl-NL" sz="800" b="0" i="0" u="none" strike="noStrike" baseline="0">
              <a:solidFill>
                <a:srgbClr val="000000"/>
              </a:solidFill>
              <a:latin typeface="Trebuchet MS"/>
            </a:rPr>
            <a:t>3.2. Net profit / Equity     (Net profit / loss) / Total equity</a:t>
          </a:r>
        </a:p>
        <a:p>
          <a:pPr algn="l" rtl="0">
            <a:defRPr sz="1000"/>
          </a:pPr>
          <a:r>
            <a:rPr lang="nl-NL" sz="800" b="0" i="0" u="none" strike="noStrike" baseline="0">
              <a:solidFill>
                <a:srgbClr val="000000"/>
              </a:solidFill>
              <a:latin typeface="Trebuchet MS"/>
            </a:rPr>
            <a:t>3.3. Profit before interest and tax / Permanent funds  (Profit / loss before tax – interest cost) / Total equity + Total Long Term Debts</a:t>
          </a:r>
        </a:p>
        <a:p>
          <a:pPr algn="l" rtl="0">
            <a:defRPr sz="1000"/>
          </a:pPr>
          <a:r>
            <a:rPr lang="nl-NL" sz="800" b="1" i="0" u="none" strike="noStrike" baseline="0">
              <a:solidFill>
                <a:srgbClr val="000000"/>
              </a:solidFill>
              <a:latin typeface="Trebuchet MS"/>
            </a:rPr>
            <a:t>4. Liquidity</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4.1. Current ratio     Total current assets / Total short term liabilities</a:t>
          </a:r>
        </a:p>
        <a:p>
          <a:pPr algn="l" rtl="0">
            <a:defRPr sz="1000"/>
          </a:pPr>
          <a:r>
            <a:rPr lang="nl-NL" sz="800" b="0" i="0" u="none" strike="noStrike" baseline="0">
              <a:solidFill>
                <a:srgbClr val="000000"/>
              </a:solidFill>
              <a:latin typeface="Trebuchet MS"/>
            </a:rPr>
            <a:t>4.2. Quick ratio      (Total current assets – inventories) / Total short term debts</a:t>
          </a:r>
        </a:p>
        <a:p>
          <a:pPr algn="l" rtl="0">
            <a:defRPr sz="1000"/>
          </a:pPr>
          <a:r>
            <a:rPr lang="nl-NL" sz="800" b="0" i="0" u="none" strike="noStrike" baseline="0">
              <a:solidFill>
                <a:srgbClr val="000000"/>
              </a:solidFill>
              <a:latin typeface="Trebuchet MS"/>
            </a:rPr>
            <a:t>4.3. Working capital     Total current assets – Total short term liabilities</a:t>
          </a:r>
        </a:p>
        <a:p>
          <a:pPr algn="l" rtl="0">
            <a:defRPr sz="1000"/>
          </a:pPr>
          <a:r>
            <a:rPr lang="nl-NL" sz="800" b="1" i="0" u="none" strike="noStrike" baseline="0">
              <a:solidFill>
                <a:srgbClr val="000000"/>
              </a:solidFill>
              <a:latin typeface="Trebuchet MS"/>
            </a:rPr>
            <a:t>5. Working capital cycle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5.1. Stock days on hand (DOH) </a:t>
          </a:r>
        </a:p>
        <a:p>
          <a:pPr algn="l" rtl="0">
            <a:defRPr sz="1000"/>
          </a:pPr>
          <a:r>
            <a:rPr lang="nl-NL" sz="800" b="0" i="0" u="none" strike="noStrike" baseline="0">
              <a:solidFill>
                <a:srgbClr val="000000"/>
              </a:solidFill>
              <a:latin typeface="Trebuchet MS"/>
            </a:rPr>
            <a:t>5.1.1. New trucks     see input [7.8 Benchmarks]</a:t>
          </a:r>
        </a:p>
        <a:p>
          <a:pPr algn="l" rtl="0">
            <a:defRPr sz="1000"/>
          </a:pPr>
          <a:r>
            <a:rPr lang="nl-NL" sz="800" b="0" i="0" u="none" strike="noStrike" baseline="0">
              <a:solidFill>
                <a:srgbClr val="000000"/>
              </a:solidFill>
              <a:latin typeface="Trebuchet MS"/>
            </a:rPr>
            <a:t>5.1.2. Other products    see input [7.8 Benchmarks]</a:t>
          </a:r>
        </a:p>
        <a:p>
          <a:pPr algn="l" rtl="0">
            <a:defRPr sz="1000"/>
          </a:pPr>
          <a:r>
            <a:rPr lang="nl-NL" sz="800" b="0" i="0" u="none" strike="noStrike" baseline="0">
              <a:solidFill>
                <a:srgbClr val="000000"/>
              </a:solidFill>
              <a:latin typeface="Trebuchet MS"/>
            </a:rPr>
            <a:t>5.1.3. Parts      Parts inventory / Cost of parts sold</a:t>
          </a:r>
        </a:p>
        <a:p>
          <a:pPr algn="l" rtl="0">
            <a:defRPr sz="1000"/>
          </a:pPr>
          <a:r>
            <a:rPr lang="nl-NL" sz="800" b="0" i="0" u="none" strike="noStrike" baseline="0">
              <a:solidFill>
                <a:srgbClr val="000000"/>
              </a:solidFill>
              <a:latin typeface="Trebuchet MS"/>
            </a:rPr>
            <a:t>5.2. Days sales outstanding (DSO)   (Trade receivables &lt; 1 year) / Turnover * # days</a:t>
          </a:r>
        </a:p>
        <a:p>
          <a:pPr algn="l" rtl="0">
            <a:defRPr sz="1000"/>
          </a:pPr>
          <a:r>
            <a:rPr lang="nl-NL" sz="800" b="0" i="0" u="none" strike="noStrike" baseline="0">
              <a:solidFill>
                <a:srgbClr val="000000"/>
              </a:solidFill>
              <a:latin typeface="Trebuchet MS"/>
            </a:rPr>
            <a:t>5.3 Days outstanding payables (DPO)   Trade payables / Purchases * # days</a:t>
          </a:r>
        </a:p>
        <a:p>
          <a:pPr algn="l" rtl="0">
            <a:defRPr sz="1000"/>
          </a:pPr>
          <a:r>
            <a:rPr lang="nl-NL" sz="800" b="1" i="0" u="none" strike="noStrike" baseline="0">
              <a:solidFill>
                <a:srgbClr val="000000"/>
              </a:solidFill>
              <a:latin typeface="Trebuchet MS"/>
            </a:rPr>
            <a:t>6. Solvency ratio </a:t>
          </a:r>
          <a:r>
            <a:rPr lang="nl-NL" sz="800" b="0" i="0" u="none" strike="noStrike" baseline="0">
              <a:solidFill>
                <a:srgbClr val="000000"/>
              </a:solidFill>
              <a:latin typeface="Trebuchet MS"/>
            </a:rPr>
            <a:t>(Total equity / Total liabilities)</a:t>
          </a:r>
        </a:p>
        <a:p>
          <a:pPr algn="l" rtl="0">
            <a:defRPr sz="1000"/>
          </a:pPr>
          <a:r>
            <a:rPr lang="nl-NL" sz="800" b="1" i="0" u="none" strike="noStrike" baseline="0">
              <a:solidFill>
                <a:srgbClr val="000000"/>
              </a:solidFill>
              <a:latin typeface="Trebuchet MS"/>
            </a:rPr>
            <a:t>7. Interest coverage  </a:t>
          </a:r>
          <a:r>
            <a:rPr lang="nl-NL" sz="800" b="0" i="0" u="none" strike="noStrike" baseline="0">
              <a:solidFill>
                <a:srgbClr val="000000"/>
              </a:solidFill>
              <a:latin typeface="Trebuchet MS"/>
            </a:rPr>
            <a:t>   (Operating profit before tax and funding cost) / Funding cost</a:t>
          </a:r>
        </a:p>
        <a:p>
          <a:pPr algn="l" rtl="0">
            <a:defRPr sz="1000"/>
          </a:pPr>
          <a:r>
            <a:rPr lang="nl-NL" sz="800" b="1" i="0" u="none" strike="noStrike" baseline="0">
              <a:solidFill>
                <a:srgbClr val="000000"/>
              </a:solidFill>
              <a:latin typeface="Trebuchet MS"/>
            </a:rPr>
            <a:t>8. Salaries &amp; wages / Gross margin</a:t>
          </a:r>
          <a:r>
            <a:rPr lang="nl-NL" sz="800" b="0" i="0" u="none" strike="noStrike" baseline="0">
              <a:solidFill>
                <a:srgbClr val="000000"/>
              </a:solidFill>
              <a:latin typeface="Trebuchet MS"/>
            </a:rPr>
            <a:t>   (Total cost of personnel + variable salaries &amp; wages)) / Gross profit</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B. Operational ratios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1. Service retention     See [7.2.3 Turnover Service &amp; Body shop analysis]</a:t>
          </a:r>
        </a:p>
        <a:p>
          <a:pPr algn="l" rtl="0">
            <a:defRPr sz="1000"/>
          </a:pPr>
          <a:r>
            <a:rPr lang="nl-NL" sz="800" b="0" i="0" u="none" strike="noStrike" baseline="0">
              <a:solidFill>
                <a:srgbClr val="000000"/>
              </a:solidFill>
              <a:latin typeface="Trebuchet MS"/>
            </a:rPr>
            <a:t>2. Parts retention     See [7.2.2 Turnover Parts analysis]</a:t>
          </a:r>
        </a:p>
        <a:p>
          <a:pPr algn="l" rtl="0">
            <a:defRPr sz="1000"/>
          </a:pPr>
          <a:r>
            <a:rPr lang="nl-NL" sz="800" b="0" i="0" u="none" strike="noStrike" baseline="0">
              <a:solidFill>
                <a:srgbClr val="000000"/>
              </a:solidFill>
              <a:latin typeface="Trebuchet MS"/>
            </a:rPr>
            <a:t>3. Productivity workshop    See [7.2.3 Turnover Service &amp; Body shop analysis]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C. Absorption rate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The absorption rate shows how well a dealer can survive in case of a downturn of market when truck sales are going down. The rate shows to what extend all the costs can be covered by the gross margin leaving out the gross margin on new and used truck sales and selling expenses of trucks (sales commissions &amp; incentives and commercial policy expenses).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Parts Gross profit + Service &amp; Body shop Gross Profit</a:t>
          </a:r>
        </a:p>
        <a:p>
          <a:pPr algn="l" rtl="0">
            <a:defRPr sz="1000"/>
          </a:pPr>
          <a:r>
            <a:rPr lang="nl-NL" sz="800" b="0" i="0" u="none" strike="noStrike" baseline="0">
              <a:solidFill>
                <a:srgbClr val="000000"/>
              </a:solidFill>
              <a:latin typeface="Trebuchet MS"/>
            </a:rPr>
            <a:t>Total dealer overhead</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Sales volume * Gross margin = Gross profit</a:t>
          </a:r>
        </a:p>
        <a:p>
          <a:pPr algn="l" rtl="0">
            <a:defRPr sz="1000"/>
          </a:pPr>
          <a:r>
            <a:rPr lang="nl-NL" sz="800" b="0" i="0" u="none" strike="noStrike" baseline="0">
              <a:solidFill>
                <a:srgbClr val="000000"/>
              </a:solidFill>
              <a:latin typeface="Trebuchet MS"/>
            </a:rPr>
            <a:t>Total Overhead = Total Dealership Expenses Less truck Variable Selling Expenses</a:t>
          </a:r>
        </a:p>
        <a:p>
          <a:pPr algn="l" rtl="0">
            <a:defRPr sz="1000"/>
          </a:pPr>
          <a:endParaRPr lang="nl-NL" sz="800" b="0" i="0" u="none" strike="noStrike" baseline="0">
            <a:solidFill>
              <a:srgbClr val="000000"/>
            </a:solidFill>
            <a:latin typeface="Trebuchet MS"/>
          </a:endParaRPr>
        </a:p>
      </xdr:txBody>
    </xdr:sp>
    <xdr:clientData/>
  </xdr:twoCellAnchor>
  <xdr:twoCellAnchor editAs="oneCell">
    <xdr:from>
      <xdr:col>0</xdr:col>
      <xdr:colOff>6908800</xdr:colOff>
      <xdr:row>0</xdr:row>
      <xdr:rowOff>76200</xdr:rowOff>
    </xdr:from>
    <xdr:to>
      <xdr:col>0</xdr:col>
      <xdr:colOff>7442200</xdr:colOff>
      <xdr:row>0</xdr:row>
      <xdr:rowOff>431800</xdr:rowOff>
    </xdr:to>
    <xdr:pic>
      <xdr:nvPicPr>
        <xdr:cNvPr id="89089" name="CommandButton1">
          <a:extLst>
            <a:ext uri="{FF2B5EF4-FFF2-40B4-BE49-F238E27FC236}">
              <a16:creationId xmlns:a16="http://schemas.microsoft.com/office/drawing/2014/main" xmlns="" id="{00000000-0008-0000-3700-0000015C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00" y="76200"/>
          <a:ext cx="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0</xdr:col>
      <xdr:colOff>790575</xdr:colOff>
      <xdr:row>2</xdr:row>
      <xdr:rowOff>47625</xdr:rowOff>
    </xdr:from>
    <xdr:to>
      <xdr:col>10</xdr:col>
      <xdr:colOff>790575</xdr:colOff>
      <xdr:row>59</xdr:row>
      <xdr:rowOff>152400</xdr:rowOff>
    </xdr:to>
    <xdr:sp macro="" textlink="">
      <xdr:nvSpPr>
        <xdr:cNvPr id="61445" name="MyHelpTekst" hidden="1">
          <a:extLst>
            <a:ext uri="{FF2B5EF4-FFF2-40B4-BE49-F238E27FC236}">
              <a16:creationId xmlns:a16="http://schemas.microsoft.com/office/drawing/2014/main" xmlns="" id="{00000000-0008-0000-3800-000005F00000}"/>
            </a:ext>
          </a:extLst>
        </xdr:cNvPr>
        <xdr:cNvSpPr>
          <a:spLocks noChangeArrowheads="1"/>
        </xdr:cNvSpPr>
      </xdr:nvSpPr>
      <xdr:spPr bwMode="auto">
        <a:xfrm>
          <a:off x="790575" y="600075"/>
          <a:ext cx="10972800" cy="1085850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1000" b="1" i="0" u="none" strike="noStrike" baseline="0">
              <a:solidFill>
                <a:srgbClr val="000000"/>
              </a:solidFill>
              <a:latin typeface="Trebuchet MS"/>
            </a:rPr>
            <a:t>7.11 Cash Flow Analysis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The cash flow statement a financial statement that shows a company's incoming and outgoing money (sources and uses of cash). The statement shows how changes in balance sheet and income accounts affected cash and cash equivalents, and breaks the analysis down according to operating, investing, and financing activities.</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1.1. Cash flow from operating activities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Operating activities include the production, sales and delivery of the company's product as well as collecting payment from the customers. </a:t>
          </a:r>
        </a:p>
        <a:p>
          <a:pPr algn="l" rtl="0">
            <a:defRPr sz="1000"/>
          </a:pPr>
          <a:r>
            <a:rPr lang="nl-NL" sz="1000" b="0" i="0" u="none" strike="noStrike" baseline="0">
              <a:solidFill>
                <a:srgbClr val="000000"/>
              </a:solidFill>
              <a:latin typeface="Trebuchet MS"/>
            </a:rPr>
            <a:t>Items which are added back to the net income figure (which is found on the Income Statement) to arrive at cash flows from operations generally include:</a:t>
          </a:r>
        </a:p>
        <a:p>
          <a:pPr algn="l" rtl="0">
            <a:defRPr sz="1000"/>
          </a:pPr>
          <a:r>
            <a:rPr lang="nl-NL" sz="1000" b="0" i="0" u="none" strike="noStrike" baseline="0">
              <a:solidFill>
                <a:srgbClr val="000000"/>
              </a:solidFill>
              <a:latin typeface="Trebuchet MS"/>
            </a:rPr>
            <a:t>● Depreciation (loss of tangible asset value over time)</a:t>
          </a:r>
        </a:p>
        <a:p>
          <a:pPr algn="l" rtl="0">
            <a:defRPr sz="1000"/>
          </a:pPr>
          <a:r>
            <a:rPr lang="nl-NL" sz="1000" b="0" i="0" u="none" strike="noStrike" baseline="0">
              <a:solidFill>
                <a:srgbClr val="000000"/>
              </a:solidFill>
              <a:latin typeface="Trebuchet MS"/>
            </a:rPr>
            <a:t>● Deferred tax </a:t>
          </a:r>
        </a:p>
        <a:p>
          <a:pPr algn="l" rtl="0">
            <a:defRPr sz="1000"/>
          </a:pPr>
          <a:r>
            <a:rPr lang="nl-NL" sz="1000" b="0" i="0" u="none" strike="noStrike" baseline="0">
              <a:solidFill>
                <a:srgbClr val="000000"/>
              </a:solidFill>
              <a:latin typeface="Trebuchet MS"/>
            </a:rPr>
            <a:t>● Amortization (loss of intangible asset value over time) </a:t>
          </a:r>
        </a:p>
        <a:p>
          <a:pPr algn="l" rtl="0">
            <a:defRPr sz="1000"/>
          </a:pPr>
          <a:r>
            <a:rPr lang="nl-NL" sz="1000" b="0" i="0" u="none" strike="noStrike" baseline="0">
              <a:solidFill>
                <a:srgbClr val="000000"/>
              </a:solidFill>
              <a:latin typeface="Trebuchet MS"/>
            </a:rPr>
            <a:t>● Any gains or losses associated with an asset sale (unrealized gains/losses are also added back from the income statement) </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1.2. Working capital</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Working capital represents the amount of day-by-day operating liquidity. It is calculated as current assets minus current liabilities, which include three accounts which are of special importance. These accounts represent the areas of the business where managers have the most direct impact:</a:t>
          </a:r>
        </a:p>
        <a:p>
          <a:pPr algn="l" rtl="0">
            <a:defRPr sz="1000"/>
          </a:pPr>
          <a:r>
            <a:rPr lang="nl-NL" sz="1000" b="0" i="0" u="none" strike="noStrike" baseline="0">
              <a:solidFill>
                <a:srgbClr val="000000"/>
              </a:solidFill>
              <a:latin typeface="Trebuchet MS"/>
            </a:rPr>
            <a:t>● account receivables (current assets) </a:t>
          </a:r>
        </a:p>
        <a:p>
          <a:pPr algn="l" rtl="0">
            <a:defRPr sz="1000"/>
          </a:pPr>
          <a:r>
            <a:rPr lang="nl-NL" sz="1000" b="0" i="0" u="none" strike="noStrike" baseline="0">
              <a:solidFill>
                <a:srgbClr val="000000"/>
              </a:solidFill>
              <a:latin typeface="Trebuchet MS"/>
            </a:rPr>
            <a:t>● inventory (current assets), and </a:t>
          </a:r>
        </a:p>
        <a:p>
          <a:pPr algn="l" rtl="0">
            <a:defRPr sz="1000"/>
          </a:pPr>
          <a:r>
            <a:rPr lang="nl-NL" sz="1000" b="0" i="0" u="none" strike="noStrike" baseline="0">
              <a:solidFill>
                <a:srgbClr val="000000"/>
              </a:solidFill>
              <a:latin typeface="Trebuchet MS"/>
            </a:rPr>
            <a:t>● account payables (current liabilities) </a:t>
          </a:r>
        </a:p>
        <a:p>
          <a:pPr algn="l" rtl="0">
            <a:defRPr sz="1000"/>
          </a:pPr>
          <a:r>
            <a:rPr lang="nl-NL" sz="1000" b="0" i="0" u="none" strike="noStrike" baseline="0">
              <a:solidFill>
                <a:srgbClr val="000000"/>
              </a:solidFill>
              <a:latin typeface="Trebuchet MS"/>
            </a:rPr>
            <a:t>The current portion of debt (payable within 12 months) is critical, because it represents a short-term claim to current assets and is often secured by long term assets. Common types of short-term debt are bank loans and lines of credit.</a:t>
          </a: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The sum of funds generated from operations and the working capital cycle determine the available funds. When a new investment is planned and this total is already negative, one should consider whether it is appropriate to go on with your investment plans since you will need already additional financing to finance you day-to-day business!</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2. Cash flow from investing activities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Investing activities focus on the purchase of the long-term assets a company needs in order to make and sell its products, and the selling of any long-term assets. Items under investing activities include:</a:t>
          </a:r>
        </a:p>
        <a:p>
          <a:pPr algn="l" rtl="0">
            <a:defRPr sz="1000"/>
          </a:pPr>
          <a:r>
            <a:rPr lang="nl-NL" sz="1000" b="0" i="0" u="none" strike="noStrike" baseline="0">
              <a:solidFill>
                <a:srgbClr val="000000"/>
              </a:solidFill>
              <a:latin typeface="Trebuchet MS"/>
            </a:rPr>
            <a:t>● Capital expenditures, which include purchases (and sales) of property, plant and equipment</a:t>
          </a:r>
        </a:p>
        <a:p>
          <a:pPr algn="l" rtl="0">
            <a:defRPr sz="1000"/>
          </a:pPr>
          <a:r>
            <a:rPr lang="nl-NL" sz="1000" b="0" i="0" u="none" strike="noStrike" baseline="0">
              <a:solidFill>
                <a:srgbClr val="000000"/>
              </a:solidFill>
              <a:latin typeface="Trebuchet MS"/>
            </a:rPr>
            <a:t>● Investments </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3. Financing activities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Financing activities include the inflow of cash from investors such as banks and shareholders, as well as the outflow of cash to shareholders as dividends as the company generates income. Other activities which impact the long-term liabilities and equity of the company are also listed in the financing activities section of the cash flow statement.</a:t>
          </a:r>
        </a:p>
        <a:p>
          <a:pPr algn="l" rtl="0">
            <a:defRPr sz="1000"/>
          </a:pPr>
          <a:r>
            <a:rPr lang="nl-NL" sz="1000" b="0" i="0" u="none" strike="noStrike" baseline="0">
              <a:solidFill>
                <a:srgbClr val="000000"/>
              </a:solidFill>
              <a:latin typeface="Trebuchet MS"/>
            </a:rPr>
            <a:t>Items under the financing activities section include:</a:t>
          </a:r>
        </a:p>
        <a:p>
          <a:pPr algn="l" rtl="0">
            <a:defRPr sz="1000"/>
          </a:pPr>
          <a:r>
            <a:rPr lang="nl-NL" sz="1000" b="0" i="0" u="none" strike="noStrike" baseline="0">
              <a:solidFill>
                <a:srgbClr val="000000"/>
              </a:solidFill>
              <a:latin typeface="Trebuchet MS"/>
            </a:rPr>
            <a:t>● Dividends paid </a:t>
          </a:r>
        </a:p>
        <a:p>
          <a:pPr algn="l" rtl="0">
            <a:defRPr sz="1000"/>
          </a:pPr>
          <a:r>
            <a:rPr lang="nl-NL" sz="1000" b="0" i="0" u="none" strike="noStrike" baseline="0">
              <a:solidFill>
                <a:srgbClr val="000000"/>
              </a:solidFill>
              <a:latin typeface="Trebuchet MS"/>
            </a:rPr>
            <a:t>● Sale or repurchase of the company's stock </a:t>
          </a:r>
        </a:p>
        <a:p>
          <a:pPr algn="l" rtl="0">
            <a:defRPr sz="1000"/>
          </a:pPr>
          <a:r>
            <a:rPr lang="nl-NL" sz="1000" b="0" i="0" u="none" strike="noStrike" baseline="0">
              <a:solidFill>
                <a:srgbClr val="000000"/>
              </a:solidFill>
              <a:latin typeface="Trebuchet MS"/>
            </a:rPr>
            <a:t>● Net borrowings </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4. Change in liquidity</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Change in liquidity is the balance of the cash flow of the operating (A+B+C), investing (D) and financing (E) activities.</a:t>
          </a:r>
        </a:p>
        <a:p>
          <a:pPr algn="l" rtl="0">
            <a:defRPr sz="1000"/>
          </a:pPr>
          <a:endParaRPr lang="nl-NL" sz="1000" b="0"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5. Ending cash and equivalents</a:t>
          </a: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This is the cash and equivalent position of the previous year minus or plus the change in liquidity of the current year.</a:t>
          </a:r>
        </a:p>
        <a:p>
          <a:pPr algn="l" rtl="0">
            <a:defRPr sz="1000"/>
          </a:pPr>
          <a:endParaRPr lang="nl-NL" sz="1000" b="0" i="0" u="none" strike="noStrike" baseline="0">
            <a:solidFill>
              <a:srgbClr val="000000"/>
            </a:solidFill>
            <a:latin typeface="Trebuchet MS"/>
          </a:endParaRPr>
        </a:p>
      </xdr:txBody>
    </xdr:sp>
    <xdr:clientData/>
  </xdr:twoCellAnchor>
  <xdr:twoCellAnchor editAs="oneCell">
    <xdr:from>
      <xdr:col>1</xdr:col>
      <xdr:colOff>5461000</xdr:colOff>
      <xdr:row>0</xdr:row>
      <xdr:rowOff>76200</xdr:rowOff>
    </xdr:from>
    <xdr:to>
      <xdr:col>1</xdr:col>
      <xdr:colOff>5969000</xdr:colOff>
      <xdr:row>0</xdr:row>
      <xdr:rowOff>406400</xdr:rowOff>
    </xdr:to>
    <xdr:pic>
      <xdr:nvPicPr>
        <xdr:cNvPr id="61444" name="CommandButton1">
          <a:extLst>
            <a:ext uri="{FF2B5EF4-FFF2-40B4-BE49-F238E27FC236}">
              <a16:creationId xmlns:a16="http://schemas.microsoft.com/office/drawing/2014/main" xmlns="" id="{00000000-0008-0000-3800-000004F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00" y="76200"/>
          <a:ext cx="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6</xdr:row>
      <xdr:rowOff>9525</xdr:rowOff>
    </xdr:from>
    <xdr:to>
      <xdr:col>10</xdr:col>
      <xdr:colOff>933450</xdr:colOff>
      <xdr:row>29</xdr:row>
      <xdr:rowOff>0</xdr:rowOff>
    </xdr:to>
    <xdr:sp macro="" textlink="" fLocksText="0">
      <xdr:nvSpPr>
        <xdr:cNvPr id="90120" name="Rectangle 6">
          <a:extLst>
            <a:ext uri="{FF2B5EF4-FFF2-40B4-BE49-F238E27FC236}">
              <a16:creationId xmlns:a16="http://schemas.microsoft.com/office/drawing/2014/main" xmlns="" id="{00000000-0008-0000-3900-000008600100}"/>
            </a:ext>
          </a:extLst>
        </xdr:cNvPr>
        <xdr:cNvSpPr>
          <a:spLocks noChangeArrowheads="1"/>
        </xdr:cNvSpPr>
      </xdr:nvSpPr>
      <xdr:spPr bwMode="auto">
        <a:xfrm>
          <a:off x="0" y="1362075"/>
          <a:ext cx="10325100" cy="4314825"/>
        </a:xfrm>
        <a:prstGeom prst="rect">
          <a:avLst/>
        </a:prstGeom>
        <a:solidFill>
          <a:srgbClr val="FFFFC0"/>
        </a:solidFill>
        <a:ln w="9525" algn="ctr">
          <a:solidFill>
            <a:srgbClr val="000000"/>
          </a:solidFill>
          <a:miter lim="800000"/>
          <a:headEnd/>
          <a:tailEnd/>
        </a:ln>
      </xdr:spPr>
      <xdr:txBody>
        <a:bodyPr/>
        <a:lstStyle/>
        <a:p>
          <a:r>
            <a:rPr lang="fr-FR"/>
            <a:t>Market size</a:t>
          </a:r>
          <a:r>
            <a:rPr lang="fr-FR" baseline="0"/>
            <a:t> and growth assumption above 15 tons: It is likely that for 2018 the total market size will be around 900 vehicles. Since the market is decreasing due to credit restrictions from banks and leasing companies and the devaluation of the country's currency, we forecast a total volume of 730 trucks in 2019. The first year of operation (2019) we plan to have a total market share of 8% which represents 58 units.   </a:t>
          </a:r>
        </a:p>
        <a:p>
          <a:r>
            <a:rPr lang="fr-FR" b="1" baseline="0">
              <a:solidFill>
                <a:schemeClr val="tx1"/>
              </a:solidFill>
            </a:rPr>
            <a:t>All the segments (4X2T, 4X2R, 6X4T, 6X4R and 8X4R above 15 tons)</a:t>
          </a:r>
        </a:p>
        <a:p>
          <a:r>
            <a:rPr lang="fr-FR" b="1" baseline="0"/>
            <a:t>2019</a:t>
          </a:r>
          <a:r>
            <a:rPr lang="fr-FR" baseline="0"/>
            <a:t>: Total market size 730 vehicles (</a:t>
          </a:r>
          <a:r>
            <a:rPr lang="fr-FR" baseline="0">
              <a:solidFill>
                <a:srgbClr val="FF0000"/>
              </a:solidFill>
            </a:rPr>
            <a:t>YoY growth market -19%</a:t>
          </a:r>
          <a:r>
            <a:rPr lang="fr-FR" baseline="0">
              <a:solidFill>
                <a:schemeClr val="tx1"/>
              </a:solidFill>
            </a:rPr>
            <a:t>); </a:t>
          </a:r>
          <a:r>
            <a:rPr lang="fr-FR" baseline="0"/>
            <a:t>8% market share / 58 units</a:t>
          </a:r>
        </a:p>
        <a:p>
          <a:r>
            <a:rPr lang="fr-FR" b="1" baseline="0"/>
            <a:t>2020</a:t>
          </a:r>
          <a:r>
            <a:rPr lang="fr-FR" baseline="0"/>
            <a:t>: Total market size 910 vehichles (YoY growth market 25%); 8,8% market share / 80 units (YoY growth sales 38%)</a:t>
          </a:r>
        </a:p>
        <a:p>
          <a:r>
            <a:rPr lang="fr-FR" b="1" baseline="0"/>
            <a:t>2021</a:t>
          </a:r>
          <a:r>
            <a:rPr lang="fr-FR" baseline="0"/>
            <a:t>: Total makret size 1250 vehicules (YoY growth market 37%); 9,5% market share / 119 units (YoY growth sales 49%)</a:t>
          </a:r>
        </a:p>
        <a:p>
          <a:r>
            <a:rPr lang="fr-FR" b="1" baseline="0"/>
            <a:t>2022</a:t>
          </a:r>
          <a:r>
            <a:rPr lang="fr-FR" baseline="0"/>
            <a:t>: Total market size 1400 vehicules (YoY growth market 12%); 10,5% market share / 147 units (YoY growth sales 24%)</a:t>
          </a:r>
        </a:p>
        <a:p>
          <a:r>
            <a:rPr lang="fr-FR" b="1" baseline="0"/>
            <a:t>2023</a:t>
          </a:r>
          <a:r>
            <a:rPr lang="fr-FR" baseline="0"/>
            <a:t>: Total market size 1535 vehicules (YoY growth market 10%); 11,5% market share / 177 units (YoY growth sales 20%)</a:t>
          </a:r>
        </a:p>
        <a:p>
          <a:r>
            <a:rPr lang="fr-FR" b="1" baseline="0"/>
            <a:t>Combined segment (4X2T and 8X4R)</a:t>
          </a:r>
        </a:p>
        <a:p>
          <a:r>
            <a:rPr lang="fr-FR" b="1" baseline="0"/>
            <a:t>2019</a:t>
          </a:r>
          <a:r>
            <a:rPr lang="fr-FR" baseline="0"/>
            <a:t>: Market size 520 vehicles, 11% market share / 58 units                                                         </a:t>
          </a:r>
          <a:r>
            <a:rPr lang="fr-FR" b="1" baseline="0"/>
            <a:t>2022</a:t>
          </a:r>
          <a:r>
            <a:rPr lang="fr-FR" baseline="0"/>
            <a:t>: Market size 1051 vehicles (YoY growth market 10%); 14% market share / 147 units </a:t>
          </a:r>
        </a:p>
        <a:p>
          <a:r>
            <a:rPr lang="fr-FR" b="1" baseline="0"/>
            <a:t>2020</a:t>
          </a:r>
          <a:r>
            <a:rPr lang="fr-FR" baseline="0"/>
            <a:t>: Market size 687 vehicles (YoY growth market 32%); 12% market share / 80 units          </a:t>
          </a:r>
          <a:r>
            <a:rPr lang="fr-FR" b="1" baseline="0"/>
            <a:t>2023</a:t>
          </a:r>
          <a:r>
            <a:rPr lang="fr-FR" b="0" baseline="0"/>
            <a:t>: Market size 1150 vehicles (YoY growth market 10%); 15,5% market share / 177 units </a:t>
          </a:r>
          <a:endParaRPr lang="fr-FR" baseline="0"/>
        </a:p>
        <a:p>
          <a:r>
            <a:rPr lang="fr-FR" b="1" baseline="0"/>
            <a:t>2021: </a:t>
          </a:r>
          <a:r>
            <a:rPr lang="fr-FR" b="0" baseline="0"/>
            <a:t>Market size 955 vehicles (YoY growth market 39%); 12,5% market share / 119 units     </a:t>
          </a:r>
        </a:p>
        <a:p>
          <a:r>
            <a:rPr lang="fr-FR" b="1" baseline="0"/>
            <a:t>For the 4X2T segment                                                                                                                                                                                                                                                                                                                                                                     </a:t>
          </a:r>
          <a:r>
            <a:rPr lang="fr-FR" baseline="0"/>
            <a:t>                                                                                                                </a:t>
          </a:r>
          <a:r>
            <a:rPr lang="fr-FR" b="1" baseline="0"/>
            <a:t>2019</a:t>
          </a:r>
          <a:r>
            <a:rPr lang="fr-FR" baseline="0"/>
            <a:t>: Market size 400 units, 12% market share / 48 units                                                              </a:t>
          </a:r>
          <a:r>
            <a:rPr lang="fr-FR" b="1" baseline="0"/>
            <a:t>2022</a:t>
          </a:r>
          <a:r>
            <a:rPr lang="fr-FR" baseline="0"/>
            <a:t>: Market size 550 units, 16% market share / 88 units (YoY growth sale 26%)    </a:t>
          </a:r>
        </a:p>
        <a:p>
          <a:r>
            <a:rPr lang="fr-FR" b="1" baseline="0"/>
            <a:t>2020</a:t>
          </a:r>
          <a:r>
            <a:rPr lang="fr-FR" baseline="0"/>
            <a:t>: Market size 450 units, 13% market share / 58 units  (YoY growth sale 21%)                    </a:t>
          </a:r>
          <a:r>
            <a:rPr lang="fr-FR" b="1" baseline="0"/>
            <a:t>2023</a:t>
          </a:r>
          <a:r>
            <a:rPr lang="fr-FR" baseline="0"/>
            <a:t>: Market size 600 units, 18% market share / 108 units (YoY growth sale 23%)                                                                                                                                                                                                                                                                                                                                                                                                                                                                                                                                                                                                                                                                                                                                                                                                                                                                                                                                                                                                                                                                                                                                    </a:t>
          </a:r>
        </a:p>
        <a:p>
          <a:r>
            <a:rPr lang="fr-FR" b="1" baseline="0"/>
            <a:t>2021</a:t>
          </a:r>
          <a:r>
            <a:rPr lang="fr-FR" baseline="0"/>
            <a:t>: Market size 500 units, 14% market share / 70 units (YoY growth sale 21%)                                </a:t>
          </a:r>
        </a:p>
        <a:p>
          <a:r>
            <a:rPr lang="fr-FR" b="1" baseline="0"/>
            <a:t>For the 8X4R segment </a:t>
          </a:r>
          <a:r>
            <a:rPr lang="fr-FR" baseline="0"/>
            <a:t>(demand for this product highly linked to the infrastucture projects), we predict that totale sales will be only 120 units in 2019 and by 2020 the volume will double du to launching of important infrastructure projects.                                                                                                                                                                                                                                                                                                                                                                                                                                                                                                                                                                                                           </a:t>
          </a:r>
          <a:r>
            <a:rPr lang="fr-FR" b="1" baseline="0"/>
            <a:t>2019</a:t>
          </a:r>
          <a:r>
            <a:rPr lang="fr-FR" baseline="0"/>
            <a:t>:  Market size 120 units, 8% market share / 10 units                                                               </a:t>
          </a:r>
          <a:r>
            <a:rPr lang="fr-FR" b="1" baseline="0"/>
            <a:t>2022</a:t>
          </a:r>
          <a:r>
            <a:rPr lang="fr-FR" baseline="0"/>
            <a:t>: Market size 500 units, 10% market share / 59 units (YoY growth sale 22%)</a:t>
          </a:r>
        </a:p>
        <a:p>
          <a:r>
            <a:rPr lang="fr-FR" b="1" baseline="0">
              <a:solidFill>
                <a:schemeClr val="tx1"/>
              </a:solidFill>
            </a:rPr>
            <a:t>2020</a:t>
          </a:r>
          <a:r>
            <a:rPr lang="fr-FR" baseline="0"/>
            <a:t>: Market size 237 units, 9,5% market share / 22 units (YoY growth sale 97,5%)                </a:t>
          </a:r>
          <a:r>
            <a:rPr lang="fr-FR" b="1" baseline="0"/>
            <a:t>2023</a:t>
          </a:r>
          <a:r>
            <a:rPr lang="fr-FR" baseline="0"/>
            <a:t>: Market size 550 units, 12,5% market share / 69 units (YoY growth sale 10%)                                                                                                                                                                                                                                                                                                                                                                                                                                                                                                                                                                        </a:t>
          </a:r>
          <a:r>
            <a:rPr lang="fr-FR" b="1" baseline="0"/>
            <a:t>2021</a:t>
          </a:r>
          <a:r>
            <a:rPr lang="fr-FR" baseline="0"/>
            <a:t>:  Market size 455 units, 11% market share / 49 units (YoY growth sale 92%)                                                                                                                                                                                                                                                                                                                                                                                                                                        </a:t>
          </a:r>
        </a:p>
        <a:p>
          <a:r>
            <a:rPr lang="fr-FR" baseline="0"/>
            <a:t>By the end of the year 2023 TIM will have 11,5% market share of the total market  and 15,5% market share cross segments between the 4X2 and 8X4.                                                                                                                                                                                                                                          </a:t>
          </a:r>
        </a:p>
        <a:p>
          <a:endParaRPr lang="fr-FR" baseline="0"/>
        </a:p>
        <a:p>
          <a:endParaRPr lang="fr-FR" baseline="0"/>
        </a:p>
      </xdr:txBody>
    </xdr:sp>
    <xdr:clientData/>
  </xdr:twoCellAnchor>
  <xdr:twoCellAnchor>
    <xdr:from>
      <xdr:col>0</xdr:col>
      <xdr:colOff>0</xdr:colOff>
      <xdr:row>31</xdr:row>
      <xdr:rowOff>0</xdr:rowOff>
    </xdr:from>
    <xdr:to>
      <xdr:col>10</xdr:col>
      <xdr:colOff>933450</xdr:colOff>
      <xdr:row>53</xdr:row>
      <xdr:rowOff>180975</xdr:rowOff>
    </xdr:to>
    <xdr:sp macro="" textlink="" fLocksText="0">
      <xdr:nvSpPr>
        <xdr:cNvPr id="90121" name="Rectangle 7">
          <a:extLst>
            <a:ext uri="{FF2B5EF4-FFF2-40B4-BE49-F238E27FC236}">
              <a16:creationId xmlns:a16="http://schemas.microsoft.com/office/drawing/2014/main" xmlns="" id="{00000000-0008-0000-3900-000009600100}"/>
            </a:ext>
          </a:extLst>
        </xdr:cNvPr>
        <xdr:cNvSpPr>
          <a:spLocks noChangeArrowheads="1"/>
        </xdr:cNvSpPr>
      </xdr:nvSpPr>
      <xdr:spPr bwMode="auto">
        <a:xfrm>
          <a:off x="0" y="6057900"/>
          <a:ext cx="10325100" cy="4371975"/>
        </a:xfrm>
        <a:prstGeom prst="rect">
          <a:avLst/>
        </a:prstGeom>
        <a:solidFill>
          <a:srgbClr val="FFFFC0"/>
        </a:solidFill>
        <a:ln w="9525" algn="ctr">
          <a:solidFill>
            <a:srgbClr val="000000"/>
          </a:solidFill>
          <a:miter lim="800000"/>
          <a:headEnd/>
          <a:tailEnd/>
        </a:ln>
      </xdr:spPr>
      <xdr:txBody>
        <a:bodyPr/>
        <a:lstStyle/>
        <a:p>
          <a:r>
            <a:rPr lang="fr-FR"/>
            <a:t>We</a:t>
          </a:r>
          <a:r>
            <a:rPr lang="fr-FR" baseline="0"/>
            <a:t> aim to be among the 3 top players in terms of market share (new trucks sales). </a:t>
          </a:r>
        </a:p>
        <a:p>
          <a:r>
            <a:rPr lang="fr-FR" baseline="0"/>
            <a:t>To offer a wider range of products from 6 - 15 ton and above 15 ton.</a:t>
          </a:r>
        </a:p>
        <a:p>
          <a:r>
            <a:rPr lang="fr-FR" baseline="0"/>
            <a:t>Our aim is to be number one in terms of after sales and brand image. </a:t>
          </a:r>
        </a:p>
        <a:p>
          <a:r>
            <a:rPr lang="fr-FR" baseline="0"/>
            <a:t>To build a TRP network to strenghen our after sales position. </a:t>
          </a:r>
          <a:endParaRPr lang="fr-FR"/>
        </a:p>
      </xdr:txBody>
    </xdr:sp>
    <xdr:clientData/>
  </xdr:twoCellAnchor>
  <xdr:twoCellAnchor>
    <xdr:from>
      <xdr:col>4</xdr:col>
      <xdr:colOff>333375</xdr:colOff>
      <xdr:row>7</xdr:row>
      <xdr:rowOff>28575</xdr:rowOff>
    </xdr:from>
    <xdr:to>
      <xdr:col>255</xdr:col>
      <xdr:colOff>333375</xdr:colOff>
      <xdr:row>17</xdr:row>
      <xdr:rowOff>85725</xdr:rowOff>
    </xdr:to>
    <xdr:sp macro="" textlink="">
      <xdr:nvSpPr>
        <xdr:cNvPr id="90122" name="MyHelpTekst" hidden="1">
          <a:extLst>
            <a:ext uri="{FF2B5EF4-FFF2-40B4-BE49-F238E27FC236}">
              <a16:creationId xmlns:a16="http://schemas.microsoft.com/office/drawing/2014/main" xmlns="" id="{00000000-0008-0000-3900-00000A600100}"/>
            </a:ext>
          </a:extLst>
        </xdr:cNvPr>
        <xdr:cNvSpPr>
          <a:spLocks noChangeArrowheads="1"/>
        </xdr:cNvSpPr>
      </xdr:nvSpPr>
      <xdr:spPr bwMode="auto">
        <a:xfrm>
          <a:off x="4333875" y="1543050"/>
          <a:ext cx="6115050" cy="1933575"/>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800" b="1" i="0" u="none" strike="noStrike" baseline="0">
              <a:solidFill>
                <a:srgbClr val="000000"/>
              </a:solidFill>
              <a:latin typeface="Trebuchet MS"/>
            </a:rPr>
            <a:t>7.12 Assumptions &amp; Remarks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This page should contain all the assumptions which are made for the financial business plan. Also if there are any remarks to be made to understand the business plan or choices made, there is space to show these remarks.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If there are any remarks to be made for the business plan for the long term, there is space to show these remarks.</a:t>
          </a: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If different versions in time of a business plan are made, we advise to note all the changes made compared to a previous version. This helps to understand the total planning process.</a:t>
          </a:r>
        </a:p>
        <a:p>
          <a:pPr algn="l" rtl="0">
            <a:defRPr sz="1000"/>
          </a:pPr>
          <a:endParaRPr lang="nl-NL" sz="800" b="0" i="0" u="none" strike="noStrike" baseline="0">
            <a:solidFill>
              <a:srgbClr val="000000"/>
            </a:solidFill>
            <a:latin typeface="Trebuchet MS"/>
          </a:endParaRPr>
        </a:p>
        <a:p>
          <a:pPr algn="l" rtl="0">
            <a:defRPr sz="1000"/>
          </a:pPr>
          <a:endParaRPr lang="nl-NL" sz="1000" b="1" i="0" u="sng" strike="noStrike" baseline="0">
            <a:solidFill>
              <a:srgbClr val="000000"/>
            </a:solidFill>
            <a:latin typeface="Trebuchet MS"/>
          </a:endParaRPr>
        </a:p>
        <a:p>
          <a:pPr algn="l" rtl="0">
            <a:defRPr sz="1000"/>
          </a:pPr>
          <a:endParaRPr lang="nl-NL"/>
        </a:p>
      </xdr:txBody>
    </xdr:sp>
    <xdr:clientData/>
  </xdr:twoCellAnchor>
  <xdr:twoCellAnchor editAs="oneCell">
    <xdr:from>
      <xdr:col>2</xdr:col>
      <xdr:colOff>2184400</xdr:colOff>
      <xdr:row>0</xdr:row>
      <xdr:rowOff>101600</xdr:rowOff>
    </xdr:from>
    <xdr:to>
      <xdr:col>3</xdr:col>
      <xdr:colOff>127000</xdr:colOff>
      <xdr:row>1</xdr:row>
      <xdr:rowOff>3337</xdr:rowOff>
    </xdr:to>
    <xdr:pic>
      <xdr:nvPicPr>
        <xdr:cNvPr id="90113" name="CommandButton1">
          <a:extLst>
            <a:ext uri="{FF2B5EF4-FFF2-40B4-BE49-F238E27FC236}">
              <a16:creationId xmlns:a16="http://schemas.microsoft.com/office/drawing/2014/main" xmlns="" id="{00000000-0008-0000-3900-00000160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101600"/>
          <a:ext cx="127000" cy="2540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4</xdr:col>
      <xdr:colOff>800100</xdr:colOff>
      <xdr:row>7</xdr:row>
      <xdr:rowOff>85725</xdr:rowOff>
    </xdr:from>
    <xdr:to>
      <xdr:col>9</xdr:col>
      <xdr:colOff>742950</xdr:colOff>
      <xdr:row>23</xdr:row>
      <xdr:rowOff>28575</xdr:rowOff>
    </xdr:to>
    <xdr:sp macro="" textlink="">
      <xdr:nvSpPr>
        <xdr:cNvPr id="93187" name="MyHelpTekst" hidden="1">
          <a:extLst>
            <a:ext uri="{FF2B5EF4-FFF2-40B4-BE49-F238E27FC236}">
              <a16:creationId xmlns:a16="http://schemas.microsoft.com/office/drawing/2014/main" xmlns="" id="{00000000-0008-0000-3A00-0000036C0100}"/>
            </a:ext>
          </a:extLst>
        </xdr:cNvPr>
        <xdr:cNvSpPr>
          <a:spLocks noChangeArrowheads="1"/>
        </xdr:cNvSpPr>
      </xdr:nvSpPr>
      <xdr:spPr bwMode="auto">
        <a:xfrm>
          <a:off x="4724400" y="1628775"/>
          <a:ext cx="4848225" cy="2990850"/>
        </a:xfrm>
        <a:prstGeom prst="roundRect">
          <a:avLst>
            <a:gd name="adj" fmla="val 16667"/>
          </a:avLst>
        </a:prstGeom>
        <a:solidFill>
          <a:srgbClr val="E3E3E3">
            <a:alpha val="85097"/>
          </a:srgbClr>
        </a:solidFill>
        <a:ln w="9525">
          <a:solidFill>
            <a:srgbClr val="000000"/>
          </a:solidFill>
          <a:round/>
          <a:headEnd/>
          <a:tailEnd/>
        </a:ln>
      </xdr:spPr>
      <xdr:txBody>
        <a:bodyPr vertOverflow="clip" wrap="square" lIns="27432" tIns="32004" rIns="0" bIns="0" anchor="t"/>
        <a:lstStyle/>
        <a:p>
          <a:pPr algn="l" rtl="0">
            <a:defRPr sz="1000"/>
          </a:pPr>
          <a:r>
            <a:rPr lang="nl-NL" sz="1000" b="1" i="0" u="sng" strike="noStrike" baseline="0">
              <a:solidFill>
                <a:srgbClr val="000000"/>
              </a:solidFill>
              <a:latin typeface="Trebuchet MS"/>
            </a:rPr>
            <a:t>After filling in this business plan please attach the following information:</a:t>
          </a:r>
        </a:p>
        <a:p>
          <a:pPr algn="l" rtl="0">
            <a:defRPr sz="1000"/>
          </a:pPr>
          <a:endParaRPr lang="nl-NL" sz="1000" b="1" i="0" u="sng"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&gt; Copy of Chamber of Commerce registration</a:t>
          </a:r>
        </a:p>
        <a:p>
          <a:pPr algn="l" rtl="0">
            <a:defRPr sz="1000"/>
          </a:pPr>
          <a:r>
            <a:rPr lang="nl-NL" sz="1000" b="1" i="0" u="none" strike="noStrike" baseline="0">
              <a:solidFill>
                <a:srgbClr val="000000"/>
              </a:solidFill>
              <a:latin typeface="Trebuchet MS"/>
            </a:rPr>
            <a:t>&gt; Photographs of dealer premises</a:t>
          </a:r>
        </a:p>
        <a:p>
          <a:pPr algn="l" rtl="0">
            <a:defRPr sz="1000"/>
          </a:pPr>
          <a:r>
            <a:rPr lang="nl-NL" sz="1000" b="1" i="0" u="none" strike="noStrike" baseline="0">
              <a:solidFill>
                <a:srgbClr val="000000"/>
              </a:solidFill>
              <a:latin typeface="Trebuchet MS"/>
            </a:rPr>
            <a:t>&gt; Latest certified accounts</a:t>
          </a:r>
        </a:p>
        <a:p>
          <a:pPr algn="l" rtl="0">
            <a:defRPr sz="1000"/>
          </a:pPr>
          <a:endParaRPr lang="nl-NL" sz="1000" b="1"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Thanks in advance for your cooperation.</a:t>
          </a:r>
        </a:p>
        <a:p>
          <a:pPr algn="l" rtl="0">
            <a:defRPr sz="1000"/>
          </a:pP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If any questions are left please contact the Dealer Development department.</a:t>
          </a:r>
        </a:p>
        <a:p>
          <a:pPr algn="l" rtl="0">
            <a:defRPr sz="1000"/>
          </a:pPr>
          <a:endParaRPr lang="nl-NL"/>
        </a:p>
      </xdr:txBody>
    </xdr:sp>
    <xdr:clientData/>
  </xdr:twoCellAnchor>
  <xdr:twoCellAnchor editAs="oneCell">
    <xdr:from>
      <xdr:col>4</xdr:col>
      <xdr:colOff>127000</xdr:colOff>
      <xdr:row>0</xdr:row>
      <xdr:rowOff>177800</xdr:rowOff>
    </xdr:from>
    <xdr:to>
      <xdr:col>4</xdr:col>
      <xdr:colOff>1219200</xdr:colOff>
      <xdr:row>0</xdr:row>
      <xdr:rowOff>889000</xdr:rowOff>
    </xdr:to>
    <xdr:pic>
      <xdr:nvPicPr>
        <xdr:cNvPr id="93185" name="CommandButton1">
          <a:extLst>
            <a:ext uri="{FF2B5EF4-FFF2-40B4-BE49-F238E27FC236}">
              <a16:creationId xmlns:a16="http://schemas.microsoft.com/office/drawing/2014/main" xmlns="" id="{00000000-0008-0000-3A00-0000016C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97400" y="177800"/>
          <a:ext cx="990600" cy="177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4</xdr:col>
      <xdr:colOff>552450</xdr:colOff>
      <xdr:row>7</xdr:row>
      <xdr:rowOff>114300</xdr:rowOff>
    </xdr:from>
    <xdr:to>
      <xdr:col>9</xdr:col>
      <xdr:colOff>600075</xdr:colOff>
      <xdr:row>17</xdr:row>
      <xdr:rowOff>161925</xdr:rowOff>
    </xdr:to>
    <xdr:sp macro="" textlink="">
      <xdr:nvSpPr>
        <xdr:cNvPr id="91138" name="MyHelpTekst" hidden="1">
          <a:extLst>
            <a:ext uri="{FF2B5EF4-FFF2-40B4-BE49-F238E27FC236}">
              <a16:creationId xmlns:a16="http://schemas.microsoft.com/office/drawing/2014/main" xmlns="" id="{00000000-0008-0000-3B00-000002640100}"/>
            </a:ext>
          </a:extLst>
        </xdr:cNvPr>
        <xdr:cNvSpPr>
          <a:spLocks noChangeArrowheads="1"/>
        </xdr:cNvSpPr>
      </xdr:nvSpPr>
      <xdr:spPr bwMode="auto">
        <a:xfrm>
          <a:off x="4238625" y="1657350"/>
          <a:ext cx="4152900" cy="19526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1000" b="1" i="0" u="none" strike="noStrike" baseline="0">
              <a:solidFill>
                <a:srgbClr val="000000"/>
              </a:solidFill>
              <a:latin typeface="Trebuchet MS"/>
            </a:rPr>
            <a:t>This page is only used for Dealer Developers!</a:t>
          </a:r>
          <a:endParaRPr lang="nl-NL" sz="1000" b="0" i="0" u="none" strike="noStrike" baseline="0">
            <a:solidFill>
              <a:srgbClr val="000000"/>
            </a:solidFill>
            <a:latin typeface="Trebuchet MS"/>
          </a:endParaRPr>
        </a:p>
        <a:p>
          <a:pPr algn="l" rtl="0">
            <a:defRPr sz="1000"/>
          </a:pPr>
          <a:endParaRPr lang="nl-NL" sz="1000" b="0"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By changing the input variables the sensitivity of each variable can be analyzed.</a:t>
          </a:r>
        </a:p>
      </xdr:txBody>
    </xdr:sp>
    <xdr:clientData/>
  </xdr:twoCellAnchor>
  <xdr:twoCellAnchor editAs="oneCell">
    <xdr:from>
      <xdr:col>6</xdr:col>
      <xdr:colOff>558800</xdr:colOff>
      <xdr:row>0</xdr:row>
      <xdr:rowOff>177800</xdr:rowOff>
    </xdr:from>
    <xdr:to>
      <xdr:col>7</xdr:col>
      <xdr:colOff>330200</xdr:colOff>
      <xdr:row>2</xdr:row>
      <xdr:rowOff>50800</xdr:rowOff>
    </xdr:to>
    <xdr:pic>
      <xdr:nvPicPr>
        <xdr:cNvPr id="91137" name="CommandButton1">
          <a:extLst>
            <a:ext uri="{FF2B5EF4-FFF2-40B4-BE49-F238E27FC236}">
              <a16:creationId xmlns:a16="http://schemas.microsoft.com/office/drawing/2014/main" xmlns="" id="{00000000-0008-0000-3B00-0000016401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0" y="177800"/>
          <a:ext cx="774700" cy="393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6</xdr:row>
      <xdr:rowOff>0</xdr:rowOff>
    </xdr:from>
    <xdr:to>
      <xdr:col>10</xdr:col>
      <xdr:colOff>1019175</xdr:colOff>
      <xdr:row>13</xdr:row>
      <xdr:rowOff>0</xdr:rowOff>
    </xdr:to>
    <xdr:sp macro="" textlink="" fLocksText="0">
      <xdr:nvSpPr>
        <xdr:cNvPr id="9231" name="Rectangle 6">
          <a:extLst>
            <a:ext uri="{FF2B5EF4-FFF2-40B4-BE49-F238E27FC236}">
              <a16:creationId xmlns:a16="http://schemas.microsoft.com/office/drawing/2014/main" xmlns="" id="{00000000-0008-0000-0600-00000F240000}"/>
            </a:ext>
          </a:extLst>
        </xdr:cNvPr>
        <xdr:cNvSpPr>
          <a:spLocks noChangeArrowheads="1"/>
        </xdr:cNvSpPr>
      </xdr:nvSpPr>
      <xdr:spPr bwMode="auto">
        <a:xfrm>
          <a:off x="19050" y="1398608"/>
          <a:ext cx="13901074" cy="1350379"/>
        </a:xfrm>
        <a:prstGeom prst="rect">
          <a:avLst/>
        </a:prstGeom>
        <a:solidFill>
          <a:srgbClr val="FFFFC0"/>
        </a:solidFill>
        <a:ln w="9525" algn="ctr">
          <a:solidFill>
            <a:srgbClr val="000000"/>
          </a:solidFill>
          <a:miter lim="800000"/>
          <a:headEnd/>
          <a:tailEnd/>
        </a:ln>
      </xdr:spPr>
      <xdr:txBody>
        <a:bodyPr/>
        <a:lstStyle/>
        <a:p>
          <a:r>
            <a:rPr lang="en-GB">
              <a:solidFill>
                <a:schemeClr val="tx1"/>
              </a:solidFill>
            </a:rPr>
            <a:t>For the first year of operation the Sousse spoke (for legal reasons) will be considered</a:t>
          </a:r>
          <a:r>
            <a:rPr lang="en-GB" baseline="0">
              <a:solidFill>
                <a:schemeClr val="tx1"/>
              </a:solidFill>
            </a:rPr>
            <a:t> as a temporary hub. It will be a </a:t>
          </a:r>
          <a:r>
            <a:rPr lang="en-GB">
              <a:solidFill>
                <a:schemeClr val="tx1"/>
              </a:solidFill>
            </a:rPr>
            <a:t>3S facitility</a:t>
          </a:r>
          <a:r>
            <a:rPr lang="en-GB" baseline="0">
              <a:solidFill>
                <a:schemeClr val="tx1"/>
              </a:solidFill>
            </a:rPr>
            <a:t> (</a:t>
          </a:r>
          <a:r>
            <a:rPr lang="en-GB">
              <a:solidFill>
                <a:schemeClr val="tx1"/>
              </a:solidFill>
            </a:rPr>
            <a:t>rented premises</a:t>
          </a:r>
          <a:r>
            <a:rPr lang="en-GB" baseline="0">
              <a:solidFill>
                <a:schemeClr val="tx1"/>
              </a:solidFill>
            </a:rPr>
            <a:t> with </a:t>
          </a:r>
          <a:r>
            <a:rPr lang="en-GB">
              <a:solidFill>
                <a:schemeClr val="tx1"/>
              </a:solidFill>
            </a:rPr>
            <a:t>12 employees) </a:t>
          </a:r>
          <a:r>
            <a:rPr lang="en-GB" baseline="0">
              <a:solidFill>
                <a:schemeClr val="tx1"/>
              </a:solidFill>
            </a:rPr>
            <a:t>which will </a:t>
          </a:r>
          <a:r>
            <a:rPr lang="en-GB">
              <a:solidFill>
                <a:schemeClr val="tx1"/>
              </a:solidFill>
            </a:rPr>
            <a:t>account for 100% of the total turnover even</a:t>
          </a:r>
          <a:r>
            <a:rPr lang="en-GB" baseline="0">
              <a:solidFill>
                <a:schemeClr val="tx1"/>
              </a:solidFill>
            </a:rPr>
            <a:t> though the Sousse area represents only 15% of the total market.</a:t>
          </a:r>
          <a:r>
            <a:rPr lang="en-GB">
              <a:solidFill>
                <a:schemeClr val="tx1"/>
              </a:solidFill>
            </a:rPr>
            <a:t>                                                                                                                                                                                                                                                                                                                                                                                                                                                                                Second year of operation Tunis will be considered as the hub.</a:t>
          </a:r>
          <a:r>
            <a:rPr lang="en-GB" baseline="0">
              <a:solidFill>
                <a:schemeClr val="tx1"/>
              </a:solidFill>
            </a:rPr>
            <a:t> It will be a </a:t>
          </a:r>
          <a:r>
            <a:rPr lang="en-GB">
              <a:solidFill>
                <a:schemeClr val="tx1"/>
              </a:solidFill>
            </a:rPr>
            <a:t>3S facility</a:t>
          </a:r>
          <a:r>
            <a:rPr lang="en-GB" baseline="0">
              <a:solidFill>
                <a:schemeClr val="tx1"/>
              </a:solidFill>
            </a:rPr>
            <a:t> (</a:t>
          </a:r>
          <a:r>
            <a:rPr lang="en-GB">
              <a:solidFill>
                <a:schemeClr val="tx1"/>
              </a:solidFill>
            </a:rPr>
            <a:t>rented premises with</a:t>
          </a:r>
          <a:r>
            <a:rPr lang="en-GB" baseline="0">
              <a:solidFill>
                <a:schemeClr val="tx1"/>
              </a:solidFill>
            </a:rPr>
            <a:t> 10 employees</a:t>
          </a:r>
          <a:r>
            <a:rPr lang="en-GB">
              <a:solidFill>
                <a:schemeClr val="tx1"/>
              </a:solidFill>
            </a:rPr>
            <a:t>)</a:t>
          </a:r>
          <a:r>
            <a:rPr lang="en-GB" baseline="0">
              <a:solidFill>
                <a:schemeClr val="tx1"/>
              </a:solidFill>
            </a:rPr>
            <a:t> </a:t>
          </a:r>
          <a:r>
            <a:rPr lang="en-GB">
              <a:solidFill>
                <a:schemeClr val="tx1"/>
              </a:solidFill>
            </a:rPr>
            <a:t>and a</a:t>
          </a:r>
          <a:r>
            <a:rPr lang="en-GB" baseline="0">
              <a:solidFill>
                <a:schemeClr val="tx1"/>
              </a:solidFill>
            </a:rPr>
            <a:t> showroom (rented premises with 1 employee). Both will account for 70% of the total turnover.</a:t>
          </a:r>
        </a:p>
        <a:p>
          <a:r>
            <a:rPr lang="en-GB" baseline="0">
              <a:solidFill>
                <a:schemeClr val="tx1"/>
              </a:solidFill>
            </a:rPr>
            <a:t>For the third year Sfax will be considered as a spoke. It will be a 3S facility which will account for 15% of the total turnover (rented premises, 6 employees) </a:t>
          </a:r>
          <a:endParaRPr lang="en-GB">
            <a:solidFill>
              <a:schemeClr val="tx1"/>
            </a:solidFill>
          </a:endParaRPr>
        </a:p>
      </xdr:txBody>
    </xdr:sp>
    <xdr:clientData/>
  </xdr:twoCellAnchor>
  <xdr:twoCellAnchor>
    <xdr:from>
      <xdr:col>0</xdr:col>
      <xdr:colOff>9525</xdr:colOff>
      <xdr:row>14</xdr:row>
      <xdr:rowOff>180975</xdr:rowOff>
    </xdr:from>
    <xdr:to>
      <xdr:col>10</xdr:col>
      <xdr:colOff>1019175</xdr:colOff>
      <xdr:row>29</xdr:row>
      <xdr:rowOff>0</xdr:rowOff>
    </xdr:to>
    <xdr:sp macro="" textlink="" fLocksText="0">
      <xdr:nvSpPr>
        <xdr:cNvPr id="9232" name="Rectangle 8">
          <a:extLst>
            <a:ext uri="{FF2B5EF4-FFF2-40B4-BE49-F238E27FC236}">
              <a16:creationId xmlns:a16="http://schemas.microsoft.com/office/drawing/2014/main" xmlns="" id="{00000000-0008-0000-0600-000010240000}"/>
            </a:ext>
          </a:extLst>
        </xdr:cNvPr>
        <xdr:cNvSpPr>
          <a:spLocks noChangeArrowheads="1"/>
        </xdr:cNvSpPr>
      </xdr:nvSpPr>
      <xdr:spPr bwMode="auto">
        <a:xfrm>
          <a:off x="9525" y="3105150"/>
          <a:ext cx="13868400" cy="2676525"/>
        </a:xfrm>
        <a:prstGeom prst="rect">
          <a:avLst/>
        </a:prstGeom>
        <a:solidFill>
          <a:srgbClr val="FFFFC0"/>
        </a:solidFill>
        <a:ln w="9525" algn="ctr">
          <a:solidFill>
            <a:srgbClr val="000000"/>
          </a:solidFill>
          <a:miter lim="800000"/>
          <a:headEnd/>
          <a:tailEnd/>
        </a:ln>
      </xdr:spPr>
      <xdr:txBody>
        <a:bodyPr/>
        <a:lstStyle/>
        <a:p>
          <a:r>
            <a:rPr lang="en-GB"/>
            <a:t>Appendix</a:t>
          </a:r>
          <a:r>
            <a:rPr lang="en-GB" baseline="0"/>
            <a:t> SETCAR Group presentation                                                                                                                                                                                                                                                                                                                                                                                                </a:t>
          </a:r>
          <a:endParaRPr lang="en-GB"/>
        </a:p>
      </xdr:txBody>
    </xdr:sp>
    <xdr:clientData/>
  </xdr:twoCellAnchor>
  <xdr:twoCellAnchor>
    <xdr:from>
      <xdr:col>0</xdr:col>
      <xdr:colOff>9525</xdr:colOff>
      <xdr:row>31</xdr:row>
      <xdr:rowOff>0</xdr:rowOff>
    </xdr:from>
    <xdr:to>
      <xdr:col>10</xdr:col>
      <xdr:colOff>1019175</xdr:colOff>
      <xdr:row>46</xdr:row>
      <xdr:rowOff>180975</xdr:rowOff>
    </xdr:to>
    <xdr:sp macro="" textlink="" fLocksText="0">
      <xdr:nvSpPr>
        <xdr:cNvPr id="9233" name="Rectangle 9">
          <a:extLst>
            <a:ext uri="{FF2B5EF4-FFF2-40B4-BE49-F238E27FC236}">
              <a16:creationId xmlns:a16="http://schemas.microsoft.com/office/drawing/2014/main" xmlns="" id="{00000000-0008-0000-0600-000011240000}"/>
            </a:ext>
          </a:extLst>
        </xdr:cNvPr>
        <xdr:cNvSpPr>
          <a:spLocks noChangeArrowheads="1"/>
        </xdr:cNvSpPr>
      </xdr:nvSpPr>
      <xdr:spPr bwMode="auto">
        <a:xfrm>
          <a:off x="9525" y="6164036"/>
          <a:ext cx="13936436" cy="3038475"/>
        </a:xfrm>
        <a:prstGeom prst="rect">
          <a:avLst/>
        </a:prstGeom>
        <a:solidFill>
          <a:srgbClr val="FFFFC0"/>
        </a:solidFill>
        <a:ln w="9525" algn="ctr">
          <a:solidFill>
            <a:srgbClr val="000000"/>
          </a:solidFill>
          <a:miter lim="800000"/>
          <a:headEnd/>
          <a:tailEnd/>
        </a:ln>
      </xdr:spPr>
      <xdr:txBody>
        <a:bodyPr/>
        <a:lstStyle/>
        <a:p>
          <a:pPr marL="0" marR="0" indent="0" defTabSz="914400" eaLnBrk="1" fontAlgn="base" latinLnBrk="0" hangingPunct="1">
            <a:lnSpc>
              <a:spcPct val="100000"/>
            </a:lnSpc>
            <a:spcBef>
              <a:spcPts val="0"/>
            </a:spcBef>
            <a:spcAft>
              <a:spcPts val="0"/>
            </a:spcAft>
            <a:buClrTx/>
            <a:buSzTx/>
            <a:buFontTx/>
            <a:buNone/>
            <a:tabLst/>
            <a:defRPr/>
          </a:pPr>
          <a:r>
            <a:rPr lang="en-GB" b="1"/>
            <a:t>3S facility </a:t>
          </a:r>
          <a:r>
            <a:rPr lang="en-GB" b="0"/>
            <a:t>Sousse</a:t>
          </a:r>
          <a:r>
            <a:rPr lang="en-GB" b="1"/>
            <a:t>, </a:t>
          </a:r>
          <a:r>
            <a:rPr lang="en-GB" b="0"/>
            <a:t>Boulevard</a:t>
          </a:r>
          <a:r>
            <a:rPr lang="en-GB" b="0" baseline="0"/>
            <a:t> de l'environnement Route Nationale 82, </a:t>
          </a:r>
          <a:r>
            <a:rPr lang="en-GB" b="0"/>
            <a:t>GPS coordinates:  </a:t>
          </a:r>
          <a:r>
            <a:rPr lang="en-GB" b="1"/>
            <a:t>35.787616, 10.671504 // 35°47'15.4"N 10°40'17.4"E</a:t>
          </a:r>
        </a:p>
        <a:p>
          <a:pPr marL="0" marR="0" indent="0" defTabSz="914400" eaLnBrk="1" fontAlgn="base" latinLnBrk="0" hangingPunct="1">
            <a:lnSpc>
              <a:spcPct val="100000"/>
            </a:lnSpc>
            <a:spcBef>
              <a:spcPts val="0"/>
            </a:spcBef>
            <a:spcAft>
              <a:spcPts val="0"/>
            </a:spcAft>
            <a:buClrTx/>
            <a:buSzTx/>
            <a:buFontTx/>
            <a:buNone/>
            <a:tabLst/>
            <a:defRPr/>
          </a:pPr>
          <a:r>
            <a:rPr lang="en-GB" b="1">
              <a:solidFill>
                <a:schemeClr val="tx1"/>
              </a:solidFill>
            </a:rPr>
            <a:t>3S</a:t>
          </a:r>
          <a:r>
            <a:rPr lang="en-GB" b="1" baseline="0">
              <a:solidFill>
                <a:schemeClr val="tx1"/>
              </a:solidFill>
            </a:rPr>
            <a:t> facility </a:t>
          </a:r>
          <a:r>
            <a:rPr lang="en-GB" b="0" baseline="0">
              <a:solidFill>
                <a:schemeClr val="tx1"/>
              </a:solidFill>
            </a:rPr>
            <a:t>Tunis, 7 rue N°5 Zone Industrielle Charguia I 2035,  GPS coordinates: </a:t>
          </a:r>
          <a:r>
            <a:rPr lang="en-GB" b="1" baseline="0">
              <a:solidFill>
                <a:schemeClr val="tx1"/>
              </a:solidFill>
            </a:rPr>
            <a:t>36.8291268,10.2021393 // 36°49'44.9"N 10°12'07.7"E</a:t>
          </a:r>
        </a:p>
        <a:p>
          <a:pPr marL="0" marR="0" indent="0" defTabSz="914400" eaLnBrk="1" fontAlgn="base" latinLnBrk="0" hangingPunct="1">
            <a:lnSpc>
              <a:spcPct val="100000"/>
            </a:lnSpc>
            <a:spcBef>
              <a:spcPts val="0"/>
            </a:spcBef>
            <a:spcAft>
              <a:spcPts val="0"/>
            </a:spcAft>
            <a:buClrTx/>
            <a:buSzTx/>
            <a:buFontTx/>
            <a:buNone/>
            <a:tabLst/>
            <a:defRPr/>
          </a:pPr>
          <a:r>
            <a:rPr lang="en-GB" b="1">
              <a:solidFill>
                <a:schemeClr val="tx1"/>
              </a:solidFill>
            </a:rPr>
            <a:t>Showroom </a:t>
          </a:r>
          <a:r>
            <a:rPr lang="en-GB" b="0">
              <a:solidFill>
                <a:schemeClr val="tx1"/>
              </a:solidFill>
            </a:rPr>
            <a:t>Tunis, Les</a:t>
          </a:r>
          <a:r>
            <a:rPr lang="en-GB" b="0" baseline="0">
              <a:solidFill>
                <a:schemeClr val="tx1"/>
              </a:solidFill>
            </a:rPr>
            <a:t> Berges du Lac 1053 ,  </a:t>
          </a:r>
          <a:r>
            <a:rPr lang="en-GB">
              <a:solidFill>
                <a:schemeClr val="tx1"/>
              </a:solidFill>
            </a:rPr>
            <a:t>GPS coordinates: </a:t>
          </a:r>
          <a:r>
            <a:rPr lang="en-GB" b="1">
              <a:solidFill>
                <a:schemeClr val="tx1"/>
              </a:solidFill>
            </a:rPr>
            <a:t>36.831757, 10.216944 // 36°49'54.3"N 10°13'01.0"E</a:t>
          </a:r>
        </a:p>
        <a:p>
          <a:pPr marL="0" marR="0" indent="0" defTabSz="914400" eaLnBrk="1" fontAlgn="base" latinLnBrk="0" hangingPunct="1">
            <a:lnSpc>
              <a:spcPct val="100000"/>
            </a:lnSpc>
            <a:spcBef>
              <a:spcPts val="0"/>
            </a:spcBef>
            <a:spcAft>
              <a:spcPts val="0"/>
            </a:spcAft>
            <a:buClrTx/>
            <a:buSzTx/>
            <a:buFontTx/>
            <a:buNone/>
            <a:tabLst/>
            <a:defRPr/>
          </a:pPr>
          <a:r>
            <a:rPr lang="fr-FR" sz="1100" b="1" i="0">
              <a:solidFill>
                <a:schemeClr val="tx1"/>
              </a:solidFill>
              <a:latin typeface="+mn-lt"/>
              <a:ea typeface="+mn-ea"/>
              <a:cs typeface="+mn-cs"/>
            </a:rPr>
            <a:t>3S facility</a:t>
          </a:r>
          <a:r>
            <a:rPr lang="fr-FR" sz="1100" b="1" i="0" baseline="0">
              <a:solidFill>
                <a:schemeClr val="tx1"/>
              </a:solidFill>
              <a:latin typeface="+mn-lt"/>
              <a:ea typeface="+mn-ea"/>
              <a:cs typeface="+mn-cs"/>
            </a:rPr>
            <a:t> </a:t>
          </a:r>
          <a:r>
            <a:rPr lang="fr-FR" sz="1100" b="0" i="0" baseline="0">
              <a:solidFill>
                <a:schemeClr val="tx1"/>
              </a:solidFill>
              <a:latin typeface="+mn-lt"/>
              <a:ea typeface="+mn-ea"/>
              <a:cs typeface="+mn-cs"/>
            </a:rPr>
            <a:t>Sfax, GPS coordinates: TBD </a:t>
          </a:r>
          <a:endParaRPr lang="fr-FR" sz="1100" b="0" i="0">
            <a:solidFill>
              <a:schemeClr val="tx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fr-FR" sz="1100" b="1" i="0">
            <a:latin typeface="+mn-lt"/>
            <a:ea typeface="+mn-ea"/>
            <a:cs typeface="+mn-cs"/>
          </a:endParaRPr>
        </a:p>
        <a:p>
          <a:endParaRPr lang="en-GB"/>
        </a:p>
      </xdr:txBody>
    </xdr:sp>
    <xdr:clientData/>
  </xdr:twoCellAnchor>
  <xdr:twoCellAnchor>
    <xdr:from>
      <xdr:col>0</xdr:col>
      <xdr:colOff>9525</xdr:colOff>
      <xdr:row>49</xdr:row>
      <xdr:rowOff>0</xdr:rowOff>
    </xdr:from>
    <xdr:to>
      <xdr:col>10</xdr:col>
      <xdr:colOff>1019175</xdr:colOff>
      <xdr:row>54</xdr:row>
      <xdr:rowOff>0</xdr:rowOff>
    </xdr:to>
    <xdr:sp macro="" textlink="" fLocksText="0">
      <xdr:nvSpPr>
        <xdr:cNvPr id="9234" name="Rectangle 10">
          <a:extLst>
            <a:ext uri="{FF2B5EF4-FFF2-40B4-BE49-F238E27FC236}">
              <a16:creationId xmlns:a16="http://schemas.microsoft.com/office/drawing/2014/main" xmlns="" id="{00000000-0008-0000-0600-000012240000}"/>
            </a:ext>
          </a:extLst>
        </xdr:cNvPr>
        <xdr:cNvSpPr>
          <a:spLocks noChangeArrowheads="1"/>
        </xdr:cNvSpPr>
      </xdr:nvSpPr>
      <xdr:spPr bwMode="auto">
        <a:xfrm>
          <a:off x="9525" y="9591675"/>
          <a:ext cx="13868400" cy="952500"/>
        </a:xfrm>
        <a:prstGeom prst="rect">
          <a:avLst/>
        </a:prstGeom>
        <a:solidFill>
          <a:srgbClr val="FFFFC0"/>
        </a:solidFill>
        <a:ln w="9525" algn="ctr">
          <a:solidFill>
            <a:srgbClr val="000000"/>
          </a:solidFill>
          <a:miter lim="800000"/>
          <a:headEnd/>
          <a:tailEnd/>
        </a:ln>
      </xdr:spPr>
      <xdr:txBody>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GB"/>
            <a:t>Located in</a:t>
          </a:r>
          <a:r>
            <a:rPr lang="en-GB" baseline="0"/>
            <a:t> the country's largest cities , e</a:t>
          </a:r>
          <a:r>
            <a:rPr lang="en-GB"/>
            <a:t>asy access</a:t>
          </a:r>
          <a:r>
            <a:rPr lang="en-GB" baseline="0"/>
            <a:t> to Tunisia main highways. </a:t>
          </a:r>
          <a:r>
            <a:rPr lang="en-US" sz="1100" baseline="0">
              <a:effectLst/>
              <a:latin typeface="+mn-lt"/>
              <a:ea typeface="+mn-ea"/>
              <a:cs typeface="+mn-cs"/>
            </a:rPr>
            <a:t>L</a:t>
          </a:r>
          <a:r>
            <a:rPr lang="en-US" sz="1100">
              <a:effectLst/>
              <a:latin typeface="+mn-lt"/>
              <a:ea typeface="+mn-ea"/>
              <a:cs typeface="+mn-cs"/>
            </a:rPr>
            <a:t>ocated near the </a:t>
          </a:r>
          <a:r>
            <a:rPr lang="en-US" sz="1100" baseline="0">
              <a:effectLst/>
              <a:latin typeface="+mn-lt"/>
              <a:ea typeface="+mn-ea"/>
              <a:cs typeface="+mn-cs"/>
            </a:rPr>
            <a:t>main harbour (La Goulette, Rades)  / a</a:t>
          </a:r>
          <a:r>
            <a:rPr lang="en-US" sz="1100">
              <a:effectLst/>
              <a:latin typeface="+mn-lt"/>
              <a:ea typeface="+mn-ea"/>
              <a:cs typeface="+mn-cs"/>
            </a:rPr>
            <a:t>irports</a:t>
          </a:r>
          <a:r>
            <a:rPr lang="en-US" sz="1100" baseline="0">
              <a:effectLst/>
              <a:latin typeface="+mn-lt"/>
              <a:ea typeface="+mn-ea"/>
              <a:cs typeface="+mn-cs"/>
            </a:rPr>
            <a:t> / main industrial parks                                                                                                                                                                                                                      Highly educated  population , broadband internet </a:t>
          </a:r>
          <a:endParaRPr lang="en-GB" sz="1100">
            <a:effectLst/>
          </a:endParaRPr>
        </a:p>
        <a:p>
          <a:endParaRPr lang="en-GB"/>
        </a:p>
      </xdr:txBody>
    </xdr:sp>
    <xdr:clientData/>
  </xdr:twoCellAnchor>
  <xdr:twoCellAnchor>
    <xdr:from>
      <xdr:col>0</xdr:col>
      <xdr:colOff>9525</xdr:colOff>
      <xdr:row>55</xdr:row>
      <xdr:rowOff>180975</xdr:rowOff>
    </xdr:from>
    <xdr:to>
      <xdr:col>10</xdr:col>
      <xdr:colOff>1019175</xdr:colOff>
      <xdr:row>60</xdr:row>
      <xdr:rowOff>180975</xdr:rowOff>
    </xdr:to>
    <xdr:sp macro="" textlink="" fLocksText="0">
      <xdr:nvSpPr>
        <xdr:cNvPr id="9235" name="Rectangle 12">
          <a:extLst>
            <a:ext uri="{FF2B5EF4-FFF2-40B4-BE49-F238E27FC236}">
              <a16:creationId xmlns:a16="http://schemas.microsoft.com/office/drawing/2014/main" xmlns="" id="{00000000-0008-0000-0600-000013240000}"/>
            </a:ext>
          </a:extLst>
        </xdr:cNvPr>
        <xdr:cNvSpPr>
          <a:spLocks noChangeArrowheads="1"/>
        </xdr:cNvSpPr>
      </xdr:nvSpPr>
      <xdr:spPr bwMode="auto">
        <a:xfrm>
          <a:off x="9525" y="10915650"/>
          <a:ext cx="13868400" cy="952500"/>
        </a:xfrm>
        <a:prstGeom prst="rect">
          <a:avLst/>
        </a:prstGeom>
        <a:solidFill>
          <a:srgbClr val="FFFFC0"/>
        </a:solidFill>
        <a:ln w="9525" algn="ctr">
          <a:solidFill>
            <a:srgbClr val="000000"/>
          </a:solidFill>
          <a:miter lim="800000"/>
          <a:headEnd/>
          <a:tailEnd/>
        </a:ln>
      </xdr:spPr>
      <xdr:txBody>
        <a:bodyPr/>
        <a:lstStyle/>
        <a:p>
          <a:r>
            <a:rPr lang="en-GB"/>
            <a:t>Traffic,</a:t>
          </a:r>
          <a:r>
            <a:rPr lang="en-GB" baseline="0"/>
            <a:t> expensive </a:t>
          </a:r>
          <a:endParaRPr lang="en-GB"/>
        </a:p>
      </xdr:txBody>
    </xdr:sp>
    <xdr:clientData/>
  </xdr:twoCellAnchor>
  <xdr:twoCellAnchor>
    <xdr:from>
      <xdr:col>4</xdr:col>
      <xdr:colOff>390525</xdr:colOff>
      <xdr:row>3</xdr:row>
      <xdr:rowOff>9525</xdr:rowOff>
    </xdr:from>
    <xdr:to>
      <xdr:col>10</xdr:col>
      <xdr:colOff>1019175</xdr:colOff>
      <xdr:row>25</xdr:row>
      <xdr:rowOff>180975</xdr:rowOff>
    </xdr:to>
    <xdr:sp macro="" textlink="">
      <xdr:nvSpPr>
        <xdr:cNvPr id="9230" name="MyHelpTekst" hidden="1">
          <a:extLst>
            <a:ext uri="{FF2B5EF4-FFF2-40B4-BE49-F238E27FC236}">
              <a16:creationId xmlns:a16="http://schemas.microsoft.com/office/drawing/2014/main" xmlns="" id="{00000000-0008-0000-0600-00000E240000}"/>
            </a:ext>
          </a:extLst>
        </xdr:cNvPr>
        <xdr:cNvSpPr>
          <a:spLocks noChangeArrowheads="1"/>
        </xdr:cNvSpPr>
      </xdr:nvSpPr>
      <xdr:spPr bwMode="auto">
        <a:xfrm>
          <a:off x="5534025" y="866775"/>
          <a:ext cx="8343900" cy="433387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1000" b="1" i="0" u="none" strike="noStrike" baseline="0">
              <a:solidFill>
                <a:srgbClr val="000000"/>
              </a:solidFill>
              <a:latin typeface="Trebuchet MS"/>
            </a:rPr>
            <a:t>2.1 Company Organisation</a:t>
          </a:r>
        </a:p>
        <a:p>
          <a:pPr algn="l" rtl="0">
            <a:defRPr sz="1000"/>
          </a:pPr>
          <a:endParaRPr lang="nl-NL" sz="1000" b="1" i="0" u="none" strike="noStrike" baseline="0">
            <a:solidFill>
              <a:srgbClr val="000000"/>
            </a:solidFill>
            <a:latin typeface="Trebuchet MS"/>
          </a:endParaRPr>
        </a:p>
        <a:p>
          <a:pPr algn="l" rtl="0">
            <a:defRPr sz="1000"/>
          </a:pPr>
          <a:r>
            <a:rPr lang="nl-NL" sz="1000" b="0" i="0" u="none" strike="noStrike" baseline="0">
              <a:solidFill>
                <a:srgbClr val="000000"/>
              </a:solidFill>
              <a:latin typeface="Trebuchet MS"/>
            </a:rPr>
            <a:t>This section is used to indicate the company history (for ongoing companies) or a start-up plan (for new companies).</a:t>
          </a: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1. Hub and spoke structure</a:t>
          </a:r>
        </a:p>
        <a:p>
          <a:pPr algn="l" rtl="0">
            <a:defRPr sz="1000"/>
          </a:pPr>
          <a:r>
            <a:rPr lang="nl-NL" sz="1000" b="0" i="0" u="none" strike="noStrike" baseline="0">
              <a:solidFill>
                <a:srgbClr val="000000"/>
              </a:solidFill>
              <a:latin typeface="Trebuchet MS"/>
            </a:rPr>
            <a:t>Describe the responsibilities of the hub and spokes in the area, is there a legal link between them, what is the size of the outlets in terms of turnover, DAF turnover and personnel etc.</a:t>
          </a: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2. Organigram of the legal structure of the dealership</a:t>
          </a:r>
        </a:p>
        <a:p>
          <a:pPr algn="l" rtl="0">
            <a:defRPr sz="1000"/>
          </a:pPr>
          <a:r>
            <a:rPr lang="nl-NL" sz="1000" b="0" i="0" u="none" strike="noStrike" baseline="0">
              <a:solidFill>
                <a:srgbClr val="000000"/>
              </a:solidFill>
              <a:latin typeface="Trebuchet MS"/>
            </a:rPr>
            <a:t>Show a picture of the legal structure of the dealer, what is the link to other companies, has the owner more companies etc.</a:t>
          </a: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3. Map of the location of the dealership in the place of residence</a:t>
          </a:r>
        </a:p>
        <a:p>
          <a:pPr algn="l" rtl="0">
            <a:defRPr sz="1000"/>
          </a:pPr>
          <a:r>
            <a:rPr lang="nl-NL" sz="1000" b="0" i="0" u="none" strike="noStrike" baseline="0">
              <a:solidFill>
                <a:srgbClr val="000000"/>
              </a:solidFill>
              <a:latin typeface="Trebuchet MS"/>
            </a:rPr>
            <a:t>Show the exact location on a map of the place of residence with clearly visible the main roads.</a:t>
          </a: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4. Strengths of the area organization</a:t>
          </a:r>
        </a:p>
        <a:p>
          <a:pPr algn="l" rtl="0">
            <a:defRPr sz="1000"/>
          </a:pPr>
          <a:r>
            <a:rPr lang="nl-NL" sz="1000" b="0" i="0" u="none" strike="noStrike" baseline="0">
              <a:solidFill>
                <a:srgbClr val="000000"/>
              </a:solidFill>
              <a:latin typeface="Trebuchet MS"/>
            </a:rPr>
            <a:t>Indicate the main strengths of the way the area is organized.</a:t>
          </a: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a:p>
          <a:pPr algn="l" rtl="0">
            <a:defRPr sz="1000"/>
          </a:pPr>
          <a:r>
            <a:rPr lang="nl-NL" sz="1000" b="1" i="0" u="none" strike="noStrike" baseline="0">
              <a:solidFill>
                <a:srgbClr val="000000"/>
              </a:solidFill>
              <a:latin typeface="Trebuchet MS"/>
            </a:rPr>
            <a:t>5. Weaknesses of the area organization</a:t>
          </a:r>
        </a:p>
        <a:p>
          <a:pPr algn="l" rtl="0">
            <a:defRPr sz="1000"/>
          </a:pPr>
          <a:r>
            <a:rPr lang="nl-NL" sz="1000" b="0" i="0" u="none" strike="noStrike" baseline="0">
              <a:solidFill>
                <a:srgbClr val="000000"/>
              </a:solidFill>
              <a:latin typeface="Trebuchet MS"/>
            </a:rPr>
            <a:t>Indicate the main weaknesses of the way the area is organized.</a:t>
          </a: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a:p>
          <a:pPr algn="l" rtl="0">
            <a:defRPr sz="1000"/>
          </a:pPr>
          <a:endParaRPr lang="nl-NL" sz="1000" b="1" i="0" u="none" strike="noStrike" baseline="0">
            <a:solidFill>
              <a:srgbClr val="000000"/>
            </a:solidFill>
            <a:latin typeface="Trebuchet MS"/>
          </a:endParaRPr>
        </a:p>
      </xdr:txBody>
    </xdr:sp>
    <xdr:clientData/>
  </xdr:twoCellAnchor>
  <xdr:twoCellAnchor editAs="oneCell">
    <xdr:from>
      <xdr:col>4</xdr:col>
      <xdr:colOff>203200</xdr:colOff>
      <xdr:row>0</xdr:row>
      <xdr:rowOff>76200</xdr:rowOff>
    </xdr:from>
    <xdr:to>
      <xdr:col>5</xdr:col>
      <xdr:colOff>624</xdr:colOff>
      <xdr:row>2</xdr:row>
      <xdr:rowOff>101600</xdr:rowOff>
    </xdr:to>
    <xdr:pic>
      <xdr:nvPicPr>
        <xdr:cNvPr id="9219" name="CommandButton1">
          <a:extLst>
            <a:ext uri="{FF2B5EF4-FFF2-40B4-BE49-F238E27FC236}">
              <a16:creationId xmlns:a16="http://schemas.microsoft.com/office/drawing/2014/main" xmlns="" id="{00000000-0008-0000-0600-0000032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0" y="76200"/>
          <a:ext cx="1270000" cy="685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xdr:colOff>
      <xdr:row>15</xdr:row>
      <xdr:rowOff>9525</xdr:rowOff>
    </xdr:from>
    <xdr:to>
      <xdr:col>10</xdr:col>
      <xdr:colOff>990600</xdr:colOff>
      <xdr:row>39</xdr:row>
      <xdr:rowOff>0</xdr:rowOff>
    </xdr:to>
    <xdr:sp macro="" textlink="" fLocksText="0">
      <xdr:nvSpPr>
        <xdr:cNvPr id="10255" name="Rectangle 7">
          <a:extLst>
            <a:ext uri="{FF2B5EF4-FFF2-40B4-BE49-F238E27FC236}">
              <a16:creationId xmlns:a16="http://schemas.microsoft.com/office/drawing/2014/main" xmlns="" id="{00000000-0008-0000-0700-00000F280000}"/>
            </a:ext>
          </a:extLst>
        </xdr:cNvPr>
        <xdr:cNvSpPr>
          <a:spLocks noChangeArrowheads="1"/>
        </xdr:cNvSpPr>
      </xdr:nvSpPr>
      <xdr:spPr bwMode="auto">
        <a:xfrm>
          <a:off x="9525" y="2990850"/>
          <a:ext cx="11077575" cy="4562475"/>
        </a:xfrm>
        <a:prstGeom prst="rect">
          <a:avLst/>
        </a:prstGeom>
        <a:solidFill>
          <a:srgbClr val="FFFFC0"/>
        </a:solidFill>
        <a:ln w="9525" algn="ctr">
          <a:solidFill>
            <a:srgbClr val="000000"/>
          </a:solidFill>
          <a:miter lim="800000"/>
          <a:headEnd/>
          <a:tailEnd/>
        </a:ln>
      </xdr:spPr>
      <xdr:txBody>
        <a:bodyPr/>
        <a:lstStyle/>
        <a:p>
          <a:r>
            <a:rPr lang="en-GB">
              <a:solidFill>
                <a:schemeClr val="tx1"/>
              </a:solidFill>
            </a:rPr>
            <a:t>First year:</a:t>
          </a:r>
        </a:p>
        <a:p>
          <a:r>
            <a:rPr lang="en-GB">
              <a:solidFill>
                <a:schemeClr val="tx1"/>
              </a:solidFill>
            </a:rPr>
            <a:t>Sousse(3S, rental): surface property  4 000 m², built-up surface 1 965 m², workshop  840 m², offices 1 000 m², parts store 115 m², parking  and circulation area  2 000 m², 3 bays      </a:t>
          </a:r>
        </a:p>
        <a:p>
          <a:r>
            <a:rPr lang="en-GB">
              <a:solidFill>
                <a:srgbClr val="FF0000"/>
              </a:solidFill>
            </a:rPr>
            <a:t>                                                                                                                                                                                                                                                                                                                                                                                                     </a:t>
          </a:r>
          <a:r>
            <a:rPr lang="en-GB"/>
            <a:t>Second year:</a:t>
          </a:r>
        </a:p>
        <a:p>
          <a:r>
            <a:rPr lang="en-GB"/>
            <a:t>Tunis 1 (3S,</a:t>
          </a:r>
          <a:r>
            <a:rPr lang="en-GB" baseline="0"/>
            <a:t> rental</a:t>
          </a:r>
          <a:r>
            <a:rPr lang="en-GB"/>
            <a:t>):</a:t>
          </a:r>
          <a:r>
            <a:rPr lang="en-GB" baseline="0"/>
            <a:t> surface property TBD m², built-up TBD m² surface,  workshop TBD m², offices m², parts store TBD m², parking and circulation area TBD m², 4 bays                                                                                                                                                                                                             </a:t>
          </a:r>
        </a:p>
        <a:p>
          <a:r>
            <a:rPr lang="en-GB" baseline="0"/>
            <a:t>Tunis 2 (showroom, rental): surface property  750 m², built-up surface  540 m², offices  40m²</a:t>
          </a:r>
        </a:p>
        <a:p>
          <a:endParaRPr lang="en-GB" baseline="0"/>
        </a:p>
        <a:p>
          <a:r>
            <a:rPr lang="en-GB" baseline="0"/>
            <a:t>Third year: </a:t>
          </a:r>
        </a:p>
        <a:p>
          <a:r>
            <a:rPr lang="en-GB" baseline="0"/>
            <a:t>Sfax (3S, rental): surface proprety TBD m², built-up surface TBD m², workshop TBD m2, offices TBD m², parts store TBD m², parking  and ciruclation area TBD m², 3 bays  </a:t>
          </a:r>
          <a:endParaRPr lang="en-GB"/>
        </a:p>
      </xdr:txBody>
    </xdr:sp>
    <xdr:clientData/>
  </xdr:twoCellAnchor>
  <xdr:twoCellAnchor>
    <xdr:from>
      <xdr:col>0</xdr:col>
      <xdr:colOff>9525</xdr:colOff>
      <xdr:row>41</xdr:row>
      <xdr:rowOff>9525</xdr:rowOff>
    </xdr:from>
    <xdr:to>
      <xdr:col>10</xdr:col>
      <xdr:colOff>1000125</xdr:colOff>
      <xdr:row>44</xdr:row>
      <xdr:rowOff>180975</xdr:rowOff>
    </xdr:to>
    <xdr:sp macro="" textlink="" fLocksText="0">
      <xdr:nvSpPr>
        <xdr:cNvPr id="10256" name="Rectangle 8">
          <a:extLst>
            <a:ext uri="{FF2B5EF4-FFF2-40B4-BE49-F238E27FC236}">
              <a16:creationId xmlns:a16="http://schemas.microsoft.com/office/drawing/2014/main" xmlns="" id="{00000000-0008-0000-0700-000010280000}"/>
            </a:ext>
          </a:extLst>
        </xdr:cNvPr>
        <xdr:cNvSpPr>
          <a:spLocks noChangeArrowheads="1"/>
        </xdr:cNvSpPr>
      </xdr:nvSpPr>
      <xdr:spPr bwMode="auto">
        <a:xfrm>
          <a:off x="9525" y="7943850"/>
          <a:ext cx="11087100" cy="742950"/>
        </a:xfrm>
        <a:prstGeom prst="rect">
          <a:avLst/>
        </a:prstGeom>
        <a:solidFill>
          <a:srgbClr val="FFFFC0"/>
        </a:solidFill>
        <a:ln w="9525" algn="ctr">
          <a:solidFill>
            <a:srgbClr val="000000"/>
          </a:solidFill>
          <a:miter lim="800000"/>
          <a:headEnd/>
          <a:tailEnd/>
        </a:ln>
      </xdr:spPr>
      <xdr:txBody>
        <a:bodyPr/>
        <a:lstStyle/>
        <a:p>
          <a:r>
            <a:rPr lang="en-GB"/>
            <a:t>Room for</a:t>
          </a:r>
          <a:r>
            <a:rPr lang="en-GB" baseline="0"/>
            <a:t> expansion, s</a:t>
          </a:r>
          <a:r>
            <a:rPr lang="en-GB"/>
            <a:t>ecured,</a:t>
          </a:r>
          <a:r>
            <a:rPr lang="en-GB" baseline="0"/>
            <a:t> well located, new or recently renovated facilities, </a:t>
          </a:r>
          <a:endParaRPr lang="en-GB"/>
        </a:p>
      </xdr:txBody>
    </xdr:sp>
    <xdr:clientData/>
  </xdr:twoCellAnchor>
  <xdr:twoCellAnchor>
    <xdr:from>
      <xdr:col>0</xdr:col>
      <xdr:colOff>9525</xdr:colOff>
      <xdr:row>47</xdr:row>
      <xdr:rowOff>0</xdr:rowOff>
    </xdr:from>
    <xdr:to>
      <xdr:col>10</xdr:col>
      <xdr:colOff>1000125</xdr:colOff>
      <xdr:row>50</xdr:row>
      <xdr:rowOff>180975</xdr:rowOff>
    </xdr:to>
    <xdr:sp macro="" textlink="" fLocksText="0">
      <xdr:nvSpPr>
        <xdr:cNvPr id="10257" name="Rectangle 9">
          <a:extLst>
            <a:ext uri="{FF2B5EF4-FFF2-40B4-BE49-F238E27FC236}">
              <a16:creationId xmlns:a16="http://schemas.microsoft.com/office/drawing/2014/main" xmlns="" id="{00000000-0008-0000-0700-000011280000}"/>
            </a:ext>
          </a:extLst>
        </xdr:cNvPr>
        <xdr:cNvSpPr>
          <a:spLocks noChangeArrowheads="1"/>
        </xdr:cNvSpPr>
      </xdr:nvSpPr>
      <xdr:spPr bwMode="auto">
        <a:xfrm>
          <a:off x="9525" y="9077325"/>
          <a:ext cx="11087100" cy="752475"/>
        </a:xfrm>
        <a:prstGeom prst="rect">
          <a:avLst/>
        </a:prstGeom>
        <a:solidFill>
          <a:srgbClr val="FFFFC0"/>
        </a:solidFill>
        <a:ln w="9525" algn="ctr">
          <a:solidFill>
            <a:srgbClr val="000000"/>
          </a:solidFill>
          <a:miter lim="800000"/>
          <a:headEnd/>
          <a:tailEnd/>
        </a:ln>
      </xdr:spPr>
      <xdr:txBody>
        <a:bodyPr/>
        <a:lstStyle/>
        <a:p>
          <a:r>
            <a:rPr lang="en-GB"/>
            <a:t>Minor improvements</a:t>
          </a:r>
          <a:r>
            <a:rPr lang="en-GB" baseline="0"/>
            <a:t> n</a:t>
          </a:r>
          <a:r>
            <a:rPr lang="en-GB"/>
            <a:t>eeded</a:t>
          </a:r>
          <a:r>
            <a:rPr lang="en-GB" baseline="0"/>
            <a:t> (i.e. painting of facade and interiors), </a:t>
          </a:r>
          <a:endParaRPr lang="en-GB"/>
        </a:p>
      </xdr:txBody>
    </xdr:sp>
    <xdr:clientData/>
  </xdr:twoCellAnchor>
  <xdr:twoCellAnchor>
    <xdr:from>
      <xdr:col>0</xdr:col>
      <xdr:colOff>9525</xdr:colOff>
      <xdr:row>52</xdr:row>
      <xdr:rowOff>180975</xdr:rowOff>
    </xdr:from>
    <xdr:to>
      <xdr:col>10</xdr:col>
      <xdr:colOff>1000125</xdr:colOff>
      <xdr:row>56</xdr:row>
      <xdr:rowOff>180975</xdr:rowOff>
    </xdr:to>
    <xdr:sp macro="" textlink="" fLocksText="0">
      <xdr:nvSpPr>
        <xdr:cNvPr id="10258" name="Rectangle 10">
          <a:extLst>
            <a:ext uri="{FF2B5EF4-FFF2-40B4-BE49-F238E27FC236}">
              <a16:creationId xmlns:a16="http://schemas.microsoft.com/office/drawing/2014/main" xmlns="" id="{00000000-0008-0000-0700-000012280000}"/>
            </a:ext>
          </a:extLst>
        </xdr:cNvPr>
        <xdr:cNvSpPr>
          <a:spLocks noChangeArrowheads="1"/>
        </xdr:cNvSpPr>
      </xdr:nvSpPr>
      <xdr:spPr bwMode="auto">
        <a:xfrm>
          <a:off x="9525" y="10210800"/>
          <a:ext cx="11087100" cy="762000"/>
        </a:xfrm>
        <a:prstGeom prst="rect">
          <a:avLst/>
        </a:prstGeom>
        <a:solidFill>
          <a:srgbClr val="FFFFC0"/>
        </a:solidFill>
        <a:ln w="9525" algn="ctr">
          <a:solidFill>
            <a:srgbClr val="000000"/>
          </a:solidFill>
          <a:miter lim="800000"/>
          <a:headEnd/>
          <a:tailEnd/>
        </a:ln>
      </xdr:spPr>
      <xdr:txBody>
        <a:bodyPr/>
        <a:lstStyle/>
        <a:p>
          <a:r>
            <a:rPr lang="en-GB" sz="1100" baseline="0">
              <a:latin typeface="+mn-lt"/>
              <a:ea typeface="+mn-ea"/>
              <a:cs typeface="+mn-cs"/>
            </a:rPr>
            <a:t>Highlight the DAF brand facilities to be reckoned as a professional and reliable company</a:t>
          </a:r>
          <a:endParaRPr lang="en-GB"/>
        </a:p>
      </xdr:txBody>
    </xdr:sp>
    <xdr:clientData/>
  </xdr:twoCellAnchor>
  <xdr:twoCellAnchor>
    <xdr:from>
      <xdr:col>4</xdr:col>
      <xdr:colOff>219075</xdr:colOff>
      <xdr:row>9</xdr:row>
      <xdr:rowOff>57150</xdr:rowOff>
    </xdr:from>
    <xdr:to>
      <xdr:col>10</xdr:col>
      <xdr:colOff>1000125</xdr:colOff>
      <xdr:row>30</xdr:row>
      <xdr:rowOff>180975</xdr:rowOff>
    </xdr:to>
    <xdr:sp macro="" textlink="">
      <xdr:nvSpPr>
        <xdr:cNvPr id="10253" name="MyHelpTekst" hidden="1">
          <a:extLst>
            <a:ext uri="{FF2B5EF4-FFF2-40B4-BE49-F238E27FC236}">
              <a16:creationId xmlns:a16="http://schemas.microsoft.com/office/drawing/2014/main" xmlns="" id="{00000000-0008-0000-0700-00000D280000}"/>
            </a:ext>
          </a:extLst>
        </xdr:cNvPr>
        <xdr:cNvSpPr>
          <a:spLocks noChangeArrowheads="1"/>
        </xdr:cNvSpPr>
      </xdr:nvSpPr>
      <xdr:spPr bwMode="auto">
        <a:xfrm>
          <a:off x="4257675" y="1895475"/>
          <a:ext cx="6838950" cy="412432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0" i="0" u="none" strike="noStrike" baseline="0">
              <a:solidFill>
                <a:srgbClr val="000000"/>
              </a:solidFill>
              <a:latin typeface="Trebuchet MS"/>
            </a:rPr>
            <a:t>2.2 </a:t>
          </a:r>
          <a:r>
            <a:rPr lang="nl-NL" sz="800" b="1" i="0" u="none" strike="noStrike" baseline="0">
              <a:solidFill>
                <a:srgbClr val="000000"/>
              </a:solidFill>
              <a:latin typeface="Trebuchet MS"/>
            </a:rPr>
            <a:t>Dealer Location &amp; Facilities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 case for ongoing companies) give a detailed description of the existing dealer premises.</a:t>
          </a:r>
        </a:p>
        <a:p>
          <a:pPr algn="l" rtl="0">
            <a:defRPr sz="1000"/>
          </a:pPr>
          <a:r>
            <a:rPr lang="nl-NL" sz="800" b="0" i="0" u="none" strike="noStrike" baseline="0">
              <a:solidFill>
                <a:srgbClr val="000000"/>
              </a:solidFill>
              <a:latin typeface="Trebuchet MS"/>
            </a:rPr>
            <a:t>In case for a start-up company give a detailed description of the ideal premises.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Dealer premises and facilities surface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surface of the different areas in square meters.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Detailed map of the dealer site</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Show a detailed drawing of the site and the building.</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Strengths of the facilities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strengths of the facilities.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Weaknesses of the facilities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weaknesses of the present facilities.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Key success factor</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issues for the coming planning period.</a:t>
          </a:r>
          <a:endParaRPr lang="nl-NL" sz="1000" b="1" i="0" u="sng" strike="noStrike" baseline="0">
            <a:solidFill>
              <a:srgbClr val="000000"/>
            </a:solidFill>
            <a:latin typeface="Trebuchet MS"/>
          </a:endParaRPr>
        </a:p>
        <a:p>
          <a:pPr algn="l" rtl="0">
            <a:defRPr sz="1000"/>
          </a:pPr>
          <a:endParaRPr lang="nl-NL" sz="1000" b="1" i="0" u="sng" strike="noStrike" baseline="0">
            <a:solidFill>
              <a:srgbClr val="000000"/>
            </a:solidFill>
            <a:latin typeface="Trebuchet MS"/>
          </a:endParaRPr>
        </a:p>
      </xdr:txBody>
    </xdr:sp>
    <xdr:clientData/>
  </xdr:twoCellAnchor>
  <xdr:twoCellAnchor editAs="oneCell">
    <xdr:from>
      <xdr:col>5</xdr:col>
      <xdr:colOff>787400</xdr:colOff>
      <xdr:row>0</xdr:row>
      <xdr:rowOff>177800</xdr:rowOff>
    </xdr:from>
    <xdr:to>
      <xdr:col>6</xdr:col>
      <xdr:colOff>2931</xdr:colOff>
      <xdr:row>1</xdr:row>
      <xdr:rowOff>3908</xdr:rowOff>
    </xdr:to>
    <xdr:pic>
      <xdr:nvPicPr>
        <xdr:cNvPr id="10243" name="CommandButton1">
          <a:extLst>
            <a:ext uri="{FF2B5EF4-FFF2-40B4-BE49-F238E27FC236}">
              <a16:creationId xmlns:a16="http://schemas.microsoft.com/office/drawing/2014/main" xmlns="" id="{00000000-0008-0000-0700-0000032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65900" y="177800"/>
          <a:ext cx="368300" cy="177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209550</xdr:colOff>
      <xdr:row>1</xdr:row>
      <xdr:rowOff>47625</xdr:rowOff>
    </xdr:from>
    <xdr:to>
      <xdr:col>10</xdr:col>
      <xdr:colOff>1247775</xdr:colOff>
      <xdr:row>21</xdr:row>
      <xdr:rowOff>28575</xdr:rowOff>
    </xdr:to>
    <xdr:sp macro="" textlink="">
      <xdr:nvSpPr>
        <xdr:cNvPr id="24592" name="MyHelpTekst" hidden="1">
          <a:extLst>
            <a:ext uri="{FF2B5EF4-FFF2-40B4-BE49-F238E27FC236}">
              <a16:creationId xmlns:a16="http://schemas.microsoft.com/office/drawing/2014/main" xmlns="" id="{00000000-0008-0000-0800-000010600000}"/>
            </a:ext>
          </a:extLst>
        </xdr:cNvPr>
        <xdr:cNvSpPr>
          <a:spLocks noChangeArrowheads="1"/>
        </xdr:cNvSpPr>
      </xdr:nvSpPr>
      <xdr:spPr bwMode="auto">
        <a:xfrm>
          <a:off x="4019550" y="428625"/>
          <a:ext cx="6381750" cy="3867150"/>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3.0 Products &amp; Services</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Products offered</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List all products which are sold through the dealership as well as the make. Please choose one of the pre-selected options: “yes”, “no” or “in future”. In case needed additional remarks can be made.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 Services offered</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which services are offered. Please choose one of the pre-selected options: “yes”, “no” or “in future”. In case services are offered which are not listed, additional space is available.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Strengths of the products &amp; services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strengths of the products and services.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Weaknesses of the products &amp; services </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weaknesses of the products and services.</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Key success factor</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issues for the coming planning period.</a:t>
          </a:r>
        </a:p>
        <a:p>
          <a:pPr algn="l" rtl="0">
            <a:defRPr sz="1000"/>
          </a:pP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xdr:txBody>
    </xdr:sp>
    <xdr:clientData/>
  </xdr:twoCellAnchor>
  <xdr:twoCellAnchor editAs="oneCell">
    <xdr:from>
      <xdr:col>6</xdr:col>
      <xdr:colOff>508000</xdr:colOff>
      <xdr:row>0</xdr:row>
      <xdr:rowOff>127000</xdr:rowOff>
    </xdr:from>
    <xdr:to>
      <xdr:col>6</xdr:col>
      <xdr:colOff>2006600</xdr:colOff>
      <xdr:row>0</xdr:row>
      <xdr:rowOff>863600</xdr:rowOff>
    </xdr:to>
    <xdr:pic>
      <xdr:nvPicPr>
        <xdr:cNvPr id="24587" name="CommandButton1">
          <a:extLst>
            <a:ext uri="{FF2B5EF4-FFF2-40B4-BE49-F238E27FC236}">
              <a16:creationId xmlns:a16="http://schemas.microsoft.com/office/drawing/2014/main" xmlns="" id="{00000000-0008-0000-0800-00000B6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1200" y="127000"/>
          <a:ext cx="584200" cy="2540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xdr:colOff>
      <xdr:row>22</xdr:row>
      <xdr:rowOff>0</xdr:rowOff>
    </xdr:from>
    <xdr:to>
      <xdr:col>10</xdr:col>
      <xdr:colOff>1247775</xdr:colOff>
      <xdr:row>26</xdr:row>
      <xdr:rowOff>180975</xdr:rowOff>
    </xdr:to>
    <xdr:sp macro="" textlink="" fLocksText="0">
      <xdr:nvSpPr>
        <xdr:cNvPr id="27670" name="Rectangle 12">
          <a:extLst>
            <a:ext uri="{FF2B5EF4-FFF2-40B4-BE49-F238E27FC236}">
              <a16:creationId xmlns:a16="http://schemas.microsoft.com/office/drawing/2014/main" xmlns="" id="{00000000-0008-0000-0900-0000166C0000}"/>
            </a:ext>
          </a:extLst>
        </xdr:cNvPr>
        <xdr:cNvSpPr>
          <a:spLocks noChangeArrowheads="1"/>
        </xdr:cNvSpPr>
      </xdr:nvSpPr>
      <xdr:spPr bwMode="auto">
        <a:xfrm>
          <a:off x="9525" y="4362450"/>
          <a:ext cx="9144000" cy="942975"/>
        </a:xfrm>
        <a:prstGeom prst="rect">
          <a:avLst/>
        </a:prstGeom>
        <a:solidFill>
          <a:srgbClr val="FFFFC0"/>
        </a:solidFill>
        <a:ln w="9525" algn="ctr">
          <a:solidFill>
            <a:srgbClr val="000000"/>
          </a:solidFill>
          <a:miter lim="800000"/>
          <a:headEnd/>
          <a:tailEnd/>
        </a:ln>
      </xdr:spPr>
      <xdr:txBody>
        <a:bodyPr/>
        <a:lstStyle/>
        <a:p>
          <a:r>
            <a:rPr lang="en-GB"/>
            <a:t>Salesmen incentivised</a:t>
          </a:r>
          <a:r>
            <a:rPr lang="en-GB" baseline="0"/>
            <a:t> to sell service and maintenance contracts </a:t>
          </a:r>
          <a:endParaRPr lang="en-GB"/>
        </a:p>
      </xdr:txBody>
    </xdr:sp>
    <xdr:clientData/>
  </xdr:twoCellAnchor>
  <xdr:twoCellAnchor>
    <xdr:from>
      <xdr:col>0</xdr:col>
      <xdr:colOff>9525</xdr:colOff>
      <xdr:row>29</xdr:row>
      <xdr:rowOff>9525</xdr:rowOff>
    </xdr:from>
    <xdr:to>
      <xdr:col>10</xdr:col>
      <xdr:colOff>1247775</xdr:colOff>
      <xdr:row>32</xdr:row>
      <xdr:rowOff>180975</xdr:rowOff>
    </xdr:to>
    <xdr:sp macro="" textlink="" fLocksText="0">
      <xdr:nvSpPr>
        <xdr:cNvPr id="27671" name="Rectangle 13">
          <a:extLst>
            <a:ext uri="{FF2B5EF4-FFF2-40B4-BE49-F238E27FC236}">
              <a16:creationId xmlns:a16="http://schemas.microsoft.com/office/drawing/2014/main" xmlns="" id="{00000000-0008-0000-0900-0000176C0000}"/>
            </a:ext>
          </a:extLst>
        </xdr:cNvPr>
        <xdr:cNvSpPr>
          <a:spLocks noChangeArrowheads="1"/>
        </xdr:cNvSpPr>
      </xdr:nvSpPr>
      <xdr:spPr bwMode="auto">
        <a:xfrm>
          <a:off x="9525" y="5705475"/>
          <a:ext cx="9144000" cy="742950"/>
        </a:xfrm>
        <a:prstGeom prst="rect">
          <a:avLst/>
        </a:prstGeom>
        <a:solidFill>
          <a:srgbClr val="FFFFC0"/>
        </a:solidFill>
        <a:ln w="9525" algn="ctr">
          <a:solidFill>
            <a:srgbClr val="000000"/>
          </a:solidFill>
          <a:miter lim="800000"/>
          <a:headEnd/>
          <a:tailEnd/>
        </a:ln>
      </xdr:spPr>
      <xdr:txBody>
        <a:bodyPr/>
        <a:lstStyle/>
        <a:p>
          <a:r>
            <a:rPr lang="en-GB"/>
            <a:t>Planned</a:t>
          </a:r>
          <a:r>
            <a:rPr lang="en-GB" baseline="0"/>
            <a:t> to extend the warranty period by subscribing to local insurances </a:t>
          </a:r>
          <a:endParaRPr lang="en-GB"/>
        </a:p>
      </xdr:txBody>
    </xdr:sp>
    <xdr:clientData/>
  </xdr:twoCellAnchor>
  <xdr:twoCellAnchor>
    <xdr:from>
      <xdr:col>0</xdr:col>
      <xdr:colOff>9525</xdr:colOff>
      <xdr:row>15</xdr:row>
      <xdr:rowOff>0</xdr:rowOff>
    </xdr:from>
    <xdr:to>
      <xdr:col>10</xdr:col>
      <xdr:colOff>1247775</xdr:colOff>
      <xdr:row>20</xdr:row>
      <xdr:rowOff>0</xdr:rowOff>
    </xdr:to>
    <xdr:sp macro="" textlink="" fLocksText="0">
      <xdr:nvSpPr>
        <xdr:cNvPr id="27672" name="Rectangle 15">
          <a:extLst>
            <a:ext uri="{FF2B5EF4-FFF2-40B4-BE49-F238E27FC236}">
              <a16:creationId xmlns:a16="http://schemas.microsoft.com/office/drawing/2014/main" xmlns="" id="{00000000-0008-0000-0900-0000186C0000}"/>
            </a:ext>
          </a:extLst>
        </xdr:cNvPr>
        <xdr:cNvSpPr>
          <a:spLocks noChangeArrowheads="1"/>
        </xdr:cNvSpPr>
      </xdr:nvSpPr>
      <xdr:spPr bwMode="auto">
        <a:xfrm>
          <a:off x="9525" y="3028950"/>
          <a:ext cx="9144000" cy="952500"/>
        </a:xfrm>
        <a:prstGeom prst="rect">
          <a:avLst/>
        </a:prstGeom>
        <a:solidFill>
          <a:srgbClr val="FFFFC0"/>
        </a:solidFill>
        <a:ln w="9525" algn="ctr">
          <a:solidFill>
            <a:srgbClr val="000000"/>
          </a:solidFill>
          <a:miter lim="800000"/>
          <a:headEnd/>
          <a:tailEnd/>
        </a:ln>
      </xdr:spPr>
      <xdr:txBody>
        <a:bodyPr/>
        <a:lstStyle/>
        <a:p>
          <a:r>
            <a:rPr lang="en-GB"/>
            <a:t>Arab Tunisian Leasing (ATL), Tunisie Leasing, Attijari Leasing , Hannibal Lease, CIL</a:t>
          </a:r>
          <a:r>
            <a:rPr lang="en-GB" baseline="0"/>
            <a:t>                                                                                </a:t>
          </a:r>
          <a:r>
            <a:rPr lang="en-GB"/>
            <a:t>                                                                                                                                                                                       Amen Bank</a:t>
          </a:r>
          <a:r>
            <a:rPr lang="en-GB" baseline="0"/>
            <a:t>, </a:t>
          </a:r>
          <a:r>
            <a:rPr lang="en-GB" sz="1100">
              <a:latin typeface="+mn-lt"/>
              <a:ea typeface="+mn-ea"/>
              <a:cs typeface="+mn-cs"/>
            </a:rPr>
            <a:t>Arab Tunisian Bank (ATB) , </a:t>
          </a:r>
          <a:r>
            <a:rPr lang="en-GB" baseline="0"/>
            <a:t>Banque Nationale Agricole (BNA), Union Internationale des Banques (UIB), Banque de l'Habitat (BH), BIAT </a:t>
          </a:r>
          <a:endParaRPr lang="en-GB"/>
        </a:p>
      </xdr:txBody>
    </xdr:sp>
    <xdr:clientData/>
  </xdr:twoCellAnchor>
  <xdr:twoCellAnchor>
    <xdr:from>
      <xdr:col>2</xdr:col>
      <xdr:colOff>9525</xdr:colOff>
      <xdr:row>35</xdr:row>
      <xdr:rowOff>9525</xdr:rowOff>
    </xdr:from>
    <xdr:to>
      <xdr:col>10</xdr:col>
      <xdr:colOff>1247775</xdr:colOff>
      <xdr:row>38</xdr:row>
      <xdr:rowOff>171450</xdr:rowOff>
    </xdr:to>
    <xdr:sp macro="" textlink="" fLocksText="0">
      <xdr:nvSpPr>
        <xdr:cNvPr id="27673" name="Rectangle 16">
          <a:extLst>
            <a:ext uri="{FF2B5EF4-FFF2-40B4-BE49-F238E27FC236}">
              <a16:creationId xmlns:a16="http://schemas.microsoft.com/office/drawing/2014/main" xmlns="" id="{00000000-0008-0000-0900-0000196C0000}"/>
            </a:ext>
          </a:extLst>
        </xdr:cNvPr>
        <xdr:cNvSpPr>
          <a:spLocks noChangeArrowheads="1"/>
        </xdr:cNvSpPr>
      </xdr:nvSpPr>
      <xdr:spPr bwMode="auto">
        <a:xfrm>
          <a:off x="1590675" y="6848475"/>
          <a:ext cx="7562850" cy="733425"/>
        </a:xfrm>
        <a:prstGeom prst="rect">
          <a:avLst/>
        </a:prstGeom>
        <a:solidFill>
          <a:srgbClr val="FFFFC0"/>
        </a:solidFill>
        <a:ln w="9525" algn="ctr">
          <a:solidFill>
            <a:srgbClr val="000000"/>
          </a:solidFill>
          <a:miter lim="800000"/>
          <a:headEnd/>
          <a:tailEnd/>
        </a:ln>
      </xdr:spPr>
      <xdr:txBody>
        <a:bodyPr/>
        <a:lstStyle/>
        <a:p>
          <a:r>
            <a:rPr lang="en-GB"/>
            <a:t>70</a:t>
          </a:r>
          <a:r>
            <a:rPr lang="en-GB" baseline="0"/>
            <a:t>                                                                                                                                                                                                                                                  </a:t>
          </a:r>
        </a:p>
        <a:p>
          <a:r>
            <a:rPr lang="en-GB" baseline="0"/>
            <a:t>30                                                                                                                                                                                                                                                </a:t>
          </a:r>
        </a:p>
        <a:p>
          <a:r>
            <a:rPr lang="en-GB" baseline="0"/>
            <a:t>40 </a:t>
          </a:r>
          <a:endParaRPr lang="en-GB"/>
        </a:p>
      </xdr:txBody>
    </xdr:sp>
    <xdr:clientData/>
  </xdr:twoCellAnchor>
  <xdr:twoCellAnchor>
    <xdr:from>
      <xdr:col>2</xdr:col>
      <xdr:colOff>9525</xdr:colOff>
      <xdr:row>41</xdr:row>
      <xdr:rowOff>0</xdr:rowOff>
    </xdr:from>
    <xdr:to>
      <xdr:col>10</xdr:col>
      <xdr:colOff>1247775</xdr:colOff>
      <xdr:row>44</xdr:row>
      <xdr:rowOff>180975</xdr:rowOff>
    </xdr:to>
    <xdr:sp macro="" textlink="" fLocksText="0">
      <xdr:nvSpPr>
        <xdr:cNvPr id="27674" name="Rectangle 17">
          <a:extLst>
            <a:ext uri="{FF2B5EF4-FFF2-40B4-BE49-F238E27FC236}">
              <a16:creationId xmlns:a16="http://schemas.microsoft.com/office/drawing/2014/main" xmlns="" id="{00000000-0008-0000-0900-00001A6C0000}"/>
            </a:ext>
          </a:extLst>
        </xdr:cNvPr>
        <xdr:cNvSpPr>
          <a:spLocks noChangeArrowheads="1"/>
        </xdr:cNvSpPr>
      </xdr:nvSpPr>
      <xdr:spPr bwMode="auto">
        <a:xfrm>
          <a:off x="1590675" y="7981950"/>
          <a:ext cx="7562850" cy="752475"/>
        </a:xfrm>
        <a:prstGeom prst="rect">
          <a:avLst/>
        </a:prstGeom>
        <a:solidFill>
          <a:srgbClr val="FFFFC0"/>
        </a:solidFill>
        <a:ln w="9525" algn="ctr">
          <a:solidFill>
            <a:srgbClr val="000000"/>
          </a:solidFill>
          <a:miter lim="800000"/>
          <a:headEnd/>
          <a:tailEnd/>
        </a:ln>
      </xdr:spPr>
      <xdr:txBody>
        <a:bodyPr/>
        <a:lstStyle/>
        <a:p>
          <a:r>
            <a:rPr lang="en-GB"/>
            <a:t>0</a:t>
          </a:r>
        </a:p>
      </xdr:txBody>
    </xdr:sp>
    <xdr:clientData/>
  </xdr:twoCellAnchor>
  <xdr:twoCellAnchor>
    <xdr:from>
      <xdr:col>0</xdr:col>
      <xdr:colOff>9525</xdr:colOff>
      <xdr:row>47</xdr:row>
      <xdr:rowOff>0</xdr:rowOff>
    </xdr:from>
    <xdr:to>
      <xdr:col>10</xdr:col>
      <xdr:colOff>1247775</xdr:colOff>
      <xdr:row>48</xdr:row>
      <xdr:rowOff>180975</xdr:rowOff>
    </xdr:to>
    <xdr:sp macro="" textlink="" fLocksText="0">
      <xdr:nvSpPr>
        <xdr:cNvPr id="27675" name="Rectangle 18">
          <a:extLst>
            <a:ext uri="{FF2B5EF4-FFF2-40B4-BE49-F238E27FC236}">
              <a16:creationId xmlns:a16="http://schemas.microsoft.com/office/drawing/2014/main" xmlns="" id="{00000000-0008-0000-0900-00001B6C0000}"/>
            </a:ext>
          </a:extLst>
        </xdr:cNvPr>
        <xdr:cNvSpPr>
          <a:spLocks noChangeArrowheads="1"/>
        </xdr:cNvSpPr>
      </xdr:nvSpPr>
      <xdr:spPr bwMode="auto">
        <a:xfrm>
          <a:off x="9525" y="9124950"/>
          <a:ext cx="9144000" cy="371475"/>
        </a:xfrm>
        <a:prstGeom prst="rect">
          <a:avLst/>
        </a:prstGeom>
        <a:solidFill>
          <a:srgbClr val="FFFFC0"/>
        </a:solidFill>
        <a:ln w="9525" algn="ctr">
          <a:solidFill>
            <a:srgbClr val="000000"/>
          </a:solidFill>
          <a:miter lim="800000"/>
          <a:headEnd/>
          <a:tailEnd/>
        </a:ln>
      </xdr:spPr>
      <xdr:txBody>
        <a:bodyPr/>
        <a:lstStyle/>
        <a:p>
          <a:r>
            <a:rPr lang="en-GB"/>
            <a:t>Joint communication</a:t>
          </a:r>
          <a:r>
            <a:rPr lang="en-GB" baseline="0"/>
            <a:t> campaign with leasing companies , communicate on the benefits of the repair and maintenance contracts and extended warranty programs</a:t>
          </a:r>
          <a:endParaRPr lang="en-GB"/>
        </a:p>
      </xdr:txBody>
    </xdr:sp>
    <xdr:clientData/>
  </xdr:twoCellAnchor>
  <xdr:twoCellAnchor>
    <xdr:from>
      <xdr:col>4</xdr:col>
      <xdr:colOff>209550</xdr:colOff>
      <xdr:row>2</xdr:row>
      <xdr:rowOff>9525</xdr:rowOff>
    </xdr:from>
    <xdr:to>
      <xdr:col>10</xdr:col>
      <xdr:colOff>1247775</xdr:colOff>
      <xdr:row>35</xdr:row>
      <xdr:rowOff>0</xdr:rowOff>
    </xdr:to>
    <xdr:sp macro="" textlink="">
      <xdr:nvSpPr>
        <xdr:cNvPr id="27657" name="MyHelpTekst" hidden="1">
          <a:extLst>
            <a:ext uri="{FF2B5EF4-FFF2-40B4-BE49-F238E27FC236}">
              <a16:creationId xmlns:a16="http://schemas.microsoft.com/office/drawing/2014/main" xmlns="" id="{00000000-0008-0000-0900-0000096C0000}"/>
            </a:ext>
          </a:extLst>
        </xdr:cNvPr>
        <xdr:cNvSpPr>
          <a:spLocks noChangeArrowheads="1"/>
        </xdr:cNvSpPr>
      </xdr:nvSpPr>
      <xdr:spPr bwMode="auto">
        <a:xfrm>
          <a:off x="3371850" y="561975"/>
          <a:ext cx="5781675" cy="6276975"/>
        </a:xfrm>
        <a:prstGeom prst="roundRect">
          <a:avLst>
            <a:gd name="adj" fmla="val 16667"/>
          </a:avLst>
        </a:prstGeom>
        <a:solidFill>
          <a:srgbClr val="E3E3E3">
            <a:alpha val="85001"/>
          </a:srgbClr>
        </a:solidFill>
        <a:ln w="9525">
          <a:solidFill>
            <a:srgbClr val="000000"/>
          </a:solidFill>
          <a:round/>
          <a:headEnd/>
          <a:tailEnd/>
        </a:ln>
      </xdr:spPr>
      <xdr:txBody>
        <a:bodyPr vertOverflow="clip" wrap="square" lIns="27432" tIns="32004" rIns="0" bIns="0" anchor="t" upright="1"/>
        <a:lstStyle/>
        <a:p>
          <a:pPr algn="l" rtl="0">
            <a:defRPr sz="1000"/>
          </a:pPr>
          <a:r>
            <a:rPr lang="nl-NL" sz="800" b="1" i="0" u="none" strike="noStrike" baseline="0">
              <a:solidFill>
                <a:srgbClr val="000000"/>
              </a:solidFill>
              <a:latin typeface="Trebuchet MS"/>
            </a:rPr>
            <a:t>3.1 Financing &amp; Insurance</a:t>
          </a:r>
          <a:endParaRPr lang="nl-NL" sz="800" b="0" i="0" u="none" strike="noStrike" baseline="0">
            <a:solidFill>
              <a:srgbClr val="000000"/>
            </a:solidFill>
            <a:latin typeface="Trebuchet MS"/>
          </a:endParaRP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1. Presence of PACCAR Financial</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Please choose one of the options: “yes” or “no”.</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2.1 Sales financing for new trucks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if and how sales financing is offered for new trucks to end customers, what the policy is, what the problems are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2.2 Sales financing for used trucks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if and how sales financing is offered for used trucks to end customers, what the policy is, what the problems are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3. Important leasing companies and banks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Make a list of the most important leasing companies and banks in your dealer area.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4. Repair &amp; Maintenance contracts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if and how R&amp;M contracts are offered, what the policy is, what the problems are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5. Extended warranties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Describe if and how extended warranty is offered, what the policy is, what the problems are etc.</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6. Sold services new trucks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percentage of new trucks which are sold with leasing (own lease company), financing (through third parties) and/or R&amp;M-contracts in the latest fiscal year.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7. Sold services used trucks</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Fill in the percentage of used trucks which are sold with leasing (own lease company), financing (through third parties) and/or R&amp;M-contracts in the latest fiscal year. </a:t>
          </a:r>
        </a:p>
        <a:p>
          <a:pPr algn="l" rtl="0">
            <a:defRPr sz="1000"/>
          </a:pPr>
          <a:endParaRPr lang="nl-NL" sz="800" b="0" i="0" u="none" strike="noStrike" baseline="0">
            <a:solidFill>
              <a:srgbClr val="000000"/>
            </a:solidFill>
            <a:latin typeface="Trebuchet MS"/>
          </a:endParaRPr>
        </a:p>
        <a:p>
          <a:pPr algn="l" rtl="0">
            <a:defRPr sz="1000"/>
          </a:pPr>
          <a:r>
            <a:rPr lang="nl-NL" sz="800" b="1" i="0" u="none" strike="noStrike" baseline="0">
              <a:solidFill>
                <a:srgbClr val="000000"/>
              </a:solidFill>
              <a:latin typeface="Trebuchet MS"/>
            </a:rPr>
            <a:t>8. Key success factor</a:t>
          </a:r>
          <a:endParaRPr lang="nl-NL" sz="800" b="0" i="0" u="none" strike="noStrike" baseline="0">
            <a:solidFill>
              <a:srgbClr val="000000"/>
            </a:solidFill>
            <a:latin typeface="Trebuchet MS"/>
          </a:endParaRPr>
        </a:p>
        <a:p>
          <a:pPr algn="l" rtl="0">
            <a:defRPr sz="1000"/>
          </a:pPr>
          <a:r>
            <a:rPr lang="nl-NL" sz="800" b="0" i="0" u="none" strike="noStrike" baseline="0">
              <a:solidFill>
                <a:srgbClr val="000000"/>
              </a:solidFill>
              <a:latin typeface="Trebuchet MS"/>
            </a:rPr>
            <a:t>Indicate the main issues for the coming planning period.</a:t>
          </a:r>
        </a:p>
        <a:p>
          <a:pPr algn="l" rtl="0">
            <a:defRPr sz="1000"/>
          </a:pPr>
          <a:endParaRPr lang="nl-NL"/>
        </a:p>
      </xdr:txBody>
    </xdr:sp>
    <xdr:clientData/>
  </xdr:twoCellAnchor>
  <xdr:twoCellAnchor editAs="oneCell">
    <xdr:from>
      <xdr:col>5</xdr:col>
      <xdr:colOff>685800</xdr:colOff>
      <xdr:row>0</xdr:row>
      <xdr:rowOff>203200</xdr:rowOff>
    </xdr:from>
    <xdr:to>
      <xdr:col>6</xdr:col>
      <xdr:colOff>647700</xdr:colOff>
      <xdr:row>2</xdr:row>
      <xdr:rowOff>76200</xdr:rowOff>
    </xdr:to>
    <xdr:pic>
      <xdr:nvPicPr>
        <xdr:cNvPr id="27656" name="CommandButton1">
          <a:extLst>
            <a:ext uri="{FF2B5EF4-FFF2-40B4-BE49-F238E27FC236}">
              <a16:creationId xmlns:a16="http://schemas.microsoft.com/office/drawing/2014/main" xmlns="" id="{00000000-0008-0000-0900-0000086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94300" y="203200"/>
          <a:ext cx="863600" cy="393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aler%20Development\Business%20plans\Unzip\Kopie%20van%20Master%20BP%20New%20(secured%20and%20protected)171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
    </sheetNames>
    <sheetDataSet>
      <sheetData sheetId="0" refreshError="1"/>
    </sheetDataSet>
  </externalBook>
</externalLink>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drawing" Target="../drawings/drawing16.xml"/><Relationship Id="rId7" Type="http://schemas.openxmlformats.org/officeDocument/2006/relationships/ctrlProp" Target="../ctrlProps/ctrlProp5.x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vmlDrawing" Target="../drawings/vmlDrawing2.vml"/><Relationship Id="rId9" Type="http://schemas.openxmlformats.org/officeDocument/2006/relationships/ctrlProp" Target="../ctrlProps/ctrlProp7.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32.xml"/><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s>
</file>

<file path=xl/worksheets/_rels/sheet34.xml.rels><?xml version="1.0" encoding="UTF-8" standalone="yes"?>
<Relationships xmlns="http://schemas.openxmlformats.org/package/2006/relationships"><Relationship Id="rId3" Type="http://schemas.openxmlformats.org/officeDocument/2006/relationships/drawing" Target="../drawings/drawing33.xm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35.xml.rels><?xml version="1.0" encoding="UTF-8" standalone="yes"?>
<Relationships xmlns="http://schemas.openxmlformats.org/package/2006/relationships"><Relationship Id="rId3" Type="http://schemas.openxmlformats.org/officeDocument/2006/relationships/drawing" Target="../drawings/drawing34.xml"/><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35.xml"/><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36.xml"/><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37.xml"/><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38.xml"/><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39.xml"/><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s>
</file>

<file path=xl/worksheets/_rels/sheet42.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84.bin"/><Relationship Id="rId1" Type="http://schemas.openxmlformats.org/officeDocument/2006/relationships/printerSettings" Target="../printerSettings/printerSettings83.bin"/></Relationships>
</file>

<file path=xl/worksheets/_rels/sheet43.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s>
</file>

<file path=xl/worksheets/_rels/sheet44.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88.bin"/><Relationship Id="rId1" Type="http://schemas.openxmlformats.org/officeDocument/2006/relationships/printerSettings" Target="../printerSettings/printerSettings87.bin"/></Relationships>
</file>

<file path=xl/worksheets/_rels/sheet45.xml.rels><?xml version="1.0" encoding="UTF-8" standalone="yes"?>
<Relationships xmlns="http://schemas.openxmlformats.org/package/2006/relationships"><Relationship Id="rId3" Type="http://schemas.openxmlformats.org/officeDocument/2006/relationships/drawing" Target="../drawings/drawing43.xml"/><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44.xml"/><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93.bin"/></Relationships>
</file>

<file path=xl/worksheets/_rels/sheet48.xml.rels><?xml version="1.0" encoding="UTF-8" standalone="yes"?>
<Relationships xmlns="http://schemas.openxmlformats.org/package/2006/relationships"><Relationship Id="rId3" Type="http://schemas.openxmlformats.org/officeDocument/2006/relationships/drawing" Target="../drawings/drawing46.xml"/><Relationship Id="rId2" Type="http://schemas.openxmlformats.org/officeDocument/2006/relationships/printerSettings" Target="../printerSettings/printerSettings95.bin"/><Relationship Id="rId1" Type="http://schemas.openxmlformats.org/officeDocument/2006/relationships/printerSettings" Target="../printerSettings/printerSettings94.bin"/><Relationship Id="rId5" Type="http://schemas.openxmlformats.org/officeDocument/2006/relationships/ctrlProp" Target="../ctrlProps/ctrlProp8.xml"/><Relationship Id="rId4" Type="http://schemas.openxmlformats.org/officeDocument/2006/relationships/vmlDrawing" Target="../drawings/vmlDrawing3.vml"/></Relationships>
</file>

<file path=xl/worksheets/_rels/sheet49.xml.rels><?xml version="1.0" encoding="UTF-8" standalone="yes"?>
<Relationships xmlns="http://schemas.openxmlformats.org/package/2006/relationships"><Relationship Id="rId3" Type="http://schemas.openxmlformats.org/officeDocument/2006/relationships/drawing" Target="../drawings/drawing47.xml"/><Relationship Id="rId2" Type="http://schemas.openxmlformats.org/officeDocument/2006/relationships/printerSettings" Target="../printerSettings/printerSettings97.bin"/><Relationship Id="rId1" Type="http://schemas.openxmlformats.org/officeDocument/2006/relationships/printerSettings" Target="../printerSettings/printerSettings96.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50.xml.rels><?xml version="1.0" encoding="UTF-8" standalone="yes"?>
<Relationships xmlns="http://schemas.openxmlformats.org/package/2006/relationships"><Relationship Id="rId3" Type="http://schemas.openxmlformats.org/officeDocument/2006/relationships/drawing" Target="../drawings/drawing48.xml"/><Relationship Id="rId2" Type="http://schemas.openxmlformats.org/officeDocument/2006/relationships/printerSettings" Target="../printerSettings/printerSettings99.bin"/><Relationship Id="rId1" Type="http://schemas.openxmlformats.org/officeDocument/2006/relationships/printerSettings" Target="../printerSettings/printerSettings98.bin"/></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49.xml"/><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s>
</file>

<file path=xl/worksheets/_rels/sheet52.xml.rels><?xml version="1.0" encoding="UTF-8" standalone="yes"?>
<Relationships xmlns="http://schemas.openxmlformats.org/package/2006/relationships"><Relationship Id="rId3" Type="http://schemas.openxmlformats.org/officeDocument/2006/relationships/drawing" Target="../drawings/drawing50.xml"/><Relationship Id="rId2" Type="http://schemas.openxmlformats.org/officeDocument/2006/relationships/printerSettings" Target="../printerSettings/printerSettings103.bin"/><Relationship Id="rId1" Type="http://schemas.openxmlformats.org/officeDocument/2006/relationships/printerSettings" Target="../printerSettings/printerSettings102.bin"/></Relationships>
</file>

<file path=xl/worksheets/_rels/sheet53.xml.rels><?xml version="1.0" encoding="UTF-8" standalone="yes"?>
<Relationships xmlns="http://schemas.openxmlformats.org/package/2006/relationships"><Relationship Id="rId3" Type="http://schemas.openxmlformats.org/officeDocument/2006/relationships/drawing" Target="../drawings/drawing51.xml"/><Relationship Id="rId2" Type="http://schemas.openxmlformats.org/officeDocument/2006/relationships/printerSettings" Target="../printerSettings/printerSettings105.bin"/><Relationship Id="rId1" Type="http://schemas.openxmlformats.org/officeDocument/2006/relationships/printerSettings" Target="../printerSettings/printerSettings104.bin"/></Relationships>
</file>

<file path=xl/worksheets/_rels/sheet54.xml.rels><?xml version="1.0" encoding="UTF-8" standalone="yes"?>
<Relationships xmlns="http://schemas.openxmlformats.org/package/2006/relationships"><Relationship Id="rId3" Type="http://schemas.openxmlformats.org/officeDocument/2006/relationships/drawing" Target="../drawings/drawing52.xml"/><Relationship Id="rId2" Type="http://schemas.openxmlformats.org/officeDocument/2006/relationships/printerSettings" Target="../printerSettings/printerSettings107.bin"/><Relationship Id="rId1" Type="http://schemas.openxmlformats.org/officeDocument/2006/relationships/printerSettings" Target="../printerSettings/printerSettings106.bin"/></Relationships>
</file>

<file path=xl/worksheets/_rels/sheet55.xml.rels><?xml version="1.0" encoding="UTF-8" standalone="yes"?>
<Relationships xmlns="http://schemas.openxmlformats.org/package/2006/relationships"><Relationship Id="rId3" Type="http://schemas.openxmlformats.org/officeDocument/2006/relationships/drawing" Target="../drawings/drawing53.xml"/><Relationship Id="rId2" Type="http://schemas.openxmlformats.org/officeDocument/2006/relationships/printerSettings" Target="../printerSettings/printerSettings109.bin"/><Relationship Id="rId1" Type="http://schemas.openxmlformats.org/officeDocument/2006/relationships/printerSettings" Target="../printerSettings/printerSettings108.bin"/></Relationships>
</file>

<file path=xl/worksheets/_rels/sheet56.xml.rels><?xml version="1.0" encoding="UTF-8" standalone="yes"?>
<Relationships xmlns="http://schemas.openxmlformats.org/package/2006/relationships"><Relationship Id="rId3" Type="http://schemas.openxmlformats.org/officeDocument/2006/relationships/drawing" Target="../drawings/drawing54.xml"/><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s>
</file>

<file path=xl/worksheets/_rels/sheet57.xml.rels><?xml version="1.0" encoding="UTF-8" standalone="yes"?>
<Relationships xmlns="http://schemas.openxmlformats.org/package/2006/relationships"><Relationship Id="rId3" Type="http://schemas.openxmlformats.org/officeDocument/2006/relationships/drawing" Target="../drawings/drawing55.xml"/><Relationship Id="rId2" Type="http://schemas.openxmlformats.org/officeDocument/2006/relationships/printerSettings" Target="../printerSettings/printerSettings113.bin"/><Relationship Id="rId1" Type="http://schemas.openxmlformats.org/officeDocument/2006/relationships/printerSettings" Target="../printerSettings/printerSettings112.bin"/></Relationships>
</file>

<file path=xl/worksheets/_rels/sheet58.xml.rels><?xml version="1.0" encoding="UTF-8" standalone="yes"?>
<Relationships xmlns="http://schemas.openxmlformats.org/package/2006/relationships"><Relationship Id="rId3" Type="http://schemas.openxmlformats.org/officeDocument/2006/relationships/drawing" Target="../drawings/drawing56.xml"/><Relationship Id="rId2" Type="http://schemas.openxmlformats.org/officeDocument/2006/relationships/printerSettings" Target="../printerSettings/printerSettings115.bin"/><Relationship Id="rId1" Type="http://schemas.openxmlformats.org/officeDocument/2006/relationships/printerSettings" Target="../printerSettings/printerSettings114.bin"/></Relationships>
</file>

<file path=xl/worksheets/_rels/sheet59.xml.rels><?xml version="1.0" encoding="UTF-8" standalone="yes"?>
<Relationships xmlns="http://schemas.openxmlformats.org/package/2006/relationships"><Relationship Id="rId3" Type="http://schemas.openxmlformats.org/officeDocument/2006/relationships/drawing" Target="../drawings/drawing57.xml"/><Relationship Id="rId2" Type="http://schemas.openxmlformats.org/officeDocument/2006/relationships/printerSettings" Target="../printerSettings/printerSettings117.bin"/><Relationship Id="rId1" Type="http://schemas.openxmlformats.org/officeDocument/2006/relationships/printerSettings" Target="../printerSettings/printerSettings116.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0.xml.rels><?xml version="1.0" encoding="UTF-8" standalone="yes"?>
<Relationships xmlns="http://schemas.openxmlformats.org/package/2006/relationships"><Relationship Id="rId3" Type="http://schemas.openxmlformats.org/officeDocument/2006/relationships/drawing" Target="../drawings/drawing58.xml"/><Relationship Id="rId2" Type="http://schemas.openxmlformats.org/officeDocument/2006/relationships/printerSettings" Target="../printerSettings/printerSettings119.bin"/><Relationship Id="rId1" Type="http://schemas.openxmlformats.org/officeDocument/2006/relationships/printerSettings" Target="../printerSettings/printerSettings118.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tabColor indexed="14"/>
    <pageSetUpPr fitToPage="1"/>
  </sheetPr>
  <dimension ref="A1:V100"/>
  <sheetViews>
    <sheetView showGridLines="0" topLeftCell="A26" zoomScaleNormal="75" workbookViewId="0">
      <selection activeCell="C15" sqref="C15"/>
    </sheetView>
  </sheetViews>
  <sheetFormatPr baseColWidth="10" defaultColWidth="0" defaultRowHeight="14.4" zeroHeight="1" x14ac:dyDescent="0.35"/>
  <cols>
    <col min="1" max="1" width="11.6640625" style="442" customWidth="1"/>
    <col min="2" max="2" width="9.109375" style="443" customWidth="1"/>
    <col min="3" max="3" width="26.33203125" style="443" customWidth="1"/>
    <col min="4" max="4" width="5.77734375" style="443" customWidth="1"/>
    <col min="5" max="5" width="2.77734375" style="443" customWidth="1"/>
    <col min="6" max="6" width="12.44140625" style="443" customWidth="1"/>
    <col min="7" max="7" width="12.6640625" style="443" customWidth="1"/>
    <col min="8" max="8" width="12.44140625" style="443" customWidth="1"/>
    <col min="9" max="9" width="9.33203125" style="443" customWidth="1"/>
    <col min="10" max="10" width="16.77734375" style="443" customWidth="1"/>
    <col min="11" max="11" width="14.44140625" style="467" customWidth="1"/>
    <col min="12" max="12" width="1" style="443" customWidth="1"/>
    <col min="13" max="13" width="4" style="45" hidden="1" customWidth="1"/>
    <col min="14" max="14" width="18.44140625" style="45" hidden="1" customWidth="1"/>
    <col min="15" max="15" width="9.109375" style="45" hidden="1" customWidth="1"/>
    <col min="16" max="16" width="7" style="45" hidden="1" customWidth="1"/>
    <col min="17" max="17" width="6.44140625" style="45" hidden="1" customWidth="1"/>
    <col min="18" max="18" width="9" style="45" hidden="1" customWidth="1"/>
    <col min="19" max="16384" width="9.109375" style="45" hidden="1"/>
  </cols>
  <sheetData>
    <row r="1" spans="1:22" s="203" customFormat="1" ht="29.25" customHeight="1" x14ac:dyDescent="0.55000000000000004">
      <c r="A1" s="1108" t="s">
        <v>483</v>
      </c>
      <c r="B1" s="1109"/>
      <c r="C1" s="1109"/>
      <c r="D1" s="2009" t="s">
        <v>1254</v>
      </c>
      <c r="E1" s="2001"/>
      <c r="F1" s="2001"/>
      <c r="G1" s="2001"/>
      <c r="H1" s="2001"/>
      <c r="I1" s="1109"/>
      <c r="J1" s="1109"/>
      <c r="K1" s="1110" t="s">
        <v>1033</v>
      </c>
      <c r="L1" s="1559"/>
      <c r="N1" s="204"/>
    </row>
    <row r="2" spans="1:22" x14ac:dyDescent="0.35">
      <c r="A2" s="519"/>
      <c r="B2" s="517"/>
      <c r="C2" s="517"/>
      <c r="D2" s="517"/>
      <c r="E2" s="517"/>
      <c r="F2" s="517"/>
      <c r="G2" s="517"/>
      <c r="H2" s="517"/>
      <c r="I2" s="517"/>
      <c r="J2" s="517"/>
      <c r="K2" s="1558"/>
      <c r="L2" s="1333"/>
      <c r="N2" s="45" t="s">
        <v>1030</v>
      </c>
      <c r="O2" s="76" t="s">
        <v>999</v>
      </c>
      <c r="P2" s="76"/>
      <c r="Q2" s="76"/>
      <c r="R2" s="76" t="s">
        <v>1029</v>
      </c>
    </row>
    <row r="3" spans="1:22" s="141" customFormat="1" ht="16.2" x14ac:dyDescent="0.35">
      <c r="A3" s="447"/>
      <c r="B3" s="1275"/>
      <c r="C3" s="1275"/>
      <c r="D3" s="1275"/>
      <c r="E3" s="1275"/>
      <c r="F3" s="1275"/>
      <c r="G3" s="1275"/>
      <c r="H3" s="1275"/>
      <c r="I3" s="1275"/>
      <c r="J3" s="1275"/>
      <c r="K3" s="1272"/>
      <c r="L3" s="1275"/>
      <c r="M3" s="45"/>
      <c r="N3" s="140" t="s">
        <v>316</v>
      </c>
      <c r="O3" s="821">
        <v>0</v>
      </c>
      <c r="P3" s="44"/>
      <c r="Q3" s="44"/>
      <c r="R3" s="821">
        <v>0</v>
      </c>
    </row>
    <row r="4" spans="1:22" s="141" customFormat="1" ht="16.2" x14ac:dyDescent="0.35">
      <c r="A4" s="447"/>
      <c r="B4" s="1275"/>
      <c r="C4" s="1275"/>
      <c r="D4" s="1275"/>
      <c r="E4" s="1275"/>
      <c r="F4" s="1275"/>
      <c r="G4" s="1275"/>
      <c r="H4" s="1275"/>
      <c r="I4" s="1275"/>
      <c r="J4" s="1275"/>
      <c r="K4" s="1273"/>
      <c r="L4" s="451"/>
      <c r="M4" s="141">
        <v>1</v>
      </c>
      <c r="N4" s="44" t="s">
        <v>289</v>
      </c>
      <c r="O4" s="821">
        <v>0</v>
      </c>
      <c r="P4" s="822"/>
      <c r="Q4" s="822"/>
      <c r="R4" s="821">
        <v>-5.8999999999999999E-3</v>
      </c>
      <c r="S4" s="141" t="s">
        <v>569</v>
      </c>
      <c r="T4" s="142">
        <v>2010</v>
      </c>
      <c r="V4" s="141" t="s">
        <v>729</v>
      </c>
    </row>
    <row r="5" spans="1:22" s="141" customFormat="1" ht="16.2" x14ac:dyDescent="0.35">
      <c r="A5" s="447"/>
      <c r="B5" s="1275"/>
      <c r="C5" s="1275"/>
      <c r="D5" s="1275"/>
      <c r="E5" s="1275"/>
      <c r="F5" s="1275"/>
      <c r="G5" s="1275"/>
      <c r="H5" s="1275"/>
      <c r="I5" s="1275"/>
      <c r="J5" s="1275"/>
      <c r="K5" s="1274"/>
      <c r="L5" s="454"/>
      <c r="M5" s="141">
        <v>2</v>
      </c>
      <c r="N5" s="44" t="s">
        <v>1007</v>
      </c>
      <c r="O5" s="821">
        <v>0.1</v>
      </c>
      <c r="P5" s="822"/>
      <c r="Q5" s="822"/>
      <c r="R5" s="821">
        <v>0</v>
      </c>
      <c r="S5" s="141" t="s">
        <v>572</v>
      </c>
      <c r="T5" s="142">
        <v>2011</v>
      </c>
      <c r="V5" s="141" t="s">
        <v>730</v>
      </c>
    </row>
    <row r="6" spans="1:22" s="141" customFormat="1" ht="16.2" x14ac:dyDescent="0.35">
      <c r="A6" s="447"/>
      <c r="B6" s="1275"/>
      <c r="C6" s="1275"/>
      <c r="D6" s="1275"/>
      <c r="E6" s="1275"/>
      <c r="F6" s="1275"/>
      <c r="G6" s="1275"/>
      <c r="H6" s="1275"/>
      <c r="I6" s="1275"/>
      <c r="J6" s="1275"/>
      <c r="K6" s="1274"/>
      <c r="L6" s="454"/>
      <c r="M6" s="141">
        <v>3</v>
      </c>
      <c r="N6" s="44" t="s">
        <v>290</v>
      </c>
      <c r="O6" s="821">
        <v>0</v>
      </c>
      <c r="P6" s="822"/>
      <c r="Q6" s="822"/>
      <c r="R6" s="821">
        <v>-1.09E-2</v>
      </c>
      <c r="S6" s="141" t="s">
        <v>1041</v>
      </c>
      <c r="T6" s="142">
        <v>2012</v>
      </c>
      <c r="U6" s="141">
        <v>3</v>
      </c>
      <c r="V6" s="141" t="s">
        <v>731</v>
      </c>
    </row>
    <row r="7" spans="1:22" s="141" customFormat="1" ht="16.2" x14ac:dyDescent="0.35">
      <c r="A7" s="447"/>
      <c r="B7" s="1275"/>
      <c r="C7" s="1275"/>
      <c r="D7" s="1275"/>
      <c r="E7" s="1275"/>
      <c r="F7" s="1275"/>
      <c r="G7" s="1275"/>
      <c r="H7" s="1275"/>
      <c r="I7" s="1275"/>
      <c r="J7" s="1275"/>
      <c r="K7" s="1274"/>
      <c r="L7" s="454"/>
      <c r="M7" s="141">
        <v>4</v>
      </c>
      <c r="N7" s="44" t="s">
        <v>1008</v>
      </c>
      <c r="O7" s="821">
        <v>0.1</v>
      </c>
      <c r="P7" s="822"/>
      <c r="Q7" s="822"/>
      <c r="R7" s="821">
        <v>-6.0000000000000001E-3</v>
      </c>
      <c r="S7" s="141" t="s">
        <v>570</v>
      </c>
      <c r="T7" s="142">
        <v>2013</v>
      </c>
      <c r="U7" s="141">
        <v>4</v>
      </c>
      <c r="V7" s="141" t="s">
        <v>732</v>
      </c>
    </row>
    <row r="8" spans="1:22" s="141" customFormat="1" ht="16.2" x14ac:dyDescent="0.35">
      <c r="A8" s="447"/>
      <c r="B8" s="1275"/>
      <c r="C8" s="1275"/>
      <c r="D8" s="1275"/>
      <c r="E8" s="1275"/>
      <c r="F8" s="1275"/>
      <c r="G8" s="1275"/>
      <c r="H8" s="1275"/>
      <c r="I8" s="1275"/>
      <c r="J8" s="1275"/>
      <c r="K8" s="1274"/>
      <c r="L8" s="454"/>
      <c r="M8" s="141">
        <v>5</v>
      </c>
      <c r="N8" s="44" t="s">
        <v>291</v>
      </c>
      <c r="O8" s="821">
        <v>0.1</v>
      </c>
      <c r="P8" s="822"/>
      <c r="Q8" s="822"/>
      <c r="R8" s="821">
        <v>-6.0000000000000001E-3</v>
      </c>
      <c r="S8" s="141" t="s">
        <v>568</v>
      </c>
      <c r="T8" s="142">
        <v>2014</v>
      </c>
      <c r="U8" s="141">
        <v>5</v>
      </c>
      <c r="V8" s="141" t="s">
        <v>733</v>
      </c>
    </row>
    <row r="9" spans="1:22" s="141" customFormat="1" ht="16.2" x14ac:dyDescent="0.35">
      <c r="A9" s="447"/>
      <c r="B9" s="1275"/>
      <c r="C9" s="1275"/>
      <c r="D9" s="1275"/>
      <c r="E9" s="1275"/>
      <c r="F9" s="1275"/>
      <c r="G9" s="1275"/>
      <c r="H9" s="1275"/>
      <c r="I9" s="1275"/>
      <c r="J9" s="1275"/>
      <c r="K9" s="1274"/>
      <c r="L9" s="454"/>
      <c r="M9" s="141">
        <v>6</v>
      </c>
      <c r="N9" s="44" t="s">
        <v>1009</v>
      </c>
      <c r="O9" s="821">
        <v>0.1</v>
      </c>
      <c r="P9" s="822"/>
      <c r="Q9" s="822"/>
      <c r="R9" s="821">
        <v>-6.0000000000000001E-3</v>
      </c>
      <c r="S9" s="141" t="s">
        <v>573</v>
      </c>
      <c r="T9" s="142">
        <v>2015</v>
      </c>
      <c r="V9" s="141" t="s">
        <v>734</v>
      </c>
    </row>
    <row r="10" spans="1:22" s="141" customFormat="1" ht="16.2" x14ac:dyDescent="0.35">
      <c r="A10" s="447"/>
      <c r="B10" s="1275"/>
      <c r="C10" s="1275"/>
      <c r="D10" s="1275"/>
      <c r="E10" s="1275"/>
      <c r="F10" s="1275"/>
      <c r="G10" s="1275"/>
      <c r="H10" s="1275"/>
      <c r="I10" s="1275"/>
      <c r="J10" s="1275"/>
      <c r="K10" s="1274"/>
      <c r="L10" s="454"/>
      <c r="M10" s="141">
        <v>7</v>
      </c>
      <c r="N10" s="44" t="s">
        <v>1010</v>
      </c>
      <c r="O10" s="821">
        <v>0</v>
      </c>
      <c r="P10" s="822"/>
      <c r="Q10" s="822"/>
      <c r="R10" s="821">
        <v>0</v>
      </c>
      <c r="S10" s="141" t="s">
        <v>571</v>
      </c>
      <c r="T10" s="142">
        <v>2016</v>
      </c>
      <c r="V10" s="141" t="s">
        <v>736</v>
      </c>
    </row>
    <row r="11" spans="1:22" s="141" customFormat="1" ht="16.2" x14ac:dyDescent="0.35">
      <c r="A11" s="447" t="s">
        <v>1034</v>
      </c>
      <c r="B11" s="1275"/>
      <c r="C11" s="1844" t="s">
        <v>1024</v>
      </c>
      <c r="D11" s="1275"/>
      <c r="E11" s="1275"/>
      <c r="F11" s="2054" t="s">
        <v>1255</v>
      </c>
      <c r="G11" s="2054"/>
      <c r="H11" s="2054"/>
      <c r="I11" s="2054"/>
      <c r="J11" s="2054"/>
      <c r="K11" s="1274"/>
      <c r="L11" s="454"/>
      <c r="M11" s="141">
        <v>8</v>
      </c>
      <c r="N11" s="44" t="s">
        <v>1011</v>
      </c>
      <c r="O11" s="821">
        <v>0.1</v>
      </c>
      <c r="P11" s="822"/>
      <c r="Q11" s="822"/>
      <c r="R11" s="821">
        <v>1.14E-2</v>
      </c>
      <c r="S11" s="141" t="s">
        <v>620</v>
      </c>
      <c r="T11" s="142">
        <v>2017</v>
      </c>
      <c r="V11" s="141" t="s">
        <v>735</v>
      </c>
    </row>
    <row r="12" spans="1:22" s="141" customFormat="1" ht="16.2" x14ac:dyDescent="0.35">
      <c r="A12" s="447" t="s">
        <v>1035</v>
      </c>
      <c r="B12" s="1275"/>
      <c r="C12" s="2049" t="s">
        <v>1381</v>
      </c>
      <c r="D12" s="2050"/>
      <c r="E12" s="2050"/>
      <c r="F12" s="2050"/>
      <c r="G12" s="2050"/>
      <c r="H12" s="2050"/>
      <c r="I12" s="2050"/>
      <c r="J12" s="2051"/>
      <c r="K12" s="1274"/>
      <c r="L12" s="454"/>
      <c r="M12" s="141">
        <v>9</v>
      </c>
      <c r="N12" s="44" t="s">
        <v>292</v>
      </c>
      <c r="O12" s="821">
        <v>0.1</v>
      </c>
      <c r="P12" s="822"/>
      <c r="Q12" s="822"/>
      <c r="R12" s="821">
        <v>1.83E-2</v>
      </c>
      <c r="S12" s="141" t="s">
        <v>621</v>
      </c>
      <c r="T12" s="142">
        <v>2018</v>
      </c>
      <c r="V12" s="141" t="s">
        <v>737</v>
      </c>
    </row>
    <row r="13" spans="1:22" s="141" customFormat="1" ht="16.2" x14ac:dyDescent="0.35">
      <c r="A13" s="447" t="s">
        <v>574</v>
      </c>
      <c r="B13" s="1275"/>
      <c r="C13" s="2049" t="s">
        <v>1374</v>
      </c>
      <c r="D13" s="2050"/>
      <c r="E13" s="2050"/>
      <c r="F13" s="2050"/>
      <c r="G13" s="2050"/>
      <c r="H13" s="2050"/>
      <c r="I13" s="2050"/>
      <c r="J13" s="2051"/>
      <c r="K13" s="1274"/>
      <c r="L13" s="454"/>
      <c r="M13" s="141">
        <v>10</v>
      </c>
      <c r="N13" s="44" t="s">
        <v>1012</v>
      </c>
      <c r="O13" s="821">
        <v>0.1</v>
      </c>
      <c r="P13" s="822"/>
      <c r="Q13" s="822"/>
      <c r="R13" s="821">
        <v>-6.0000000000000001E-3</v>
      </c>
      <c r="S13" s="141" t="s">
        <v>43</v>
      </c>
      <c r="T13" s="142">
        <v>2019</v>
      </c>
      <c r="V13" s="141" t="s">
        <v>738</v>
      </c>
    </row>
    <row r="14" spans="1:22" s="141" customFormat="1" ht="16.2" x14ac:dyDescent="0.35">
      <c r="A14" s="447"/>
      <c r="B14" s="1275"/>
      <c r="C14" s="454"/>
      <c r="D14" s="454"/>
      <c r="E14" s="454"/>
      <c r="F14" s="454"/>
      <c r="G14" s="1276"/>
      <c r="H14" s="1275"/>
      <c r="I14" s="1275"/>
      <c r="J14" s="1275"/>
      <c r="K14" s="1274"/>
      <c r="L14" s="454"/>
      <c r="M14" s="141">
        <v>11</v>
      </c>
      <c r="N14" s="44" t="s">
        <v>294</v>
      </c>
      <c r="O14" s="821">
        <v>0.1</v>
      </c>
      <c r="P14" s="822"/>
      <c r="Q14" s="822"/>
      <c r="R14" s="821">
        <v>-3.39E-2</v>
      </c>
      <c r="T14" s="142">
        <v>2020</v>
      </c>
      <c r="V14" s="141" t="s">
        <v>739</v>
      </c>
    </row>
    <row r="15" spans="1:22" s="141" customFormat="1" ht="16.2" x14ac:dyDescent="0.35">
      <c r="A15" s="447" t="s">
        <v>1036</v>
      </c>
      <c r="B15" s="1275"/>
      <c r="C15" s="1843">
        <v>2</v>
      </c>
      <c r="D15" s="454"/>
      <c r="E15" s="454"/>
      <c r="F15" s="454"/>
      <c r="G15" s="1276"/>
      <c r="H15" s="1275"/>
      <c r="I15" s="1275"/>
      <c r="J15" s="1275"/>
      <c r="K15" s="1274"/>
      <c r="L15" s="454"/>
      <c r="M15" s="141">
        <v>12</v>
      </c>
      <c r="N15" s="44" t="s">
        <v>293</v>
      </c>
      <c r="O15" s="821">
        <v>0</v>
      </c>
      <c r="P15" s="822"/>
      <c r="Q15" s="822"/>
      <c r="R15" s="821">
        <v>2.3999999999999998E-3</v>
      </c>
      <c r="V15" s="141" t="s">
        <v>740</v>
      </c>
    </row>
    <row r="16" spans="1:22" s="141" customFormat="1" ht="16.2" x14ac:dyDescent="0.35">
      <c r="A16" s="447" t="s">
        <v>1037</v>
      </c>
      <c r="C16" s="1847" t="s">
        <v>345</v>
      </c>
      <c r="D16" s="2055" t="s">
        <v>1082</v>
      </c>
      <c r="E16" s="2055"/>
      <c r="F16" s="1847" t="s">
        <v>346</v>
      </c>
      <c r="G16"/>
      <c r="H16" s="1275"/>
      <c r="I16" s="1275"/>
      <c r="J16" s="1275"/>
      <c r="K16" s="1274"/>
      <c r="L16" s="454"/>
      <c r="M16" s="141">
        <v>13</v>
      </c>
      <c r="N16" s="44" t="s">
        <v>295</v>
      </c>
      <c r="O16" s="821">
        <v>0</v>
      </c>
      <c r="P16" s="822"/>
      <c r="Q16" s="822"/>
      <c r="R16" s="821">
        <v>-6.0000000000000001E-3</v>
      </c>
    </row>
    <row r="17" spans="1:18" s="141" customFormat="1" ht="16.2" x14ac:dyDescent="0.35">
      <c r="B17" s="1275"/>
      <c r="C17" s="1850" t="s">
        <v>738</v>
      </c>
      <c r="D17" s="2052">
        <v>2018</v>
      </c>
      <c r="E17" s="2053"/>
      <c r="F17" s="1845">
        <v>18</v>
      </c>
      <c r="G17" s="1276"/>
      <c r="H17" s="1275"/>
      <c r="I17" s="1275"/>
      <c r="J17" s="1275"/>
      <c r="K17" s="1274"/>
      <c r="L17" s="454"/>
      <c r="M17" s="141">
        <v>14</v>
      </c>
      <c r="N17" s="44" t="s">
        <v>296</v>
      </c>
      <c r="O17" s="821">
        <v>0</v>
      </c>
      <c r="P17" s="822"/>
      <c r="Q17" s="822"/>
      <c r="R17" s="821">
        <v>0</v>
      </c>
    </row>
    <row r="18" spans="1:18" s="141" customFormat="1" ht="16.2" x14ac:dyDescent="0.35">
      <c r="A18" s="447" t="s">
        <v>1038</v>
      </c>
      <c r="B18" s="1275"/>
      <c r="C18" s="1846">
        <v>2019</v>
      </c>
      <c r="D18" s="454"/>
      <c r="E18" s="454"/>
      <c r="F18" s="454"/>
      <c r="G18" s="1285"/>
      <c r="H18" s="1275"/>
      <c r="I18" s="1275"/>
      <c r="J18" s="1275"/>
      <c r="K18" s="1272"/>
      <c r="L18" s="1275"/>
      <c r="M18" s="141">
        <v>15</v>
      </c>
      <c r="N18" s="44" t="s">
        <v>297</v>
      </c>
      <c r="O18" s="821">
        <v>0.1</v>
      </c>
      <c r="P18" s="822"/>
      <c r="Q18" s="822"/>
      <c r="R18" s="821">
        <v>-2.8999999999999998E-3</v>
      </c>
    </row>
    <row r="19" spans="1:18" s="141" customFormat="1" ht="16.2" x14ac:dyDescent="0.35">
      <c r="A19" s="447" t="s">
        <v>1039</v>
      </c>
      <c r="B19" s="1275"/>
      <c r="C19" s="1843">
        <v>5</v>
      </c>
      <c r="D19" s="454"/>
      <c r="E19" s="454"/>
      <c r="F19" s="454"/>
      <c r="G19" s="1276"/>
      <c r="H19" s="1275"/>
      <c r="I19" s="1275"/>
      <c r="J19" s="1275"/>
      <c r="K19" s="1272"/>
      <c r="L19" s="1275"/>
      <c r="M19" s="141">
        <v>16</v>
      </c>
      <c r="N19" s="44" t="s">
        <v>1013</v>
      </c>
      <c r="O19" s="821">
        <v>0.1</v>
      </c>
      <c r="P19" s="822"/>
      <c r="Q19" s="822"/>
      <c r="R19" s="821">
        <v>-3.39E-2</v>
      </c>
    </row>
    <row r="20" spans="1:18" s="141" customFormat="1" ht="16.2" x14ac:dyDescent="0.35">
      <c r="A20" s="447"/>
      <c r="B20" s="1275"/>
      <c r="C20" s="454"/>
      <c r="D20" s="454"/>
      <c r="E20" s="454"/>
      <c r="F20" s="454"/>
      <c r="G20" s="1276"/>
      <c r="H20" s="1275"/>
      <c r="I20" s="1275"/>
      <c r="J20" s="1275"/>
      <c r="K20" s="1272"/>
      <c r="L20" s="1275"/>
      <c r="M20" s="141">
        <v>17</v>
      </c>
      <c r="N20" s="44" t="s">
        <v>298</v>
      </c>
      <c r="O20" s="821">
        <v>0</v>
      </c>
      <c r="P20" s="822"/>
      <c r="Q20" s="822"/>
      <c r="R20" s="821">
        <v>-0.15</v>
      </c>
    </row>
    <row r="21" spans="1:18" s="141" customFormat="1" ht="16.2" x14ac:dyDescent="0.35">
      <c r="A21" s="447" t="s">
        <v>1040</v>
      </c>
      <c r="B21" s="1275"/>
      <c r="C21" s="1846" t="s">
        <v>1041</v>
      </c>
      <c r="D21" s="454"/>
      <c r="E21" s="1311"/>
      <c r="F21" s="1311"/>
      <c r="G21" s="1311"/>
      <c r="H21" s="1311"/>
      <c r="I21" s="1275"/>
      <c r="J21" s="1275"/>
      <c r="K21" s="1272"/>
      <c r="L21" s="1275"/>
      <c r="M21" s="141">
        <v>18</v>
      </c>
      <c r="N21" s="44" t="s">
        <v>299</v>
      </c>
      <c r="O21" s="821">
        <v>0</v>
      </c>
      <c r="P21" s="822"/>
      <c r="Q21" s="822"/>
      <c r="R21" s="821">
        <v>0</v>
      </c>
    </row>
    <row r="22" spans="1:18" s="141" customFormat="1" ht="16.2" x14ac:dyDescent="0.35">
      <c r="A22" s="1277"/>
      <c r="B22" s="1275"/>
      <c r="C22" s="454"/>
      <c r="D22" s="454"/>
      <c r="E22" s="454"/>
      <c r="F22" s="454"/>
      <c r="G22" s="1276"/>
      <c r="H22" s="1275"/>
      <c r="I22" s="1275"/>
      <c r="J22" s="1275"/>
      <c r="K22" s="1272"/>
      <c r="L22" s="1275"/>
      <c r="M22" s="141">
        <v>19</v>
      </c>
      <c r="N22" s="44" t="s">
        <v>300</v>
      </c>
      <c r="O22" s="821">
        <v>0</v>
      </c>
      <c r="P22" s="822"/>
      <c r="Q22" s="822"/>
      <c r="R22" s="821">
        <v>-4.3E-3</v>
      </c>
    </row>
    <row r="23" spans="1:18" s="141" customFormat="1" ht="16.2" x14ac:dyDescent="0.35">
      <c r="A23" s="447"/>
      <c r="B23" s="1275"/>
      <c r="C23" s="1275"/>
      <c r="D23" s="1275"/>
      <c r="E23" s="1275"/>
      <c r="F23" s="1275"/>
      <c r="G23" s="1275"/>
      <c r="H23" s="1275"/>
      <c r="I23" s="1275"/>
      <c r="J23" s="1275"/>
      <c r="K23" s="1272"/>
      <c r="L23" s="1275"/>
      <c r="M23" s="141">
        <v>20</v>
      </c>
      <c r="N23" s="44" t="s">
        <v>1014</v>
      </c>
      <c r="O23" s="821">
        <v>0.1</v>
      </c>
      <c r="P23" s="822"/>
      <c r="Q23" s="822"/>
      <c r="R23" s="821">
        <v>-6.0000000000000001E-3</v>
      </c>
    </row>
    <row r="24" spans="1:18" s="141" customFormat="1" ht="16.2" x14ac:dyDescent="0.35">
      <c r="A24" s="1366"/>
      <c r="B24" s="1275"/>
      <c r="C24" s="1275"/>
      <c r="D24" s="1275"/>
      <c r="E24" s="1275"/>
      <c r="F24" s="1275"/>
      <c r="G24" s="1275"/>
      <c r="H24" s="1275"/>
      <c r="I24" s="1275"/>
      <c r="J24" s="1275"/>
      <c r="K24" s="1272"/>
      <c r="L24" s="1275"/>
      <c r="M24" s="141">
        <v>21</v>
      </c>
      <c r="N24" s="44" t="s">
        <v>1015</v>
      </c>
      <c r="O24" s="821">
        <v>0.1</v>
      </c>
      <c r="P24" s="822"/>
      <c r="Q24" s="822"/>
      <c r="R24" s="821">
        <v>-6.0000000000000001E-3</v>
      </c>
    </row>
    <row r="25" spans="1:18" s="141" customFormat="1" ht="15.75" customHeight="1" x14ac:dyDescent="0.35">
      <c r="A25" s="1557"/>
      <c r="B25" s="443"/>
      <c r="C25" s="443"/>
      <c r="D25" s="443"/>
      <c r="E25" s="443"/>
      <c r="F25" s="443"/>
      <c r="G25" s="443"/>
      <c r="H25" s="1275"/>
      <c r="I25" s="1275"/>
      <c r="J25" s="1278"/>
      <c r="K25" s="1272"/>
      <c r="L25" s="1275"/>
      <c r="M25" s="141">
        <v>22</v>
      </c>
      <c r="N25" s="44" t="s">
        <v>1016</v>
      </c>
      <c r="O25" s="821">
        <v>0</v>
      </c>
      <c r="P25" s="822"/>
      <c r="Q25" s="822"/>
      <c r="R25" s="821">
        <v>-1.09E-2</v>
      </c>
    </row>
    <row r="26" spans="1:18" s="141" customFormat="1" ht="15.75" customHeight="1" x14ac:dyDescent="0.35">
      <c r="A26" s="1557"/>
      <c r="B26" s="443"/>
      <c r="C26" s="443"/>
      <c r="D26" s="443"/>
      <c r="E26" s="443"/>
      <c r="F26" s="443"/>
      <c r="G26" s="443"/>
      <c r="H26" s="1275"/>
      <c r="I26" s="1275"/>
      <c r="J26" s="1275"/>
      <c r="K26" s="1272"/>
      <c r="L26" s="1275"/>
      <c r="M26" s="141">
        <v>23</v>
      </c>
      <c r="N26" s="44" t="s">
        <v>1017</v>
      </c>
      <c r="O26" s="821">
        <v>0.1</v>
      </c>
      <c r="P26" s="822"/>
      <c r="Q26" s="822"/>
      <c r="R26" s="821">
        <v>0</v>
      </c>
    </row>
    <row r="27" spans="1:18" s="141" customFormat="1" ht="15.75" customHeight="1" x14ac:dyDescent="0.35">
      <c r="A27" s="1557"/>
      <c r="B27" s="443"/>
      <c r="C27" s="443"/>
      <c r="D27" s="443"/>
      <c r="E27" s="443"/>
      <c r="F27" s="443"/>
      <c r="G27" s="443"/>
      <c r="H27" s="1275"/>
      <c r="I27" s="1275"/>
      <c r="J27" s="1275"/>
      <c r="K27" s="1272"/>
      <c r="L27" s="1275"/>
      <c r="M27" s="141">
        <v>24</v>
      </c>
      <c r="N27" s="44" t="s">
        <v>1018</v>
      </c>
      <c r="O27" s="821">
        <v>0</v>
      </c>
      <c r="P27" s="822"/>
      <c r="Q27" s="822"/>
      <c r="R27" s="821">
        <v>-6.0000000000000001E-3</v>
      </c>
    </row>
    <row r="28" spans="1:18" s="141" customFormat="1" ht="16.2" x14ac:dyDescent="0.35">
      <c r="A28" s="442"/>
      <c r="B28" s="443"/>
      <c r="C28" s="443"/>
      <c r="D28" s="443"/>
      <c r="E28" s="443"/>
      <c r="F28" s="443"/>
      <c r="G28" s="443"/>
      <c r="H28" s="1275"/>
      <c r="I28" s="1275"/>
      <c r="J28" s="1275"/>
      <c r="K28" s="1272"/>
      <c r="L28" s="1275"/>
      <c r="M28" s="141">
        <v>25</v>
      </c>
      <c r="N28" s="44" t="s">
        <v>301</v>
      </c>
      <c r="O28" s="821">
        <v>0</v>
      </c>
      <c r="P28" s="822"/>
      <c r="Q28" s="822"/>
      <c r="R28" s="821">
        <v>-3.39E-2</v>
      </c>
    </row>
    <row r="29" spans="1:18" s="141" customFormat="1" ht="16.2" x14ac:dyDescent="0.35">
      <c r="A29" s="442"/>
      <c r="B29" s="443"/>
      <c r="C29" s="443"/>
      <c r="D29" s="443"/>
      <c r="E29" s="443"/>
      <c r="F29" s="443"/>
      <c r="G29" s="443"/>
      <c r="H29" s="1275"/>
      <c r="I29" s="1275"/>
      <c r="J29" s="1275"/>
      <c r="K29" s="1272"/>
      <c r="L29" s="1275"/>
      <c r="M29" s="141">
        <v>26</v>
      </c>
      <c r="N29" s="44" t="s">
        <v>302</v>
      </c>
      <c r="O29" s="821">
        <v>0.1</v>
      </c>
      <c r="P29" s="822"/>
      <c r="Q29" s="822"/>
      <c r="R29" s="821">
        <v>1.83E-2</v>
      </c>
    </row>
    <row r="30" spans="1:18" s="141" customFormat="1" ht="16.2" x14ac:dyDescent="0.35">
      <c r="A30" s="442"/>
      <c r="B30" s="443"/>
      <c r="C30" s="443"/>
      <c r="D30" s="443"/>
      <c r="E30" s="443"/>
      <c r="F30" s="443"/>
      <c r="G30" s="443"/>
      <c r="H30" s="1275"/>
      <c r="I30" s="1275"/>
      <c r="J30" s="1275"/>
      <c r="K30" s="1272"/>
      <c r="L30" s="1275"/>
      <c r="M30" s="141">
        <v>27</v>
      </c>
      <c r="N30" s="44" t="s">
        <v>303</v>
      </c>
      <c r="O30" s="821">
        <v>0</v>
      </c>
      <c r="R30" s="821">
        <v>0</v>
      </c>
    </row>
    <row r="31" spans="1:18" s="141" customFormat="1" ht="16.2" x14ac:dyDescent="0.35">
      <c r="A31" s="442"/>
      <c r="B31" s="443"/>
      <c r="C31" s="443"/>
      <c r="D31" s="443"/>
      <c r="E31" s="443"/>
      <c r="F31" s="443"/>
      <c r="G31" s="443"/>
      <c r="H31" s="1275"/>
      <c r="I31" s="1275"/>
      <c r="J31" s="1275"/>
      <c r="K31" s="1272"/>
      <c r="L31" s="1275"/>
      <c r="M31" s="141">
        <v>28</v>
      </c>
      <c r="N31" s="44" t="s">
        <v>304</v>
      </c>
      <c r="O31" s="821">
        <v>0.1</v>
      </c>
      <c r="P31" s="822"/>
      <c r="Q31" s="822"/>
      <c r="R31" s="821">
        <v>3.5000000000000001E-3</v>
      </c>
    </row>
    <row r="32" spans="1:18" s="141" customFormat="1" ht="15.75" customHeight="1" x14ac:dyDescent="0.35">
      <c r="A32" s="442"/>
      <c r="B32" s="443"/>
      <c r="C32" s="443"/>
      <c r="D32" s="443"/>
      <c r="E32" s="443"/>
      <c r="F32" s="443"/>
      <c r="G32" s="443"/>
      <c r="H32" s="1275"/>
      <c r="I32" s="1275"/>
      <c r="J32" s="1275"/>
      <c r="K32" s="1272"/>
      <c r="L32" s="1275"/>
      <c r="M32" s="141">
        <v>29</v>
      </c>
      <c r="N32" s="44" t="s">
        <v>305</v>
      </c>
      <c r="O32" s="821">
        <v>0</v>
      </c>
      <c r="P32" s="822"/>
      <c r="Q32" s="822"/>
      <c r="R32" s="821">
        <v>-4.1000000000000003E-3</v>
      </c>
    </row>
    <row r="33" spans="1:18" s="141" customFormat="1" ht="16.2" x14ac:dyDescent="0.35">
      <c r="A33" s="447"/>
      <c r="B33" s="1275"/>
      <c r="C33" s="1275"/>
      <c r="D33" s="1275"/>
      <c r="E33" s="1275"/>
      <c r="F33" s="1275"/>
      <c r="G33" s="1275"/>
      <c r="H33" s="1275"/>
      <c r="I33" s="1275"/>
      <c r="J33" s="1275"/>
      <c r="K33" s="1272"/>
      <c r="L33" s="1275"/>
      <c r="M33" s="141">
        <v>30</v>
      </c>
      <c r="N33" s="44" t="s">
        <v>618</v>
      </c>
      <c r="O33" s="821">
        <v>0.1</v>
      </c>
      <c r="P33" s="822"/>
      <c r="Q33" s="822"/>
      <c r="R33" s="821">
        <v>-6.0000000000000001E-3</v>
      </c>
    </row>
    <row r="34" spans="1:18" s="141" customFormat="1" ht="16.2" x14ac:dyDescent="0.35">
      <c r="A34" s="447"/>
      <c r="B34" s="1275"/>
      <c r="C34" s="1275"/>
      <c r="D34" s="1275"/>
      <c r="E34" s="1275"/>
      <c r="F34" s="1275"/>
      <c r="G34" s="1275"/>
      <c r="H34" s="1275"/>
      <c r="I34" s="1275"/>
      <c r="J34" s="1275"/>
      <c r="K34" s="1272"/>
      <c r="L34" s="1275"/>
      <c r="M34" s="141">
        <v>31</v>
      </c>
      <c r="N34" s="44" t="s">
        <v>1019</v>
      </c>
      <c r="O34" s="821">
        <v>0.1</v>
      </c>
      <c r="P34" s="822"/>
      <c r="Q34" s="822"/>
      <c r="R34" s="821">
        <v>0</v>
      </c>
    </row>
    <row r="35" spans="1:18" s="141" customFormat="1" ht="16.2" x14ac:dyDescent="0.35">
      <c r="A35" s="447"/>
      <c r="B35" s="1275"/>
      <c r="C35" s="1275"/>
      <c r="D35" s="1275"/>
      <c r="E35" s="1275"/>
      <c r="F35" s="1275"/>
      <c r="G35" s="1275"/>
      <c r="H35" s="1275"/>
      <c r="I35" s="1275"/>
      <c r="J35" s="1275"/>
      <c r="K35" s="1272"/>
      <c r="L35" s="1275"/>
      <c r="M35" s="141">
        <v>32</v>
      </c>
      <c r="N35" s="44" t="s">
        <v>1020</v>
      </c>
      <c r="O35" s="821">
        <v>0.1</v>
      </c>
      <c r="P35" s="822"/>
      <c r="Q35" s="822"/>
      <c r="R35" s="821">
        <v>-6.0000000000000001E-3</v>
      </c>
    </row>
    <row r="36" spans="1:18" s="141" customFormat="1" ht="16.2" x14ac:dyDescent="0.35">
      <c r="A36" s="447"/>
      <c r="B36" s="1275"/>
      <c r="C36" s="1275"/>
      <c r="D36" s="1275"/>
      <c r="E36" s="1275"/>
      <c r="F36" s="1275"/>
      <c r="G36" s="1275"/>
      <c r="H36" s="1275"/>
      <c r="I36" s="1275"/>
      <c r="J36" s="1275"/>
      <c r="K36" s="1272"/>
      <c r="L36" s="1275"/>
      <c r="M36" s="141">
        <v>33</v>
      </c>
      <c r="N36" s="44" t="s">
        <v>1021</v>
      </c>
      <c r="O36" s="821">
        <v>0.1</v>
      </c>
      <c r="P36" s="822"/>
      <c r="Q36" s="822"/>
      <c r="R36" s="821">
        <v>1.17E-2</v>
      </c>
    </row>
    <row r="37" spans="1:18" s="141" customFormat="1" ht="16.2" x14ac:dyDescent="0.35">
      <c r="A37" s="447"/>
      <c r="B37" s="1275"/>
      <c r="C37" s="1275"/>
      <c r="D37" s="1275"/>
      <c r="E37" s="1275"/>
      <c r="F37" s="1275"/>
      <c r="G37" s="1275"/>
      <c r="H37" s="1275"/>
      <c r="I37" s="1275"/>
      <c r="J37" s="1275"/>
      <c r="K37" s="1272"/>
      <c r="L37" s="1275"/>
      <c r="M37" s="141">
        <v>34</v>
      </c>
      <c r="N37" s="45" t="s">
        <v>619</v>
      </c>
      <c r="O37" s="821">
        <v>0.1</v>
      </c>
      <c r="P37" s="822"/>
      <c r="Q37" s="822"/>
      <c r="R37" s="821">
        <v>-6.0000000000000001E-3</v>
      </c>
    </row>
    <row r="38" spans="1:18" s="141" customFormat="1" ht="16.2" x14ac:dyDescent="0.35">
      <c r="A38" s="447"/>
      <c r="B38" s="1275"/>
      <c r="C38" s="1275"/>
      <c r="D38" s="1275"/>
      <c r="E38" s="1275"/>
      <c r="F38" s="1275"/>
      <c r="G38" s="1275"/>
      <c r="H38" s="1275"/>
      <c r="I38" s="1275"/>
      <c r="J38" s="1275"/>
      <c r="K38" s="1272"/>
      <c r="L38" s="1275"/>
      <c r="M38" s="141">
        <v>35</v>
      </c>
      <c r="N38" s="44" t="s">
        <v>306</v>
      </c>
      <c r="O38" s="821">
        <v>0</v>
      </c>
      <c r="R38" s="821">
        <v>0</v>
      </c>
    </row>
    <row r="39" spans="1:18" s="141" customFormat="1" ht="16.2" x14ac:dyDescent="0.35">
      <c r="A39" s="447"/>
      <c r="B39" s="1275"/>
      <c r="C39" s="1275"/>
      <c r="D39" s="1275"/>
      <c r="E39" s="1275"/>
      <c r="F39" s="1275"/>
      <c r="G39" s="1275"/>
      <c r="H39" s="1275"/>
      <c r="I39" s="1275"/>
      <c r="J39" s="1275"/>
      <c r="K39" s="1272"/>
      <c r="L39" s="1275"/>
      <c r="M39" s="141">
        <v>36</v>
      </c>
      <c r="N39" s="44" t="s">
        <v>307</v>
      </c>
      <c r="O39" s="821">
        <v>0</v>
      </c>
      <c r="P39" s="822"/>
      <c r="Q39" s="822"/>
      <c r="R39" s="821">
        <v>-4.1000000000000003E-3</v>
      </c>
    </row>
    <row r="40" spans="1:18" s="141" customFormat="1" ht="16.2" x14ac:dyDescent="0.35">
      <c r="A40" s="447"/>
      <c r="B40" s="1275"/>
      <c r="C40" s="1275"/>
      <c r="D40" s="1275"/>
      <c r="E40" s="1275"/>
      <c r="F40" s="1275"/>
      <c r="G40" s="1275"/>
      <c r="H40" s="1275"/>
      <c r="I40" s="1275"/>
      <c r="J40" s="1275"/>
      <c r="K40" s="1272"/>
      <c r="L40" s="1275"/>
      <c r="M40" s="141">
        <v>37</v>
      </c>
      <c r="N40" s="44" t="s">
        <v>308</v>
      </c>
      <c r="O40" s="821">
        <v>0.1</v>
      </c>
      <c r="P40" s="822"/>
      <c r="Q40" s="822"/>
      <c r="R40" s="821">
        <v>1.83E-2</v>
      </c>
    </row>
    <row r="41" spans="1:18" s="141" customFormat="1" ht="16.2" x14ac:dyDescent="0.35">
      <c r="A41" s="447"/>
      <c r="B41" s="1275"/>
      <c r="C41" s="1275"/>
      <c r="D41" s="1275"/>
      <c r="E41" s="1275"/>
      <c r="F41" s="1275"/>
      <c r="G41" s="1275"/>
      <c r="H41" s="1275"/>
      <c r="I41" s="1275"/>
      <c r="J41" s="1275"/>
      <c r="K41" s="1272"/>
      <c r="L41" s="1275"/>
      <c r="M41" s="141">
        <v>38</v>
      </c>
      <c r="N41" s="44" t="s">
        <v>317</v>
      </c>
      <c r="O41" s="821">
        <v>0</v>
      </c>
      <c r="P41" s="822"/>
      <c r="Q41" s="822"/>
      <c r="R41" s="821">
        <v>-3.2000000000000002E-3</v>
      </c>
    </row>
    <row r="42" spans="1:18" s="141" customFormat="1" ht="15" customHeight="1" x14ac:dyDescent="0.35">
      <c r="A42" s="447"/>
      <c r="B42" s="1275"/>
      <c r="C42" s="1275"/>
      <c r="D42" s="1275"/>
      <c r="E42" s="1275"/>
      <c r="F42" s="1275"/>
      <c r="G42" s="1275"/>
      <c r="H42" s="1275"/>
      <c r="I42" s="1275"/>
      <c r="J42" s="1275"/>
      <c r="K42" s="1272"/>
      <c r="L42" s="1275"/>
      <c r="M42" s="141">
        <v>39</v>
      </c>
      <c r="N42" s="44" t="s">
        <v>1022</v>
      </c>
      <c r="O42" s="821">
        <v>0.1</v>
      </c>
      <c r="P42" s="822"/>
      <c r="Q42" s="822"/>
      <c r="R42" s="821">
        <v>0</v>
      </c>
    </row>
    <row r="43" spans="1:18" s="141" customFormat="1" ht="15" customHeight="1" x14ac:dyDescent="0.35">
      <c r="A43" s="447"/>
      <c r="B43" s="1275"/>
      <c r="C43" s="1275"/>
      <c r="D43" s="1275"/>
      <c r="E43" s="1275"/>
      <c r="F43" s="1275"/>
      <c r="G43" s="1275"/>
      <c r="H43" s="1275"/>
      <c r="I43" s="1275"/>
      <c r="J43" s="1275"/>
      <c r="K43" s="1272"/>
      <c r="L43" s="1275"/>
      <c r="M43" s="141">
        <v>40</v>
      </c>
      <c r="N43" s="44" t="s">
        <v>1023</v>
      </c>
      <c r="O43" s="821">
        <v>0.1</v>
      </c>
      <c r="P43" s="822"/>
      <c r="Q43" s="822"/>
      <c r="R43" s="821">
        <v>0</v>
      </c>
    </row>
    <row r="44" spans="1:18" ht="15" customHeight="1" x14ac:dyDescent="0.35">
      <c r="M44" s="141">
        <v>41</v>
      </c>
      <c r="N44" s="45" t="s">
        <v>1024</v>
      </c>
      <c r="O44" s="823">
        <v>0.1</v>
      </c>
      <c r="P44" s="315"/>
      <c r="Q44" s="315"/>
      <c r="R44" s="823">
        <v>-0.15</v>
      </c>
    </row>
    <row r="45" spans="1:18" ht="15" customHeight="1" x14ac:dyDescent="0.35">
      <c r="Q45" s="136"/>
    </row>
    <row r="46" spans="1:18" ht="15" customHeight="1" x14ac:dyDescent="0.35">
      <c r="Q46" s="136"/>
    </row>
    <row r="47" spans="1:18" ht="15" customHeight="1" x14ac:dyDescent="0.35">
      <c r="Q47" s="136"/>
    </row>
    <row r="48" spans="1:18" ht="15" customHeight="1" x14ac:dyDescent="0.35">
      <c r="Q48" s="136"/>
    </row>
    <row r="49" spans="1:17" ht="15" customHeight="1" x14ac:dyDescent="0.35">
      <c r="Q49" s="136"/>
    </row>
    <row r="50" spans="1:17" ht="15" customHeight="1" x14ac:dyDescent="0.35">
      <c r="Q50" s="136"/>
    </row>
    <row r="51" spans="1:17" ht="15.75" customHeight="1" x14ac:dyDescent="0.35">
      <c r="Q51" s="136"/>
    </row>
    <row r="52" spans="1:17" x14ac:dyDescent="0.35">
      <c r="A52" s="473"/>
      <c r="B52" s="478"/>
      <c r="C52" s="478"/>
      <c r="D52" s="478"/>
      <c r="E52" s="478"/>
      <c r="F52" s="478"/>
      <c r="G52" s="478"/>
      <c r="H52" s="478"/>
      <c r="I52" s="478"/>
      <c r="J52" s="478"/>
      <c r="K52" s="516"/>
      <c r="Q52" s="136"/>
    </row>
    <row r="53" spans="1:17" s="136" customFormat="1" ht="15" hidden="1" customHeight="1" x14ac:dyDescent="0.35">
      <c r="A53" s="442"/>
      <c r="B53" s="443"/>
      <c r="C53" s="443"/>
      <c r="D53" s="443"/>
      <c r="E53" s="443"/>
      <c r="F53" s="443"/>
      <c r="G53" s="443"/>
      <c r="H53" s="443"/>
      <c r="I53" s="443"/>
      <c r="J53" s="443"/>
      <c r="K53" s="467"/>
      <c r="L53" s="443"/>
      <c r="N53" s="45"/>
    </row>
    <row r="54" spans="1:17" s="136" customFormat="1" ht="15" hidden="1" customHeight="1" x14ac:dyDescent="0.35">
      <c r="A54" s="442"/>
      <c r="B54" s="443"/>
      <c r="C54" s="443"/>
      <c r="D54" s="443"/>
      <c r="E54" s="443"/>
      <c r="F54" s="443"/>
      <c r="G54" s="443"/>
      <c r="H54" s="443"/>
      <c r="I54" s="443"/>
      <c r="J54" s="443"/>
      <c r="K54" s="467"/>
      <c r="L54" s="443"/>
      <c r="N54" s="45"/>
    </row>
    <row r="55" spans="1:17" s="136" customFormat="1" ht="15" hidden="1" customHeight="1" x14ac:dyDescent="0.35">
      <c r="A55" s="442"/>
      <c r="B55" s="443"/>
      <c r="C55" s="443"/>
      <c r="D55" s="443"/>
      <c r="E55" s="443"/>
      <c r="F55" s="443"/>
      <c r="G55" s="443"/>
      <c r="H55" s="443"/>
      <c r="I55" s="443"/>
      <c r="J55" s="443"/>
      <c r="K55" s="467"/>
      <c r="L55" s="443"/>
    </row>
    <row r="56" spans="1:17" s="136" customFormat="1" ht="15" hidden="1" customHeight="1" x14ac:dyDescent="0.35">
      <c r="A56" s="442"/>
      <c r="B56" s="443"/>
      <c r="C56" s="443"/>
      <c r="D56" s="443"/>
      <c r="E56" s="443"/>
      <c r="F56" s="443"/>
      <c r="G56" s="443"/>
      <c r="H56" s="443"/>
      <c r="I56" s="443"/>
      <c r="J56" s="443"/>
      <c r="K56" s="467"/>
      <c r="L56" s="443"/>
    </row>
    <row r="57" spans="1:17" s="136" customFormat="1" ht="15" hidden="1" customHeight="1" x14ac:dyDescent="0.35">
      <c r="A57" s="442"/>
      <c r="B57" s="443"/>
      <c r="C57" s="443"/>
      <c r="D57" s="443"/>
      <c r="E57" s="443"/>
      <c r="F57" s="443"/>
      <c r="G57" s="443"/>
      <c r="H57" s="443"/>
      <c r="I57" s="443"/>
      <c r="J57" s="443"/>
      <c r="K57" s="467"/>
      <c r="L57" s="443"/>
    </row>
    <row r="58" spans="1:17" s="136" customFormat="1" ht="15" hidden="1" customHeight="1" x14ac:dyDescent="0.35">
      <c r="A58" s="442"/>
      <c r="B58" s="443"/>
      <c r="C58" s="443"/>
      <c r="D58" s="443"/>
      <c r="E58" s="443"/>
      <c r="F58" s="443"/>
      <c r="G58" s="443"/>
      <c r="H58" s="443"/>
      <c r="I58" s="443"/>
      <c r="J58" s="443"/>
      <c r="K58" s="467"/>
      <c r="L58" s="443"/>
    </row>
    <row r="59" spans="1:17" s="136" customFormat="1" ht="15" hidden="1" customHeight="1" x14ac:dyDescent="0.35">
      <c r="A59" s="442"/>
      <c r="B59" s="443"/>
      <c r="C59" s="443"/>
      <c r="D59" s="443"/>
      <c r="E59" s="443"/>
      <c r="F59" s="443"/>
      <c r="G59" s="443"/>
      <c r="H59" s="443"/>
      <c r="I59" s="443"/>
      <c r="J59" s="443"/>
      <c r="K59" s="467"/>
      <c r="L59" s="443"/>
    </row>
    <row r="60" spans="1:17" s="136" customFormat="1" ht="15" hidden="1" customHeight="1" x14ac:dyDescent="0.35">
      <c r="A60" s="442"/>
      <c r="B60" s="443"/>
      <c r="C60" s="443"/>
      <c r="D60" s="443"/>
      <c r="E60" s="443"/>
      <c r="F60" s="443"/>
      <c r="G60" s="443"/>
      <c r="H60" s="443"/>
      <c r="I60" s="443"/>
      <c r="J60" s="443"/>
      <c r="K60" s="467"/>
      <c r="L60" s="443"/>
    </row>
    <row r="61" spans="1:17" s="136" customFormat="1" ht="15" hidden="1" customHeight="1" x14ac:dyDescent="0.35">
      <c r="A61" s="442"/>
      <c r="B61" s="443"/>
      <c r="C61" s="443"/>
      <c r="D61" s="443"/>
      <c r="E61" s="443"/>
      <c r="F61" s="443"/>
      <c r="G61" s="443"/>
      <c r="H61" s="443"/>
      <c r="I61" s="443"/>
      <c r="J61" s="443"/>
      <c r="K61" s="467"/>
      <c r="L61" s="443"/>
    </row>
    <row r="62" spans="1:17" s="136" customFormat="1" ht="15" hidden="1" customHeight="1" x14ac:dyDescent="0.35">
      <c r="A62" s="442"/>
      <c r="B62" s="443"/>
      <c r="C62" s="443"/>
      <c r="D62" s="443"/>
      <c r="E62" s="443"/>
      <c r="F62" s="443"/>
      <c r="G62" s="443"/>
      <c r="H62" s="443"/>
      <c r="I62" s="443"/>
      <c r="J62" s="443"/>
      <c r="K62" s="467"/>
      <c r="L62" s="443"/>
      <c r="Q62" s="45"/>
    </row>
    <row r="63" spans="1:17" s="136" customFormat="1" ht="15" hidden="1" customHeight="1" x14ac:dyDescent="0.35">
      <c r="A63" s="442"/>
      <c r="B63" s="443"/>
      <c r="C63" s="443"/>
      <c r="D63" s="443"/>
      <c r="E63" s="443"/>
      <c r="F63" s="443"/>
      <c r="G63" s="443"/>
      <c r="H63" s="443"/>
      <c r="I63" s="443"/>
      <c r="J63" s="443"/>
      <c r="K63" s="467"/>
      <c r="L63" s="443"/>
      <c r="Q63" s="45"/>
    </row>
    <row r="64" spans="1:17" s="136" customFormat="1" ht="15" hidden="1" customHeight="1" x14ac:dyDescent="0.35">
      <c r="A64" s="442"/>
      <c r="B64" s="443"/>
      <c r="C64" s="443"/>
      <c r="D64" s="443"/>
      <c r="E64" s="443"/>
      <c r="F64" s="443"/>
      <c r="G64" s="443"/>
      <c r="H64" s="443"/>
      <c r="I64" s="443"/>
      <c r="J64" s="443"/>
      <c r="K64" s="467"/>
      <c r="L64" s="443"/>
      <c r="Q64" s="45"/>
    </row>
    <row r="65" spans="1:17" s="136" customFormat="1" ht="15" hidden="1" customHeight="1" x14ac:dyDescent="0.35">
      <c r="A65" s="442"/>
      <c r="B65" s="443"/>
      <c r="C65" s="443"/>
      <c r="D65" s="443"/>
      <c r="E65" s="443"/>
      <c r="F65" s="443"/>
      <c r="G65" s="443"/>
      <c r="H65" s="443"/>
      <c r="I65" s="443"/>
      <c r="J65" s="443"/>
      <c r="K65" s="467"/>
      <c r="L65" s="443"/>
      <c r="Q65" s="45"/>
    </row>
    <row r="66" spans="1:17" s="136" customFormat="1" ht="15" hidden="1" customHeight="1" x14ac:dyDescent="0.35">
      <c r="A66" s="442"/>
      <c r="B66" s="443"/>
      <c r="C66" s="443"/>
      <c r="D66" s="443"/>
      <c r="E66" s="443"/>
      <c r="F66" s="443"/>
      <c r="G66" s="443"/>
      <c r="H66" s="443"/>
      <c r="I66" s="443"/>
      <c r="J66" s="443"/>
      <c r="K66" s="467"/>
      <c r="L66" s="443"/>
      <c r="Q66" s="45"/>
    </row>
    <row r="67" spans="1:17" s="136" customFormat="1" ht="15" hidden="1" customHeight="1" x14ac:dyDescent="0.35">
      <c r="A67" s="442"/>
      <c r="B67" s="443"/>
      <c r="C67" s="443"/>
      <c r="D67" s="443"/>
      <c r="E67" s="443"/>
      <c r="F67" s="443"/>
      <c r="G67" s="443"/>
      <c r="H67" s="443"/>
      <c r="I67" s="443"/>
      <c r="J67" s="443"/>
      <c r="K67" s="467"/>
      <c r="L67" s="443"/>
      <c r="Q67" s="45"/>
    </row>
    <row r="68" spans="1:17" s="136" customFormat="1" ht="15" hidden="1" customHeight="1" x14ac:dyDescent="0.35">
      <c r="A68" s="442"/>
      <c r="B68" s="443"/>
      <c r="C68" s="443"/>
      <c r="D68" s="443"/>
      <c r="E68" s="443"/>
      <c r="F68" s="443"/>
      <c r="G68" s="443"/>
      <c r="H68" s="443"/>
      <c r="I68" s="443"/>
      <c r="J68" s="443"/>
      <c r="K68" s="467"/>
      <c r="L68" s="443"/>
      <c r="Q68" s="45"/>
    </row>
    <row r="69" spans="1:17" s="136" customFormat="1" ht="15" hidden="1" customHeight="1" x14ac:dyDescent="0.35">
      <c r="A69" s="442"/>
      <c r="B69" s="443"/>
      <c r="C69" s="443"/>
      <c r="D69" s="443"/>
      <c r="E69" s="443"/>
      <c r="F69" s="443"/>
      <c r="G69" s="443"/>
      <c r="H69" s="443"/>
      <c r="I69" s="443"/>
      <c r="J69" s="443"/>
      <c r="K69" s="467"/>
      <c r="L69" s="443"/>
      <c r="Q69" s="45"/>
    </row>
    <row r="70" spans="1:17" s="136" customFormat="1" ht="15" hidden="1" customHeight="1" x14ac:dyDescent="0.35">
      <c r="A70" s="442"/>
      <c r="B70" s="443"/>
      <c r="C70" s="443"/>
      <c r="D70" s="443"/>
      <c r="E70" s="443"/>
      <c r="F70" s="443"/>
      <c r="G70" s="443"/>
      <c r="H70" s="443"/>
      <c r="I70" s="443"/>
      <c r="J70" s="443"/>
      <c r="K70" s="467"/>
      <c r="L70" s="443"/>
      <c r="Q70" s="45"/>
    </row>
    <row r="71" spans="1:17" s="136" customFormat="1" ht="15" hidden="1" customHeight="1" x14ac:dyDescent="0.35">
      <c r="A71" s="442"/>
      <c r="B71" s="443"/>
      <c r="C71" s="443"/>
      <c r="D71" s="443"/>
      <c r="E71" s="443"/>
      <c r="F71" s="443"/>
      <c r="G71" s="443"/>
      <c r="H71" s="443"/>
      <c r="I71" s="443"/>
      <c r="J71" s="443"/>
      <c r="K71" s="467"/>
      <c r="L71" s="443"/>
      <c r="Q71" s="45"/>
    </row>
    <row r="72" spans="1:17" s="136" customFormat="1" ht="15" hidden="1" customHeight="1" x14ac:dyDescent="0.35">
      <c r="A72" s="442"/>
      <c r="B72" s="443"/>
      <c r="C72" s="443"/>
      <c r="D72" s="443"/>
      <c r="E72" s="443"/>
      <c r="F72" s="443"/>
      <c r="G72" s="443"/>
      <c r="H72" s="443"/>
      <c r="I72" s="443"/>
      <c r="J72" s="443"/>
      <c r="K72" s="467"/>
      <c r="L72" s="443"/>
      <c r="Q72" s="45"/>
    </row>
    <row r="73" spans="1:17" s="136" customFormat="1" ht="15" hidden="1" customHeight="1" x14ac:dyDescent="0.35">
      <c r="A73" s="442"/>
      <c r="B73" s="443"/>
      <c r="C73" s="443"/>
      <c r="D73" s="443"/>
      <c r="E73" s="443"/>
      <c r="F73" s="443"/>
      <c r="G73" s="443"/>
      <c r="H73" s="443"/>
      <c r="I73" s="443"/>
      <c r="J73" s="443"/>
      <c r="K73" s="467"/>
      <c r="L73" s="443"/>
      <c r="Q73" s="45"/>
    </row>
    <row r="74" spans="1:17" s="136" customFormat="1" ht="15" hidden="1" customHeight="1" x14ac:dyDescent="0.35">
      <c r="A74" s="442"/>
      <c r="B74" s="443"/>
      <c r="C74" s="443"/>
      <c r="D74" s="443"/>
      <c r="E74" s="443"/>
      <c r="F74" s="443"/>
      <c r="G74" s="443"/>
      <c r="H74" s="443"/>
      <c r="I74" s="443"/>
      <c r="J74" s="443"/>
      <c r="K74" s="467"/>
      <c r="L74" s="443"/>
      <c r="Q74" s="45"/>
    </row>
    <row r="75" spans="1:17" s="136" customFormat="1" ht="15" hidden="1" customHeight="1" x14ac:dyDescent="0.35">
      <c r="A75" s="447"/>
      <c r="B75" s="1275"/>
      <c r="C75" s="1275"/>
      <c r="D75" s="1275"/>
      <c r="E75" s="1275"/>
      <c r="F75" s="443"/>
      <c r="G75" s="443"/>
      <c r="H75" s="443"/>
      <c r="I75" s="443"/>
      <c r="J75" s="443"/>
      <c r="K75" s="467"/>
      <c r="L75" s="443"/>
      <c r="Q75" s="45"/>
    </row>
    <row r="76" spans="1:17" s="136" customFormat="1" ht="15" hidden="1" customHeight="1" x14ac:dyDescent="0.35">
      <c r="A76" s="447"/>
      <c r="B76" s="1275"/>
      <c r="C76" s="1275"/>
      <c r="D76" s="1275"/>
      <c r="E76" s="1275"/>
      <c r="F76" s="443"/>
      <c r="G76" s="443"/>
      <c r="H76" s="443"/>
      <c r="I76" s="443"/>
      <c r="J76" s="443"/>
      <c r="K76" s="467"/>
      <c r="L76" s="443"/>
      <c r="Q76" s="45"/>
    </row>
    <row r="77" spans="1:17" s="136" customFormat="1" hidden="1" x14ac:dyDescent="0.35">
      <c r="A77" s="442"/>
      <c r="B77" s="443"/>
      <c r="C77" s="443"/>
      <c r="D77" s="443"/>
      <c r="E77" s="443"/>
      <c r="F77" s="443"/>
      <c r="G77" s="443"/>
      <c r="H77" s="443"/>
      <c r="I77" s="443"/>
      <c r="J77" s="443"/>
      <c r="K77" s="467"/>
      <c r="L77" s="443"/>
      <c r="Q77" s="45"/>
    </row>
    <row r="78" spans="1:17" hidden="1" x14ac:dyDescent="0.35">
      <c r="N78" s="136"/>
    </row>
    <row r="79" spans="1:17" hidden="1" x14ac:dyDescent="0.35">
      <c r="N79" s="136"/>
    </row>
    <row r="80" spans="1:17" hidden="1" x14ac:dyDescent="0.35"/>
    <row r="81" hidden="1" x14ac:dyDescent="0.35"/>
    <row r="82" hidden="1" x14ac:dyDescent="0.35"/>
    <row r="83" hidden="1" x14ac:dyDescent="0.35"/>
    <row r="84" hidden="1" x14ac:dyDescent="0.35"/>
    <row r="85" hidden="1" x14ac:dyDescent="0.35"/>
    <row r="86" hidden="1" x14ac:dyDescent="0.35"/>
    <row r="87" hidden="1" x14ac:dyDescent="0.35"/>
    <row r="88" hidden="1" x14ac:dyDescent="0.35"/>
    <row r="89" hidden="1" x14ac:dyDescent="0.35"/>
    <row r="90" hidden="1" x14ac:dyDescent="0.35"/>
    <row r="91" hidden="1" x14ac:dyDescent="0.35"/>
    <row r="92" hidden="1" x14ac:dyDescent="0.35"/>
    <row r="93" hidden="1" x14ac:dyDescent="0.35"/>
    <row r="94" hidden="1" x14ac:dyDescent="0.35"/>
    <row r="95" hidden="1" x14ac:dyDescent="0.35"/>
    <row r="96" hidden="1" x14ac:dyDescent="0.35"/>
    <row r="97" hidden="1" x14ac:dyDescent="0.35"/>
    <row r="98" hidden="1" x14ac:dyDescent="0.35"/>
    <row r="100" hidden="1" x14ac:dyDescent="0.35"/>
  </sheetData>
  <sheetProtection password="813F" sheet="1" objects="1" scenarios="1" selectLockedCells="1"/>
  <dataConsolidate/>
  <customSheetViews>
    <customSheetView guid="{51165254-F18A-4CD1-9981-8F2DE14CC76C}" showPageBreaks="1" showGridLines="0" fitToPage="1" printArea="1" hiddenRows="1" hiddenColumns="1" showRuler="0">
      <selection activeCell="C11" sqref="C11"/>
      <pageMargins left="0.78740157480314965" right="0.78740157480314965" top="0.98425196850393704" bottom="0.98425196850393704" header="0.51181102362204722" footer="0.51181102362204722"/>
      <printOptions horizontalCentered="1" verticalCentered="1"/>
      <pageSetup paperSize="9" scale="68" orientation="portrait" r:id="rId1"/>
      <headerFooter alignWithMargins="0">
        <oddHeader>&amp;L&amp;F</oddHeader>
        <oddFooter xml:space="preserve">&amp;LDAF Dealer Business Plan&amp;CPrint date: &amp;D&amp;R&amp;P/&amp;N | DAF Trucks NV    </oddFooter>
      </headerFooter>
    </customSheetView>
  </customSheetViews>
  <mergeCells count="5">
    <mergeCell ref="C12:J12"/>
    <mergeCell ref="C13:J13"/>
    <mergeCell ref="D17:E17"/>
    <mergeCell ref="F11:J11"/>
    <mergeCell ref="D16:E16"/>
  </mergeCells>
  <phoneticPr fontId="11" type="noConversion"/>
  <conditionalFormatting sqref="F11:J11">
    <cfRule type="expression" dxfId="4" priority="2" stopIfTrue="1">
      <formula>AND(($C11=N44),($F11=0))</formula>
    </cfRule>
  </conditionalFormatting>
  <conditionalFormatting sqref="E11">
    <cfRule type="expression" dxfId="3" priority="1" stopIfTrue="1">
      <formula>"Other Country"</formula>
    </cfRule>
  </conditionalFormatting>
  <dataValidations count="6">
    <dataValidation type="list" allowBlank="1" showInputMessage="1" showErrorMessage="1" sqref="C17">
      <formula1>$V$3:$V$15</formula1>
    </dataValidation>
    <dataValidation type="list" allowBlank="1" showInputMessage="1" showErrorMessage="1" sqref="C18 D17:E17">
      <formula1>$T$3:$T$14</formula1>
    </dataValidation>
    <dataValidation type="list" allowBlank="1" showInputMessage="1" showErrorMessage="1" sqref="C19">
      <formula1>$U$5:$U$8</formula1>
    </dataValidation>
    <dataValidation type="list" allowBlank="1" showInputMessage="1" showErrorMessage="1" sqref="C11">
      <formula1>$N$3:$N$44</formula1>
    </dataValidation>
    <dataValidation type="list" allowBlank="1" showInputMessage="1" showErrorMessage="1" sqref="C15">
      <formula1>$M$3:$M$13</formula1>
    </dataValidation>
    <dataValidation type="list" allowBlank="1" showInputMessage="1" showErrorMessage="1" sqref="F17">
      <formula1>$M$3:$M$34</formula1>
    </dataValidation>
  </dataValidations>
  <printOptions horizontalCentered="1" verticalCentered="1"/>
  <pageMargins left="0.78740157480314965" right="0.78740157480314965" top="0.98425196850393704" bottom="0.98425196850393704" header="0.51181102362204722" footer="0.51181102362204722"/>
  <pageSetup paperSize="9" scale="64"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7">
    <tabColor indexed="51"/>
    <pageSetUpPr fitToPage="1"/>
  </sheetPr>
  <dimension ref="A1:L56"/>
  <sheetViews>
    <sheetView showGridLines="0" zoomScale="125" zoomScaleNormal="90" workbookViewId="0">
      <selection activeCell="A38" sqref="A38"/>
    </sheetView>
  </sheetViews>
  <sheetFormatPr baseColWidth="10" defaultColWidth="0" defaultRowHeight="14.4" zeroHeight="1" x14ac:dyDescent="0.35"/>
  <cols>
    <col min="1" max="10" width="11.77734375" style="199" customWidth="1"/>
    <col min="11" max="11" width="18.77734375" style="199" customWidth="1"/>
    <col min="12" max="12" width="1.109375" style="44" customWidth="1"/>
    <col min="13" max="16384" width="9.109375" style="199" hidden="1"/>
  </cols>
  <sheetData>
    <row r="1" spans="1:12" ht="28.8" x14ac:dyDescent="0.55000000000000004">
      <c r="A1" s="200" t="str">
        <f>'3.0 Products &amp; Services'!A1</f>
        <v>Products &amp; Services</v>
      </c>
      <c r="B1" s="201"/>
      <c r="C1" s="201"/>
      <c r="D1" s="201"/>
      <c r="E1" s="201"/>
      <c r="F1" s="201"/>
      <c r="G1" s="201"/>
      <c r="H1" s="201"/>
      <c r="I1" s="201"/>
      <c r="J1" s="201"/>
      <c r="K1" s="202" t="s">
        <v>683</v>
      </c>
    </row>
    <row r="2" spans="1:12" x14ac:dyDescent="0.35">
      <c r="A2" s="221"/>
      <c r="B2" s="169"/>
      <c r="C2" s="170"/>
      <c r="D2" s="171"/>
      <c r="E2" s="172"/>
      <c r="F2" s="171"/>
      <c r="G2" s="171"/>
      <c r="H2" s="173"/>
      <c r="I2" s="171"/>
      <c r="J2" s="171"/>
      <c r="K2" s="174"/>
    </row>
    <row r="3" spans="1:12" x14ac:dyDescent="0.35">
      <c r="A3" s="221" t="s">
        <v>1049</v>
      </c>
      <c r="B3" s="169"/>
      <c r="C3" s="222" t="str">
        <f>'Reference sheet'!C12</f>
        <v>TRUCK INTERNATIONAL MOBILITY SA</v>
      </c>
      <c r="D3" s="171"/>
      <c r="E3" s="172"/>
      <c r="F3" s="171"/>
      <c r="G3" s="175" t="s">
        <v>1037</v>
      </c>
      <c r="H3" s="862" t="str">
        <f>'Reference sheet'!C17</f>
        <v>October</v>
      </c>
      <c r="I3" s="863">
        <f>'Reference sheet'!D17</f>
        <v>2018</v>
      </c>
      <c r="J3" s="175" t="s">
        <v>1036</v>
      </c>
      <c r="K3" s="177">
        <f>'Reference sheet'!C15</f>
        <v>2</v>
      </c>
    </row>
    <row r="4" spans="1:12" x14ac:dyDescent="0.35">
      <c r="A4" s="223"/>
      <c r="B4" s="178"/>
      <c r="C4" s="224"/>
      <c r="D4" s="224"/>
      <c r="E4" s="224"/>
      <c r="F4" s="224"/>
      <c r="G4" s="179"/>
      <c r="H4" s="224"/>
      <c r="I4" s="224"/>
      <c r="J4" s="224"/>
      <c r="K4" s="180"/>
    </row>
    <row r="5" spans="1:12" x14ac:dyDescent="0.35"/>
    <row r="6" spans="1:12" s="167" customFormat="1" x14ac:dyDescent="0.35">
      <c r="A6" s="832" t="s">
        <v>645</v>
      </c>
      <c r="B6" s="833"/>
      <c r="C6" s="833"/>
      <c r="D6" s="833"/>
      <c r="E6" s="833"/>
      <c r="F6" s="833"/>
      <c r="G6" s="833"/>
      <c r="H6" s="833"/>
      <c r="I6" s="833"/>
      <c r="J6" s="833"/>
      <c r="K6" s="834"/>
      <c r="L6" s="44"/>
    </row>
    <row r="7" spans="1:12" x14ac:dyDescent="0.35">
      <c r="A7" s="861" t="s">
        <v>647</v>
      </c>
      <c r="B7" s="464"/>
      <c r="C7" s="464"/>
      <c r="D7" s="464"/>
      <c r="E7" s="464"/>
      <c r="F7" s="464"/>
      <c r="G7" s="464"/>
      <c r="H7" s="464"/>
      <c r="I7" s="464"/>
      <c r="J7" s="464"/>
      <c r="K7" s="465"/>
    </row>
    <row r="8" spans="1:12" x14ac:dyDescent="0.35">
      <c r="K8" s="217"/>
    </row>
    <row r="9" spans="1:12" x14ac:dyDescent="0.35">
      <c r="A9" s="832" t="s">
        <v>913</v>
      </c>
      <c r="B9" s="833"/>
      <c r="C9" s="833"/>
      <c r="D9" s="833"/>
      <c r="E9" s="833"/>
      <c r="F9" s="833"/>
      <c r="G9" s="833"/>
      <c r="H9" s="833"/>
      <c r="I9" s="833"/>
      <c r="J9" s="833"/>
      <c r="K9" s="834"/>
    </row>
    <row r="10" spans="1:12" x14ac:dyDescent="0.35">
      <c r="A10" s="1309" t="s">
        <v>956</v>
      </c>
      <c r="B10" s="464"/>
      <c r="C10" s="464"/>
      <c r="D10" s="464"/>
      <c r="E10" s="464"/>
      <c r="F10" s="465"/>
      <c r="G10" s="874">
        <v>70</v>
      </c>
      <c r="H10" s="874"/>
      <c r="I10" s="874"/>
      <c r="J10" s="874"/>
      <c r="K10" s="875"/>
    </row>
    <row r="11" spans="1:12" s="171" customFormat="1" x14ac:dyDescent="0.35">
      <c r="A11" s="217"/>
      <c r="L11" s="76"/>
    </row>
    <row r="12" spans="1:12" x14ac:dyDescent="0.35">
      <c r="A12" s="832" t="s">
        <v>914</v>
      </c>
      <c r="B12" s="833"/>
      <c r="C12" s="833"/>
      <c r="D12" s="833"/>
      <c r="E12" s="833"/>
      <c r="F12" s="833"/>
      <c r="G12" s="833"/>
      <c r="H12" s="833"/>
      <c r="I12" s="833"/>
      <c r="J12" s="833"/>
      <c r="K12" s="834"/>
    </row>
    <row r="13" spans="1:12" x14ac:dyDescent="0.35">
      <c r="A13" s="1309" t="s">
        <v>1238</v>
      </c>
      <c r="B13" s="464"/>
      <c r="C13" s="464"/>
      <c r="D13" s="464"/>
      <c r="E13" s="464"/>
      <c r="F13" s="465"/>
      <c r="G13" s="874">
        <v>0</v>
      </c>
      <c r="H13" s="874"/>
      <c r="I13" s="874"/>
      <c r="J13" s="874"/>
      <c r="K13" s="875"/>
    </row>
    <row r="14" spans="1:12" x14ac:dyDescent="0.35">
      <c r="A14" s="217"/>
    </row>
    <row r="15" spans="1:12" x14ac:dyDescent="0.35">
      <c r="A15" s="832" t="s">
        <v>648</v>
      </c>
      <c r="B15" s="833"/>
      <c r="C15" s="833"/>
      <c r="D15" s="833"/>
      <c r="E15" s="833"/>
      <c r="F15" s="833"/>
      <c r="G15" s="833"/>
      <c r="H15" s="833"/>
      <c r="I15" s="833"/>
      <c r="J15" s="833"/>
      <c r="K15" s="834"/>
    </row>
    <row r="16" spans="1:12" x14ac:dyDescent="0.35">
      <c r="A16" s="853"/>
      <c r="B16" s="854"/>
      <c r="C16" s="854"/>
      <c r="D16" s="854"/>
      <c r="E16" s="854"/>
      <c r="F16" s="854"/>
      <c r="G16" s="854" t="s">
        <v>1309</v>
      </c>
      <c r="H16" s="854"/>
      <c r="I16" s="854"/>
      <c r="J16" s="854"/>
      <c r="K16" s="855"/>
    </row>
    <row r="17" spans="1:11" x14ac:dyDescent="0.35">
      <c r="A17" s="856"/>
      <c r="B17" s="852"/>
      <c r="C17" s="852"/>
      <c r="D17" s="852"/>
      <c r="E17" s="852"/>
      <c r="F17" s="852"/>
      <c r="G17" s="852"/>
      <c r="H17" s="852"/>
      <c r="I17" s="852"/>
      <c r="J17" s="852"/>
      <c r="K17" s="857"/>
    </row>
    <row r="18" spans="1:11" x14ac:dyDescent="0.35">
      <c r="A18" s="856"/>
      <c r="B18" s="852"/>
      <c r="C18" s="852"/>
      <c r="D18" s="852"/>
      <c r="E18" s="852"/>
      <c r="F18" s="852"/>
      <c r="G18" s="852"/>
      <c r="H18" s="852"/>
      <c r="I18" s="852"/>
      <c r="J18" s="852"/>
      <c r="K18" s="857"/>
    </row>
    <row r="19" spans="1:11" x14ac:dyDescent="0.35">
      <c r="A19" s="856"/>
      <c r="B19" s="852"/>
      <c r="C19" s="852"/>
      <c r="D19" s="852"/>
      <c r="E19" s="852"/>
      <c r="F19" s="852"/>
      <c r="G19" s="852"/>
      <c r="H19" s="852"/>
      <c r="I19" s="852"/>
      <c r="J19" s="852"/>
      <c r="K19" s="857"/>
    </row>
    <row r="20" spans="1:11" x14ac:dyDescent="0.35">
      <c r="A20" s="858"/>
      <c r="B20" s="859"/>
      <c r="C20" s="859"/>
      <c r="D20" s="859"/>
      <c r="E20" s="859"/>
      <c r="F20" s="859"/>
      <c r="G20" s="859"/>
      <c r="H20" s="859"/>
      <c r="I20" s="859"/>
      <c r="J20" s="859"/>
      <c r="K20" s="860"/>
    </row>
    <row r="21" spans="1:11" x14ac:dyDescent="0.35"/>
    <row r="22" spans="1:11" x14ac:dyDescent="0.35">
      <c r="A22" s="832" t="s">
        <v>1026</v>
      </c>
      <c r="B22" s="833"/>
      <c r="C22" s="833"/>
      <c r="D22" s="833"/>
      <c r="E22" s="833"/>
      <c r="F22" s="833"/>
      <c r="G22" s="833"/>
      <c r="H22" s="833"/>
      <c r="I22" s="833"/>
      <c r="J22" s="833"/>
      <c r="K22" s="834"/>
    </row>
    <row r="23" spans="1:11" x14ac:dyDescent="0.35">
      <c r="A23" s="853"/>
      <c r="B23" s="854"/>
      <c r="C23" s="854"/>
      <c r="D23" s="854"/>
      <c r="E23" s="854"/>
      <c r="F23" s="854"/>
      <c r="G23" s="854"/>
      <c r="H23" s="854"/>
      <c r="I23" s="854"/>
      <c r="J23" s="854"/>
      <c r="K23" s="855"/>
    </row>
    <row r="24" spans="1:11" x14ac:dyDescent="0.35">
      <c r="A24" s="856"/>
      <c r="B24" s="852"/>
      <c r="C24" s="852"/>
      <c r="D24" s="852"/>
      <c r="E24" s="852"/>
      <c r="F24" s="852"/>
      <c r="G24" s="852"/>
      <c r="H24" s="852"/>
      <c r="I24" s="852"/>
      <c r="J24" s="852"/>
      <c r="K24" s="857"/>
    </row>
    <row r="25" spans="1:11" x14ac:dyDescent="0.35">
      <c r="A25" s="856"/>
      <c r="B25" s="852"/>
      <c r="C25" s="852"/>
      <c r="D25" s="852"/>
      <c r="E25" s="852"/>
      <c r="F25" s="852"/>
      <c r="G25" s="852"/>
      <c r="H25" s="852"/>
      <c r="I25" s="852"/>
      <c r="J25" s="852"/>
      <c r="K25" s="857"/>
    </row>
    <row r="26" spans="1:11" x14ac:dyDescent="0.35">
      <c r="A26" s="856"/>
      <c r="B26" s="852"/>
      <c r="C26" s="852"/>
      <c r="D26" s="852"/>
      <c r="E26" s="852"/>
      <c r="F26" s="852"/>
      <c r="G26" s="852"/>
      <c r="H26" s="852"/>
      <c r="I26" s="852"/>
      <c r="J26" s="852"/>
      <c r="K26" s="857"/>
    </row>
    <row r="27" spans="1:11" x14ac:dyDescent="0.35">
      <c r="A27" s="858"/>
      <c r="B27" s="859"/>
      <c r="C27" s="859"/>
      <c r="D27" s="859"/>
      <c r="E27" s="859"/>
      <c r="F27" s="859"/>
      <c r="G27" s="859"/>
      <c r="H27" s="859"/>
      <c r="I27" s="859"/>
      <c r="J27" s="859"/>
      <c r="K27" s="860"/>
    </row>
    <row r="28" spans="1:11" x14ac:dyDescent="0.35">
      <c r="A28" s="171"/>
      <c r="B28" s="171"/>
      <c r="C28" s="171"/>
      <c r="D28" s="171"/>
      <c r="E28" s="171"/>
      <c r="F28" s="171"/>
      <c r="G28" s="171"/>
      <c r="H28" s="171"/>
      <c r="I28" s="171"/>
      <c r="J28" s="171"/>
      <c r="K28" s="171"/>
    </row>
    <row r="29" spans="1:11" x14ac:dyDescent="0.35">
      <c r="A29" s="832" t="s">
        <v>716</v>
      </c>
      <c r="B29" s="835"/>
      <c r="C29" s="835"/>
      <c r="D29" s="835"/>
      <c r="E29" s="835"/>
      <c r="F29" s="835"/>
      <c r="G29" s="835"/>
      <c r="H29" s="835"/>
      <c r="I29" s="835"/>
      <c r="J29" s="835"/>
      <c r="K29" s="836"/>
    </row>
    <row r="30" spans="1:11" x14ac:dyDescent="0.35">
      <c r="A30" s="853"/>
      <c r="B30" s="854"/>
      <c r="C30" s="854"/>
      <c r="D30" s="854"/>
      <c r="E30" s="854"/>
      <c r="F30" s="854"/>
      <c r="G30" s="854"/>
      <c r="H30" s="854"/>
      <c r="I30" s="854"/>
      <c r="J30" s="854"/>
      <c r="K30" s="855"/>
    </row>
    <row r="31" spans="1:11" x14ac:dyDescent="0.35">
      <c r="A31" s="856"/>
      <c r="B31" s="852"/>
      <c r="C31" s="852"/>
      <c r="D31" s="852"/>
      <c r="E31" s="852"/>
      <c r="F31" s="852"/>
      <c r="G31" s="852"/>
      <c r="H31" s="852"/>
      <c r="I31" s="852"/>
      <c r="J31" s="852"/>
      <c r="K31" s="857"/>
    </row>
    <row r="32" spans="1:11" x14ac:dyDescent="0.35">
      <c r="A32" s="856"/>
      <c r="B32" s="852"/>
      <c r="C32" s="852"/>
      <c r="D32" s="852"/>
      <c r="E32" s="852"/>
      <c r="F32" s="852"/>
      <c r="G32" s="852"/>
      <c r="H32" s="852"/>
      <c r="I32" s="852"/>
      <c r="J32" s="852"/>
      <c r="K32" s="857"/>
    </row>
    <row r="33" spans="1:11" x14ac:dyDescent="0.35">
      <c r="A33" s="858"/>
      <c r="B33" s="859"/>
      <c r="C33" s="859"/>
      <c r="D33" s="859"/>
      <c r="E33" s="859"/>
      <c r="F33" s="859"/>
      <c r="G33" s="859"/>
      <c r="H33" s="859"/>
      <c r="I33" s="859"/>
      <c r="J33" s="859"/>
      <c r="K33" s="860"/>
    </row>
    <row r="34" spans="1:11" x14ac:dyDescent="0.35"/>
    <row r="35" spans="1:11" x14ac:dyDescent="0.35">
      <c r="A35" s="832" t="s">
        <v>788</v>
      </c>
      <c r="B35" s="835"/>
      <c r="C35" s="835"/>
      <c r="D35" s="835"/>
      <c r="E35" s="835"/>
      <c r="F35" s="835"/>
      <c r="G35" s="835"/>
      <c r="H35" s="835"/>
      <c r="I35" s="835"/>
      <c r="J35" s="835"/>
      <c r="K35" s="836"/>
    </row>
    <row r="36" spans="1:11" x14ac:dyDescent="0.35">
      <c r="A36" s="226" t="s">
        <v>927</v>
      </c>
      <c r="B36" s="227"/>
      <c r="C36" s="853"/>
      <c r="D36" s="854"/>
      <c r="E36" s="854"/>
      <c r="F36" s="854"/>
      <c r="G36" s="854"/>
      <c r="H36" s="854"/>
      <c r="I36" s="854"/>
      <c r="J36" s="854"/>
      <c r="K36" s="855"/>
    </row>
    <row r="37" spans="1:11" x14ac:dyDescent="0.35">
      <c r="A37" s="228" t="s">
        <v>928</v>
      </c>
      <c r="B37" s="229"/>
      <c r="C37" s="856"/>
      <c r="D37" s="852"/>
      <c r="E37" s="852"/>
      <c r="F37" s="852"/>
      <c r="G37" s="852"/>
      <c r="H37" s="852"/>
      <c r="I37" s="852"/>
      <c r="J37" s="852"/>
      <c r="K37" s="857"/>
    </row>
    <row r="38" spans="1:11" x14ac:dyDescent="0.35">
      <c r="A38" s="228" t="s">
        <v>929</v>
      </c>
      <c r="B38" s="229"/>
      <c r="C38" s="856"/>
      <c r="D38" s="852"/>
      <c r="E38" s="852"/>
      <c r="F38" s="852"/>
      <c r="G38" s="852"/>
      <c r="H38" s="852"/>
      <c r="I38" s="852"/>
      <c r="J38" s="852"/>
      <c r="K38" s="857"/>
    </row>
    <row r="39" spans="1:11" x14ac:dyDescent="0.35">
      <c r="A39" s="230"/>
      <c r="B39" s="231"/>
      <c r="C39" s="858"/>
      <c r="D39" s="859"/>
      <c r="E39" s="859"/>
      <c r="F39" s="859"/>
      <c r="G39" s="859"/>
      <c r="H39" s="859"/>
      <c r="I39" s="859"/>
      <c r="J39" s="859"/>
      <c r="K39" s="860"/>
    </row>
    <row r="40" spans="1:11" x14ac:dyDescent="0.35"/>
    <row r="41" spans="1:11" x14ac:dyDescent="0.35">
      <c r="A41" s="832" t="s">
        <v>789</v>
      </c>
      <c r="B41" s="835"/>
      <c r="C41" s="835"/>
      <c r="D41" s="835"/>
      <c r="E41" s="835"/>
      <c r="F41" s="835"/>
      <c r="G41" s="835"/>
      <c r="H41" s="835"/>
      <c r="I41" s="835"/>
      <c r="J41" s="835"/>
      <c r="K41" s="836"/>
    </row>
    <row r="42" spans="1:11" x14ac:dyDescent="0.35">
      <c r="A42" s="226" t="s">
        <v>927</v>
      </c>
      <c r="B42" s="227"/>
      <c r="C42" s="853"/>
      <c r="D42" s="854"/>
      <c r="E42" s="854"/>
      <c r="F42" s="854"/>
      <c r="G42" s="854"/>
      <c r="H42" s="854"/>
      <c r="I42" s="854"/>
      <c r="J42" s="854"/>
      <c r="K42" s="855"/>
    </row>
    <row r="43" spans="1:11" x14ac:dyDescent="0.35">
      <c r="A43" s="228" t="s">
        <v>928</v>
      </c>
      <c r="B43" s="229"/>
      <c r="C43" s="856"/>
      <c r="D43" s="852"/>
      <c r="E43" s="852"/>
      <c r="F43" s="852"/>
      <c r="G43" s="852"/>
      <c r="H43" s="852"/>
      <c r="I43" s="852"/>
      <c r="J43" s="852"/>
      <c r="K43" s="857"/>
    </row>
    <row r="44" spans="1:11" x14ac:dyDescent="0.35">
      <c r="A44" s="228" t="s">
        <v>929</v>
      </c>
      <c r="B44" s="229"/>
      <c r="C44" s="856"/>
      <c r="D44" s="852"/>
      <c r="E44" s="852"/>
      <c r="F44" s="852"/>
      <c r="G44" s="852"/>
      <c r="H44" s="852"/>
      <c r="I44" s="852"/>
      <c r="J44" s="852"/>
      <c r="K44" s="857"/>
    </row>
    <row r="45" spans="1:11" x14ac:dyDescent="0.35">
      <c r="A45" s="230"/>
      <c r="B45" s="231"/>
      <c r="C45" s="858"/>
      <c r="D45" s="859"/>
      <c r="E45" s="859"/>
      <c r="F45" s="859"/>
      <c r="G45" s="859"/>
      <c r="H45" s="859"/>
      <c r="I45" s="859"/>
      <c r="J45" s="859"/>
      <c r="K45" s="860"/>
    </row>
    <row r="46" spans="1:11" x14ac:dyDescent="0.35"/>
    <row r="47" spans="1:11" x14ac:dyDescent="0.35">
      <c r="A47" s="832" t="s">
        <v>790</v>
      </c>
      <c r="B47" s="833"/>
      <c r="C47" s="833"/>
      <c r="D47" s="833"/>
      <c r="E47" s="833"/>
      <c r="F47" s="833"/>
      <c r="G47" s="833"/>
      <c r="H47" s="833"/>
      <c r="I47" s="833"/>
      <c r="J47" s="833"/>
      <c r="K47" s="834"/>
    </row>
    <row r="48" spans="1:11" x14ac:dyDescent="0.35">
      <c r="A48" s="853"/>
      <c r="B48" s="854"/>
      <c r="C48" s="854"/>
      <c r="D48" s="854"/>
      <c r="E48" s="854"/>
      <c r="F48" s="854"/>
      <c r="G48" s="854"/>
      <c r="H48" s="854"/>
      <c r="I48" s="854"/>
      <c r="J48" s="854"/>
      <c r="K48" s="855"/>
    </row>
    <row r="49" spans="1:11" x14ac:dyDescent="0.35">
      <c r="A49" s="858"/>
      <c r="B49" s="859"/>
      <c r="C49" s="859"/>
      <c r="D49" s="859"/>
      <c r="E49" s="859"/>
      <c r="F49" s="859"/>
      <c r="G49" s="859"/>
      <c r="H49" s="859"/>
      <c r="I49" s="859"/>
      <c r="J49" s="859"/>
      <c r="K49" s="860"/>
    </row>
    <row r="50" spans="1:11" hidden="1" x14ac:dyDescent="0.35"/>
    <row r="51" spans="1:11" hidden="1" x14ac:dyDescent="0.35"/>
    <row r="52" spans="1:11" hidden="1" x14ac:dyDescent="0.35"/>
    <row r="53" spans="1:11" hidden="1" x14ac:dyDescent="0.35">
      <c r="A53" s="199" t="s">
        <v>646</v>
      </c>
    </row>
    <row r="54" spans="1:11" hidden="1" x14ac:dyDescent="0.35">
      <c r="A54" s="199" t="s">
        <v>647</v>
      </c>
    </row>
    <row r="55" spans="1:11" hidden="1" x14ac:dyDescent="0.35"/>
    <row r="56" spans="1:11" x14ac:dyDescent="0.35"/>
  </sheetData>
  <sheetProtection password="813F" sheet="1" objects="1" scenarios="1" selectLockedCells="1"/>
  <customSheetViews>
    <customSheetView guid="{51165254-F18A-4CD1-9981-8F2DE14CC76C}" showGridLines="0" fitToPage="1" hiddenRows="1" hiddenColumns="1" showRuler="0">
      <selection activeCell="D6" sqref="D6"/>
      <pageMargins left="0.78740157480314965" right="0.78740157480314965" top="0.98425196850393704" bottom="0.98425196850393704" header="0.51181102362204722" footer="0.51181102362204722"/>
      <printOptions horizontalCentered="1" verticalCentered="1"/>
      <pageSetup paperSize="9" scale="63"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dataValidations count="1">
    <dataValidation type="list" allowBlank="1" showInputMessage="1" showErrorMessage="1" sqref="A7">
      <formula1>$A$52:$A$54</formula1>
    </dataValidation>
  </dataValidations>
  <printOptions horizontalCentered="1" verticalCentered="1"/>
  <pageMargins left="0.78740157480314965" right="0.78740157480314965" top="0.98425196850393704" bottom="0.98425196850393704" header="0.51181102362204722" footer="0.51181102362204722"/>
  <pageSetup paperSize="9" scale="63"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5">
    <tabColor indexed="51"/>
    <pageSetUpPr fitToPage="1"/>
  </sheetPr>
  <dimension ref="A1:Y62"/>
  <sheetViews>
    <sheetView showGridLines="0" zoomScale="134" zoomScaleNormal="100" workbookViewId="0">
      <selection activeCell="E12" sqref="E12"/>
    </sheetView>
  </sheetViews>
  <sheetFormatPr baseColWidth="10" defaultColWidth="0" defaultRowHeight="14.4" zeroHeight="1" x14ac:dyDescent="0.35"/>
  <cols>
    <col min="1" max="11" width="14.33203125" style="441" customWidth="1"/>
    <col min="12" max="12" width="1.33203125" style="49" customWidth="1"/>
    <col min="13" max="25" width="9.109375" style="1301" hidden="1" customWidth="1"/>
    <col min="26" max="16384" width="9.109375" style="443" hidden="1"/>
  </cols>
  <sheetData>
    <row r="1" spans="1:25" s="1567" customFormat="1" ht="28.8" x14ac:dyDescent="0.55000000000000004">
      <c r="A1" s="1108" t="str">
        <f>'7.5.2 Fin. Income &amp; Expenses '!A1</f>
        <v>Financial Business Plan</v>
      </c>
      <c r="B1" s="1109"/>
      <c r="C1" s="1109"/>
      <c r="D1" s="1109"/>
      <c r="E1" s="1109"/>
      <c r="F1" s="1109"/>
      <c r="G1" s="1109"/>
      <c r="H1" s="1109"/>
      <c r="I1" s="1109"/>
      <c r="J1" s="1109"/>
      <c r="K1" s="1565" t="s">
        <v>953</v>
      </c>
      <c r="L1" s="1568"/>
      <c r="M1" s="1566"/>
      <c r="N1" s="1566"/>
      <c r="O1" s="1566"/>
      <c r="P1" s="1566"/>
      <c r="Q1" s="1566"/>
      <c r="R1" s="1566"/>
      <c r="S1" s="1566"/>
      <c r="T1" s="1566"/>
      <c r="U1" s="1566"/>
      <c r="V1" s="1566"/>
      <c r="W1" s="1566"/>
      <c r="X1" s="1566"/>
      <c r="Y1" s="1566"/>
    </row>
    <row r="2" spans="1:25" s="1567" customFormat="1" ht="13.2" customHeight="1" x14ac:dyDescent="0.45">
      <c r="A2" s="442"/>
      <c r="B2" s="1282"/>
      <c r="C2" s="1283"/>
      <c r="D2" s="472"/>
      <c r="E2" s="1284"/>
      <c r="F2" s="443"/>
      <c r="G2" s="443"/>
      <c r="H2" s="1285"/>
      <c r="I2" s="472"/>
      <c r="J2" s="472"/>
      <c r="K2" s="522"/>
      <c r="L2" s="1568"/>
      <c r="M2" s="1566"/>
      <c r="N2" s="1566"/>
      <c r="O2" s="1566"/>
      <c r="P2" s="1566"/>
      <c r="Q2" s="1566"/>
      <c r="R2" s="1566"/>
      <c r="S2" s="1566"/>
      <c r="T2" s="1566"/>
      <c r="U2" s="1566"/>
      <c r="V2" s="1566"/>
      <c r="W2" s="1566"/>
      <c r="X2" s="1566"/>
      <c r="Y2" s="1566"/>
    </row>
    <row r="3" spans="1:25" x14ac:dyDescent="0.35">
      <c r="A3" s="442" t="s">
        <v>1049</v>
      </c>
      <c r="B3" s="1282"/>
      <c r="C3" s="460" t="str">
        <f>'Reference sheet'!C12</f>
        <v>TRUCK INTERNATIONAL MOBILITY SA</v>
      </c>
      <c r="D3" s="472"/>
      <c r="E3" s="1284"/>
      <c r="F3" s="443"/>
      <c r="G3" s="1286" t="s">
        <v>1037</v>
      </c>
      <c r="H3" s="1287" t="str">
        <f>'Reference sheet'!C17</f>
        <v>October</v>
      </c>
      <c r="I3" s="1288">
        <f>'Reference sheet'!D17</f>
        <v>2018</v>
      </c>
      <c r="J3" s="1286" t="s">
        <v>1036</v>
      </c>
      <c r="K3" s="1284">
        <f>'Reference sheet'!C15</f>
        <v>2</v>
      </c>
    </row>
    <row r="4" spans="1:25" x14ac:dyDescent="0.35">
      <c r="A4" s="473"/>
      <c r="B4" s="1290"/>
      <c r="C4" s="478"/>
      <c r="D4" s="478"/>
      <c r="E4" s="478"/>
      <c r="F4" s="478"/>
      <c r="G4" s="1291"/>
      <c r="H4" s="478"/>
      <c r="I4" s="478"/>
      <c r="J4" s="478"/>
      <c r="K4" s="1290"/>
    </row>
    <row r="5" spans="1:25" ht="13.2" customHeight="1" x14ac:dyDescent="0.35">
      <c r="A5" s="442"/>
      <c r="B5" s="443"/>
      <c r="C5" s="443"/>
      <c r="D5" s="443"/>
      <c r="E5" s="443"/>
      <c r="F5" s="443"/>
      <c r="G5" s="443"/>
      <c r="H5" s="443"/>
      <c r="I5" s="443"/>
      <c r="J5" s="443"/>
      <c r="K5" s="443"/>
    </row>
    <row r="6" spans="1:25" ht="13.2" customHeight="1" x14ac:dyDescent="0.35">
      <c r="A6" s="1293" t="s">
        <v>1118</v>
      </c>
      <c r="B6" s="1060"/>
      <c r="C6" s="1060"/>
      <c r="D6" s="1060"/>
      <c r="E6" s="1060"/>
      <c r="F6" s="1060"/>
      <c r="G6" s="1060"/>
      <c r="H6" s="1060"/>
      <c r="I6" s="1060"/>
      <c r="J6" s="1060"/>
      <c r="K6" s="1060"/>
    </row>
    <row r="7" spans="1:25" x14ac:dyDescent="0.35">
      <c r="A7" s="519"/>
      <c r="B7" s="517"/>
      <c r="C7" s="517"/>
      <c r="D7" s="517"/>
      <c r="E7" s="1132" t="s">
        <v>1119</v>
      </c>
      <c r="F7" s="517"/>
      <c r="G7" s="1132" t="s">
        <v>1120</v>
      </c>
      <c r="H7" s="517"/>
      <c r="I7" s="517"/>
      <c r="J7" s="517"/>
      <c r="K7" s="517"/>
    </row>
    <row r="8" spans="1:25" x14ac:dyDescent="0.35">
      <c r="A8" s="442"/>
      <c r="B8" s="443"/>
      <c r="C8" s="443"/>
      <c r="D8" s="443"/>
      <c r="E8" s="521" t="s">
        <v>1121</v>
      </c>
      <c r="F8" s="443"/>
      <c r="G8" s="521" t="s">
        <v>1122</v>
      </c>
      <c r="H8" s="443"/>
      <c r="I8" s="443"/>
      <c r="J8" s="443"/>
      <c r="K8" s="443"/>
    </row>
    <row r="9" spans="1:25" x14ac:dyDescent="0.35">
      <c r="A9" s="442" t="s">
        <v>1123</v>
      </c>
      <c r="B9" s="443"/>
      <c r="C9" s="443"/>
      <c r="D9" s="443"/>
      <c r="E9" s="876">
        <v>500000</v>
      </c>
      <c r="F9" s="443"/>
      <c r="G9" s="526">
        <f>IF(E14=0,0,E9/$E$14)</f>
        <v>0.625</v>
      </c>
      <c r="H9" s="443"/>
      <c r="I9" s="443"/>
      <c r="J9" s="443"/>
      <c r="K9" s="443"/>
    </row>
    <row r="10" spans="1:25" x14ac:dyDescent="0.35">
      <c r="A10" s="442" t="s">
        <v>1124</v>
      </c>
      <c r="B10" s="443"/>
      <c r="C10" s="443"/>
      <c r="D10" s="443"/>
      <c r="E10" s="876">
        <v>300000</v>
      </c>
      <c r="F10" s="443"/>
      <c r="G10" s="526">
        <f>IF(E14=0,0,E10/$E$14)</f>
        <v>0.375</v>
      </c>
      <c r="H10" s="443"/>
      <c r="I10" s="443"/>
      <c r="J10" s="443"/>
      <c r="K10" s="443"/>
    </row>
    <row r="11" spans="1:25" x14ac:dyDescent="0.35">
      <c r="A11" s="442" t="s">
        <v>1125</v>
      </c>
      <c r="B11" s="443"/>
      <c r="C11" s="443"/>
      <c r="D11" s="443"/>
      <c r="E11" s="876">
        <v>0</v>
      </c>
      <c r="F11" s="443"/>
      <c r="G11" s="526">
        <f>IF(E14=0,0,E11/$E$14)</f>
        <v>0</v>
      </c>
      <c r="H11" s="443"/>
      <c r="I11" s="443"/>
      <c r="J11" s="443"/>
      <c r="K11" s="443"/>
    </row>
    <row r="12" spans="1:25" ht="13.2" customHeight="1" x14ac:dyDescent="0.35">
      <c r="A12" s="442" t="s">
        <v>1079</v>
      </c>
      <c r="B12" s="2071"/>
      <c r="C12" s="2083"/>
      <c r="D12" s="443"/>
      <c r="E12" s="876">
        <v>0</v>
      </c>
      <c r="F12" s="443"/>
      <c r="G12" s="526">
        <f>IF(E14=0,0,E12/$E$14)</f>
        <v>0</v>
      </c>
      <c r="H12" s="443"/>
      <c r="I12" s="443"/>
      <c r="J12" s="443"/>
      <c r="K12" s="443"/>
    </row>
    <row r="13" spans="1:25" ht="13.2" customHeight="1" thickBot="1" x14ac:dyDescent="0.4">
      <c r="A13" s="442"/>
      <c r="B13" s="2071"/>
      <c r="C13" s="2083"/>
      <c r="D13" s="443"/>
      <c r="E13" s="2004">
        <v>0</v>
      </c>
      <c r="F13" s="443"/>
      <c r="G13" s="526">
        <f>IF(E14=0,0,E13/$E$14)</f>
        <v>0</v>
      </c>
      <c r="H13" s="443"/>
      <c r="I13" s="443"/>
      <c r="J13" s="443"/>
      <c r="K13" s="443"/>
    </row>
    <row r="14" spans="1:25" x14ac:dyDescent="0.35">
      <c r="A14" s="442" t="s">
        <v>467</v>
      </c>
      <c r="B14" s="443"/>
      <c r="C14" s="443"/>
      <c r="D14" s="443"/>
      <c r="E14" s="2002">
        <f>SUM(E9:E13)</f>
        <v>800000</v>
      </c>
      <c r="F14" s="443"/>
      <c r="G14" s="526">
        <f>SUM(G9:G13)</f>
        <v>1</v>
      </c>
      <c r="H14" s="443"/>
      <c r="I14" s="443"/>
      <c r="J14" s="443"/>
      <c r="K14" s="443"/>
    </row>
    <row r="15" spans="1:25" x14ac:dyDescent="0.35">
      <c r="A15" s="473"/>
      <c r="B15" s="478"/>
      <c r="C15" s="478"/>
      <c r="D15" s="478"/>
      <c r="E15" s="478"/>
      <c r="F15" s="625"/>
      <c r="G15" s="478"/>
      <c r="H15" s="478"/>
      <c r="I15" s="478"/>
      <c r="J15" s="478"/>
      <c r="K15" s="478"/>
    </row>
    <row r="16" spans="1:25" x14ac:dyDescent="0.35">
      <c r="A16" s="1126"/>
      <c r="B16" s="443"/>
      <c r="C16" s="443"/>
      <c r="D16" s="443"/>
      <c r="E16" s="443"/>
      <c r="F16" s="443"/>
      <c r="G16" s="443"/>
      <c r="H16" s="443"/>
      <c r="I16" s="443"/>
      <c r="J16" s="443"/>
      <c r="K16" s="443"/>
      <c r="L16" s="53"/>
    </row>
    <row r="17" spans="1:12" x14ac:dyDescent="0.35">
      <c r="A17" s="1293" t="s">
        <v>945</v>
      </c>
      <c r="B17" s="1060"/>
      <c r="C17" s="1060"/>
      <c r="D17" s="1060"/>
      <c r="E17" s="1060"/>
      <c r="F17" s="1060"/>
      <c r="G17" s="1074"/>
      <c r="H17" s="1074"/>
      <c r="I17" s="1074"/>
      <c r="J17" s="1074"/>
      <c r="K17" s="1074"/>
    </row>
    <row r="18" spans="1:12" s="128" customFormat="1" x14ac:dyDescent="0.35">
      <c r="A18" s="1294" t="s">
        <v>933</v>
      </c>
      <c r="B18" s="2076"/>
      <c r="C18" s="2077"/>
      <c r="D18" s="2077"/>
      <c r="E18" s="2078"/>
      <c r="F18" s="1294" t="s">
        <v>937</v>
      </c>
      <c r="G18" s="2076"/>
      <c r="H18" s="2077"/>
      <c r="I18" s="2077"/>
      <c r="J18" s="2077"/>
      <c r="K18" s="2078"/>
      <c r="L18" s="49"/>
    </row>
    <row r="19" spans="1:12" s="128" customFormat="1" x14ac:dyDescent="0.35">
      <c r="A19" s="1297" t="s">
        <v>934</v>
      </c>
      <c r="B19" s="2079"/>
      <c r="C19" s="2080"/>
      <c r="D19" s="2080"/>
      <c r="E19" s="2081"/>
      <c r="F19" s="1297" t="s">
        <v>934</v>
      </c>
      <c r="G19" s="2079"/>
      <c r="H19" s="2080"/>
      <c r="I19" s="2080"/>
      <c r="J19" s="2080"/>
      <c r="K19" s="2081"/>
      <c r="L19" s="49"/>
    </row>
    <row r="20" spans="1:12" s="128" customFormat="1" x14ac:dyDescent="0.35">
      <c r="A20" s="1297" t="s">
        <v>935</v>
      </c>
      <c r="B20" s="2079"/>
      <c r="C20" s="2080"/>
      <c r="D20" s="2080"/>
      <c r="E20" s="2081"/>
      <c r="F20" s="1297" t="s">
        <v>935</v>
      </c>
      <c r="G20" s="2079"/>
      <c r="H20" s="2080"/>
      <c r="I20" s="2080"/>
      <c r="J20" s="2080"/>
      <c r="K20" s="2081"/>
      <c r="L20" s="49"/>
    </row>
    <row r="21" spans="1:12" s="128" customFormat="1" x14ac:dyDescent="0.35">
      <c r="A21" s="1297" t="s">
        <v>936</v>
      </c>
      <c r="B21" s="2082"/>
      <c r="C21" s="2080"/>
      <c r="D21" s="2080"/>
      <c r="E21" s="2081"/>
      <c r="F21" s="1297" t="s">
        <v>936</v>
      </c>
      <c r="G21" s="2079"/>
      <c r="H21" s="2080"/>
      <c r="I21" s="2080"/>
      <c r="J21" s="2080"/>
      <c r="K21" s="2081"/>
      <c r="L21" s="49"/>
    </row>
    <row r="22" spans="1:12" s="128" customFormat="1" x14ac:dyDescent="0.35">
      <c r="A22" s="501"/>
      <c r="B22" s="127"/>
      <c r="F22" s="501"/>
      <c r="G22" s="127"/>
      <c r="L22" s="49"/>
    </row>
    <row r="23" spans="1:12" s="128" customFormat="1" x14ac:dyDescent="0.35">
      <c r="A23" s="501" t="s">
        <v>742</v>
      </c>
      <c r="B23" s="2079"/>
      <c r="C23" s="2080"/>
      <c r="D23" s="2080"/>
      <c r="E23" s="2081"/>
      <c r="F23" s="501" t="s">
        <v>743</v>
      </c>
      <c r="G23" s="2079"/>
      <c r="H23" s="2080"/>
      <c r="I23" s="2080"/>
      <c r="J23" s="2080"/>
      <c r="K23" s="2081"/>
      <c r="L23" s="49"/>
    </row>
    <row r="24" spans="1:12" s="128" customFormat="1" x14ac:dyDescent="0.35">
      <c r="A24" s="1297" t="s">
        <v>934</v>
      </c>
      <c r="B24" s="2079"/>
      <c r="C24" s="2080"/>
      <c r="D24" s="2080"/>
      <c r="E24" s="2081"/>
      <c r="F24" s="1297" t="s">
        <v>934</v>
      </c>
      <c r="G24" s="2079"/>
      <c r="H24" s="2080"/>
      <c r="I24" s="2080"/>
      <c r="J24" s="2080"/>
      <c r="K24" s="2081"/>
      <c r="L24" s="49"/>
    </row>
    <row r="25" spans="1:12" s="128" customFormat="1" x14ac:dyDescent="0.35">
      <c r="A25" s="1297" t="s">
        <v>935</v>
      </c>
      <c r="B25" s="2079"/>
      <c r="C25" s="2080"/>
      <c r="D25" s="2080"/>
      <c r="E25" s="2081"/>
      <c r="F25" s="1297" t="s">
        <v>935</v>
      </c>
      <c r="G25" s="2079"/>
      <c r="H25" s="2080"/>
      <c r="I25" s="2080"/>
      <c r="J25" s="2080"/>
      <c r="K25" s="2081"/>
      <c r="L25" s="49"/>
    </row>
    <row r="26" spans="1:12" s="128" customFormat="1" x14ac:dyDescent="0.35">
      <c r="A26" s="1298" t="s">
        <v>936</v>
      </c>
      <c r="B26" s="2073"/>
      <c r="C26" s="2074"/>
      <c r="D26" s="2074"/>
      <c r="E26" s="2075"/>
      <c r="F26" s="1298" t="s">
        <v>936</v>
      </c>
      <c r="G26" s="2073"/>
      <c r="H26" s="2074"/>
      <c r="I26" s="2074"/>
      <c r="J26" s="2074"/>
      <c r="K26" s="2075"/>
      <c r="L26" s="49"/>
    </row>
    <row r="27" spans="1:12" x14ac:dyDescent="0.35">
      <c r="A27" s="1126"/>
      <c r="B27" s="443"/>
      <c r="C27" s="443"/>
      <c r="D27" s="443"/>
      <c r="E27" s="443"/>
      <c r="F27" s="443"/>
      <c r="G27" s="443"/>
      <c r="H27" s="443"/>
      <c r="I27" s="443"/>
      <c r="J27" s="443"/>
      <c r="K27" s="443"/>
      <c r="L27" s="53"/>
    </row>
    <row r="28" spans="1:12" x14ac:dyDescent="0.35">
      <c r="A28" s="1293" t="s">
        <v>946</v>
      </c>
      <c r="B28" s="1060"/>
      <c r="C28" s="1060"/>
      <c r="D28" s="1060"/>
      <c r="E28" s="1060"/>
      <c r="F28" s="1060"/>
      <c r="G28" s="1060"/>
      <c r="H28" s="1060"/>
      <c r="I28" s="1060"/>
      <c r="J28" s="1060"/>
      <c r="K28" s="1060"/>
    </row>
    <row r="29" spans="1:12" x14ac:dyDescent="0.35">
      <c r="A29" s="1295"/>
      <c r="B29" s="1296"/>
      <c r="C29" s="1296"/>
      <c r="D29" s="1296"/>
      <c r="E29" s="1296"/>
      <c r="F29" s="1296"/>
      <c r="G29" s="1296"/>
      <c r="H29" s="1296"/>
      <c r="I29" s="1296"/>
      <c r="J29" s="1296"/>
      <c r="K29" s="1296"/>
    </row>
    <row r="30" spans="1:12" x14ac:dyDescent="0.35">
      <c r="A30" s="127"/>
      <c r="B30" s="128"/>
      <c r="C30" s="128"/>
      <c r="D30" s="128"/>
      <c r="E30" s="128"/>
      <c r="F30" s="128"/>
      <c r="G30" s="128"/>
      <c r="H30" s="128"/>
      <c r="I30" s="128"/>
      <c r="J30" s="128"/>
      <c r="K30" s="128"/>
    </row>
    <row r="31" spans="1:12" x14ac:dyDescent="0.35">
      <c r="A31" s="127"/>
      <c r="B31" s="128"/>
      <c r="C31" s="128"/>
      <c r="D31" s="128"/>
      <c r="E31" s="128"/>
      <c r="F31" s="128"/>
      <c r="G31" s="128"/>
      <c r="H31" s="128"/>
      <c r="I31" s="128"/>
      <c r="J31" s="128"/>
      <c r="K31" s="128"/>
    </row>
    <row r="32" spans="1:12" x14ac:dyDescent="0.35">
      <c r="A32" s="130"/>
      <c r="B32" s="131"/>
      <c r="C32" s="131"/>
      <c r="D32" s="131"/>
      <c r="E32" s="131"/>
      <c r="F32" s="131"/>
      <c r="G32" s="131"/>
      <c r="H32" s="131"/>
      <c r="I32" s="131"/>
      <c r="J32" s="131"/>
      <c r="K32" s="131"/>
    </row>
    <row r="33" spans="1:12" x14ac:dyDescent="0.35">
      <c r="A33" s="1126"/>
      <c r="B33" s="443"/>
      <c r="C33" s="443"/>
      <c r="D33" s="443"/>
      <c r="E33" s="443"/>
      <c r="F33" s="443"/>
      <c r="G33" s="443"/>
      <c r="H33" s="443"/>
      <c r="I33" s="443"/>
      <c r="J33" s="443"/>
      <c r="K33" s="443"/>
      <c r="L33" s="53"/>
    </row>
    <row r="34" spans="1:12" x14ac:dyDescent="0.35">
      <c r="A34" s="1293" t="s">
        <v>1126</v>
      </c>
      <c r="B34" s="1060"/>
      <c r="C34" s="1060"/>
      <c r="D34" s="1060"/>
      <c r="E34" s="1060"/>
      <c r="F34" s="1060"/>
      <c r="G34" s="1060"/>
      <c r="H34" s="1060"/>
      <c r="I34" s="1060"/>
      <c r="J34" s="1060"/>
      <c r="K34" s="1060"/>
    </row>
    <row r="35" spans="1:12" x14ac:dyDescent="0.35">
      <c r="A35" s="519"/>
      <c r="B35" s="517"/>
      <c r="C35" s="517"/>
      <c r="D35" s="517"/>
      <c r="E35" s="517"/>
      <c r="F35" s="517"/>
      <c r="G35" s="517" t="s">
        <v>1127</v>
      </c>
      <c r="H35" s="517"/>
      <c r="I35" s="517" t="s">
        <v>1128</v>
      </c>
      <c r="J35" s="517"/>
      <c r="K35" s="517"/>
    </row>
    <row r="36" spans="1:12" x14ac:dyDescent="0.35">
      <c r="A36" s="442" t="s">
        <v>468</v>
      </c>
      <c r="B36" s="443"/>
      <c r="C36" s="443"/>
      <c r="D36" s="443"/>
      <c r="E36" s="443"/>
      <c r="F36" s="443"/>
      <c r="G36" s="861">
        <v>120</v>
      </c>
      <c r="H36" s="443"/>
      <c r="I36" s="861">
        <v>120</v>
      </c>
      <c r="J36" s="443"/>
      <c r="K36" s="443"/>
    </row>
    <row r="37" spans="1:12" x14ac:dyDescent="0.35">
      <c r="A37" s="442" t="s">
        <v>469</v>
      </c>
      <c r="B37" s="443"/>
      <c r="C37" s="443"/>
      <c r="D37" s="443"/>
      <c r="E37" s="443"/>
      <c r="F37" s="443"/>
      <c r="G37" s="861">
        <v>180</v>
      </c>
      <c r="H37" s="443"/>
      <c r="I37" s="861">
        <v>180</v>
      </c>
      <c r="J37" s="443"/>
      <c r="K37" s="443"/>
    </row>
    <row r="38" spans="1:12" x14ac:dyDescent="0.35">
      <c r="A38" s="442" t="s">
        <v>470</v>
      </c>
      <c r="B38" s="443"/>
      <c r="C38" s="443"/>
      <c r="D38" s="443"/>
      <c r="E38" s="443"/>
      <c r="F38" s="443"/>
      <c r="G38" s="877">
        <v>0.1</v>
      </c>
      <c r="H38" s="443"/>
      <c r="I38" s="877">
        <v>0.1</v>
      </c>
      <c r="J38" s="443"/>
      <c r="K38" s="443"/>
    </row>
    <row r="39" spans="1:12" x14ac:dyDescent="0.35">
      <c r="A39" s="473"/>
      <c r="B39" s="478"/>
      <c r="C39" s="478"/>
      <c r="D39" s="478"/>
      <c r="E39" s="478"/>
      <c r="F39" s="478"/>
      <c r="G39" s="478"/>
      <c r="H39" s="478"/>
      <c r="I39" s="478"/>
      <c r="J39" s="478"/>
      <c r="K39" s="478"/>
    </row>
    <row r="40" spans="1:12" x14ac:dyDescent="0.35">
      <c r="A40" s="1126"/>
      <c r="B40" s="443"/>
      <c r="C40" s="443"/>
      <c r="D40" s="443"/>
      <c r="E40" s="443"/>
      <c r="F40" s="443"/>
      <c r="G40" s="443"/>
      <c r="H40" s="443"/>
      <c r="I40" s="443"/>
      <c r="J40" s="443"/>
      <c r="K40" s="443"/>
      <c r="L40" s="53"/>
    </row>
    <row r="41" spans="1:12" x14ac:dyDescent="0.35">
      <c r="A41" s="1293" t="s">
        <v>1129</v>
      </c>
      <c r="B41" s="1060"/>
      <c r="C41" s="1060"/>
      <c r="D41" s="1060"/>
      <c r="E41" s="1060"/>
      <c r="F41" s="1060"/>
      <c r="G41" s="1060"/>
      <c r="H41" s="1060"/>
      <c r="I41" s="1060"/>
      <c r="J41" s="1060"/>
      <c r="K41" s="1060"/>
    </row>
    <row r="42" spans="1:12" s="128" customFormat="1" x14ac:dyDescent="0.35">
      <c r="A42" s="1295"/>
      <c r="B42" s="1296"/>
      <c r="C42" s="1296"/>
      <c r="D42" s="1296"/>
      <c r="E42" s="1296"/>
      <c r="F42" s="1296"/>
      <c r="G42" s="1296"/>
      <c r="H42" s="1296"/>
      <c r="I42" s="1296"/>
      <c r="J42" s="1296"/>
      <c r="K42" s="1296"/>
      <c r="L42" s="49"/>
    </row>
    <row r="43" spans="1:12" s="128" customFormat="1" x14ac:dyDescent="0.35">
      <c r="A43" s="127"/>
      <c r="L43" s="49"/>
    </row>
    <row r="44" spans="1:12" s="128" customFormat="1" x14ac:dyDescent="0.35">
      <c r="A44" s="127"/>
      <c r="L44" s="49"/>
    </row>
    <row r="45" spans="1:12" s="128" customFormat="1" x14ac:dyDescent="0.35">
      <c r="A45" s="130"/>
      <c r="B45" s="131"/>
      <c r="C45" s="131"/>
      <c r="D45" s="131"/>
      <c r="E45" s="131"/>
      <c r="F45" s="131"/>
      <c r="G45" s="131"/>
      <c r="H45" s="131"/>
      <c r="I45" s="131"/>
      <c r="J45" s="131"/>
      <c r="K45" s="131"/>
      <c r="L45" s="49"/>
    </row>
    <row r="46" spans="1:12" x14ac:dyDescent="0.35">
      <c r="A46" s="1126"/>
      <c r="B46" s="443"/>
      <c r="C46" s="443"/>
      <c r="D46" s="443"/>
      <c r="E46" s="443"/>
      <c r="F46" s="443"/>
      <c r="G46" s="443"/>
      <c r="H46" s="443"/>
      <c r="I46" s="443"/>
      <c r="J46" s="443"/>
      <c r="K46" s="443"/>
      <c r="L46" s="53"/>
    </row>
    <row r="47" spans="1:12" x14ac:dyDescent="0.35">
      <c r="A47" s="1293" t="s">
        <v>1130</v>
      </c>
      <c r="B47" s="1070"/>
      <c r="C47" s="1070"/>
      <c r="D47" s="1070"/>
      <c r="E47" s="1070"/>
      <c r="F47" s="1070"/>
      <c r="G47" s="1070"/>
      <c r="H47" s="1070"/>
      <c r="I47" s="1070"/>
      <c r="J47" s="1070"/>
      <c r="K47" s="1070"/>
    </row>
    <row r="48" spans="1:12" x14ac:dyDescent="0.35">
      <c r="A48" s="1295"/>
      <c r="B48" s="1296"/>
      <c r="C48" s="1296"/>
      <c r="D48" s="1296"/>
      <c r="E48" s="1296"/>
      <c r="F48" s="1296"/>
      <c r="G48" s="1296"/>
      <c r="H48" s="1296"/>
      <c r="I48" s="1296"/>
      <c r="J48" s="1296"/>
      <c r="K48" s="1296"/>
    </row>
    <row r="49" spans="1:12" x14ac:dyDescent="0.35">
      <c r="A49" s="127"/>
      <c r="B49" s="128"/>
      <c r="C49" s="128"/>
      <c r="D49" s="128"/>
      <c r="E49" s="128"/>
      <c r="F49" s="128"/>
      <c r="G49" s="128"/>
      <c r="H49" s="128"/>
      <c r="I49" s="128"/>
      <c r="J49" s="128"/>
      <c r="K49" s="128"/>
    </row>
    <row r="50" spans="1:12" x14ac:dyDescent="0.35">
      <c r="A50" s="127"/>
      <c r="B50" s="128"/>
      <c r="C50" s="128"/>
      <c r="D50" s="128"/>
      <c r="E50" s="128"/>
      <c r="F50" s="128"/>
      <c r="G50" s="128"/>
      <c r="H50" s="128"/>
      <c r="I50" s="128"/>
      <c r="J50" s="128"/>
      <c r="K50" s="128"/>
    </row>
    <row r="51" spans="1:12" x14ac:dyDescent="0.35">
      <c r="A51" s="130"/>
      <c r="B51" s="131"/>
      <c r="C51" s="131"/>
      <c r="D51" s="131"/>
      <c r="E51" s="131"/>
      <c r="F51" s="131"/>
      <c r="G51" s="131"/>
      <c r="H51" s="131"/>
      <c r="I51" s="131"/>
      <c r="J51" s="131"/>
      <c r="K51" s="131"/>
    </row>
    <row r="52" spans="1:12" x14ac:dyDescent="0.35">
      <c r="A52" s="1126"/>
      <c r="B52" s="443"/>
      <c r="C52" s="443"/>
      <c r="D52" s="443"/>
      <c r="E52" s="443"/>
      <c r="F52" s="443"/>
      <c r="G52" s="443"/>
      <c r="H52" s="443"/>
      <c r="I52" s="443"/>
      <c r="J52" s="443"/>
      <c r="K52" s="443"/>
      <c r="L52" s="53"/>
    </row>
    <row r="53" spans="1:12" x14ac:dyDescent="0.35">
      <c r="A53" s="1293" t="s">
        <v>1131</v>
      </c>
      <c r="B53" s="1070"/>
      <c r="C53" s="1070"/>
      <c r="D53" s="1070"/>
      <c r="E53" s="1070"/>
      <c r="F53" s="1070"/>
      <c r="G53" s="1070"/>
      <c r="H53" s="1070"/>
      <c r="I53" s="1070"/>
      <c r="J53" s="1070"/>
      <c r="K53" s="1070"/>
    </row>
    <row r="54" spans="1:12" x14ac:dyDescent="0.35">
      <c r="A54" s="1295"/>
      <c r="B54" s="1296"/>
      <c r="C54" s="1296"/>
      <c r="D54" s="1296"/>
      <c r="E54" s="1296"/>
      <c r="F54" s="1296"/>
      <c r="G54" s="1296"/>
      <c r="H54" s="1296"/>
      <c r="I54" s="1296"/>
      <c r="J54" s="1296"/>
      <c r="K54" s="1296"/>
    </row>
    <row r="55" spans="1:12" x14ac:dyDescent="0.35">
      <c r="A55" s="127"/>
      <c r="B55" s="128"/>
      <c r="C55" s="128"/>
      <c r="D55" s="128"/>
      <c r="E55" s="128"/>
      <c r="F55" s="128"/>
      <c r="G55" s="128"/>
      <c r="H55" s="128"/>
      <c r="I55" s="128"/>
      <c r="J55" s="128"/>
      <c r="K55" s="128"/>
    </row>
    <row r="56" spans="1:12" x14ac:dyDescent="0.35">
      <c r="A56" s="127"/>
      <c r="B56" s="128"/>
      <c r="C56" s="128"/>
      <c r="D56" s="128"/>
      <c r="E56" s="128"/>
      <c r="F56" s="128"/>
      <c r="G56" s="128"/>
      <c r="H56" s="128"/>
      <c r="I56" s="128"/>
      <c r="J56" s="128"/>
      <c r="K56" s="128"/>
    </row>
    <row r="57" spans="1:12" x14ac:dyDescent="0.35">
      <c r="A57" s="130"/>
      <c r="B57" s="131"/>
      <c r="C57" s="131"/>
      <c r="D57" s="131"/>
      <c r="E57" s="131"/>
      <c r="F57" s="131"/>
      <c r="G57" s="131"/>
      <c r="H57" s="131"/>
      <c r="I57" s="131"/>
      <c r="J57" s="131"/>
      <c r="K57" s="131"/>
    </row>
    <row r="58" spans="1:12" x14ac:dyDescent="0.35">
      <c r="A58" s="1126"/>
      <c r="B58" s="443"/>
      <c r="C58" s="443"/>
      <c r="D58" s="443"/>
      <c r="E58" s="443"/>
      <c r="F58" s="443"/>
      <c r="G58" s="443"/>
      <c r="H58" s="443"/>
      <c r="I58" s="443"/>
      <c r="J58" s="443"/>
      <c r="K58" s="443"/>
      <c r="L58" s="53"/>
    </row>
    <row r="59" spans="1:12" x14ac:dyDescent="0.35">
      <c r="A59" s="1293" t="s">
        <v>1132</v>
      </c>
      <c r="B59" s="1060"/>
      <c r="C59" s="1060"/>
      <c r="D59" s="1060"/>
      <c r="E59" s="1060"/>
      <c r="F59" s="1060"/>
      <c r="G59" s="1060"/>
      <c r="H59" s="1060"/>
      <c r="I59" s="1060"/>
      <c r="J59" s="1060"/>
      <c r="K59" s="1060"/>
    </row>
    <row r="60" spans="1:12" x14ac:dyDescent="0.35">
      <c r="A60" s="1295"/>
      <c r="B60" s="1296"/>
      <c r="C60" s="1296"/>
      <c r="D60" s="1296"/>
      <c r="E60" s="1296"/>
      <c r="F60" s="1296"/>
      <c r="G60" s="1296"/>
      <c r="H60" s="1296"/>
      <c r="I60" s="1296"/>
      <c r="J60" s="1296"/>
      <c r="K60" s="1296"/>
    </row>
    <row r="61" spans="1:12" x14ac:dyDescent="0.35">
      <c r="A61" s="130"/>
      <c r="B61" s="131"/>
      <c r="C61" s="131"/>
      <c r="D61" s="131"/>
      <c r="E61" s="131"/>
      <c r="F61" s="131"/>
      <c r="G61" s="131"/>
      <c r="H61" s="131"/>
      <c r="I61" s="131"/>
      <c r="J61" s="131"/>
      <c r="K61" s="131"/>
    </row>
    <row r="62" spans="1:12" x14ac:dyDescent="0.35">
      <c r="A62" s="517"/>
      <c r="L62" s="53"/>
    </row>
  </sheetData>
  <sheetProtection password="813F" sheet="1" objects="1" scenarios="1" selectLockedCells="1"/>
  <customSheetViews>
    <customSheetView guid="{51165254-F18A-4CD1-9981-8F2DE14CC76C}" showGridLines="0" fitToPage="1" hiddenRows="1" hiddenColumns="1" showRuler="0">
      <selection activeCell="G38" sqref="G38"/>
      <pageMargins left="0.78740157480314965" right="0.78740157480314965" top="0.98425196850393704" bottom="0.98425196850393704" header="0.51181102362204722" footer="0.51181102362204722"/>
      <printOptions horizontalCentered="1" verticalCentered="1"/>
      <pageSetup paperSize="9" scale="55" orientation="portrait" r:id="rId1"/>
      <headerFooter alignWithMargins="0">
        <oddHeader>&amp;L&amp;F</oddHeader>
        <oddFooter xml:space="preserve">&amp;LDAF Dealer Business Plan&amp;CPrint date: &amp;D&amp;R&amp;P/&amp;N | DAF Trucks NV    </oddFooter>
      </headerFooter>
    </customSheetView>
  </customSheetViews>
  <mergeCells count="18">
    <mergeCell ref="B12:C12"/>
    <mergeCell ref="B13:C13"/>
    <mergeCell ref="B18:E18"/>
    <mergeCell ref="B19:E19"/>
    <mergeCell ref="B25:E25"/>
    <mergeCell ref="B26:E26"/>
    <mergeCell ref="G18:K18"/>
    <mergeCell ref="G19:K19"/>
    <mergeCell ref="G20:K20"/>
    <mergeCell ref="G21:K21"/>
    <mergeCell ref="G23:K23"/>
    <mergeCell ref="G24:K24"/>
    <mergeCell ref="G25:K25"/>
    <mergeCell ref="G26:K26"/>
    <mergeCell ref="B20:E20"/>
    <mergeCell ref="B21:E21"/>
    <mergeCell ref="B23:E23"/>
    <mergeCell ref="B24:E24"/>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55"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4">
    <tabColor indexed="41"/>
    <pageSetUpPr fitToPage="1"/>
  </sheetPr>
  <dimension ref="A1:AD63"/>
  <sheetViews>
    <sheetView showGridLines="0" topLeftCell="A19" zoomScale="125" zoomScaleNormal="90" workbookViewId="0">
      <selection activeCell="C43" sqref="C43"/>
    </sheetView>
  </sheetViews>
  <sheetFormatPr baseColWidth="10" defaultColWidth="0" defaultRowHeight="14.4" zeroHeight="1" x14ac:dyDescent="0.35"/>
  <cols>
    <col min="1" max="1" width="15" style="135" customWidth="1"/>
    <col min="2" max="10" width="15" style="136" customWidth="1"/>
    <col min="11" max="11" width="15" style="79" customWidth="1"/>
    <col min="12" max="12" width="1.6640625" style="44" customWidth="1"/>
    <col min="13" max="30" width="15" style="168" hidden="1" customWidth="1"/>
    <col min="31" max="16384" width="15" style="45" hidden="1"/>
  </cols>
  <sheetData>
    <row r="1" spans="1:30" s="209" customFormat="1" ht="28.8" x14ac:dyDescent="0.55000000000000004">
      <c r="A1" s="200" t="s">
        <v>677</v>
      </c>
      <c r="B1" s="201"/>
      <c r="C1" s="201"/>
      <c r="D1" s="201"/>
      <c r="E1" s="201"/>
      <c r="F1" s="201"/>
      <c r="G1" s="201"/>
      <c r="H1" s="201"/>
      <c r="I1" s="201"/>
      <c r="J1" s="201"/>
      <c r="K1" s="202" t="s">
        <v>685</v>
      </c>
      <c r="L1" s="1569"/>
      <c r="M1" s="208"/>
      <c r="N1" s="208"/>
      <c r="O1" s="208"/>
      <c r="P1" s="208"/>
      <c r="Q1" s="208"/>
      <c r="R1" s="208"/>
      <c r="S1" s="208"/>
      <c r="T1" s="208"/>
      <c r="U1" s="208"/>
      <c r="V1" s="208"/>
      <c r="W1" s="208"/>
      <c r="X1" s="208"/>
      <c r="Y1" s="208"/>
      <c r="Z1" s="208"/>
      <c r="AA1" s="208"/>
      <c r="AB1" s="208"/>
      <c r="AC1" s="208"/>
      <c r="AD1" s="208"/>
    </row>
    <row r="2" spans="1:30" s="209" customFormat="1" ht="13.2" customHeight="1" x14ac:dyDescent="0.45">
      <c r="A2" s="135"/>
      <c r="B2" s="169"/>
      <c r="C2" s="170"/>
      <c r="D2" s="171"/>
      <c r="E2" s="172"/>
      <c r="F2" s="136"/>
      <c r="G2" s="136"/>
      <c r="H2" s="173"/>
      <c r="I2" s="171"/>
      <c r="J2" s="171"/>
      <c r="K2" s="174"/>
      <c r="L2" s="1569"/>
      <c r="M2" s="208"/>
      <c r="N2" s="208"/>
      <c r="O2" s="208"/>
      <c r="P2" s="208"/>
      <c r="Q2" s="208"/>
      <c r="R2" s="208"/>
      <c r="S2" s="208"/>
      <c r="T2" s="208"/>
      <c r="U2" s="208"/>
      <c r="V2" s="208"/>
      <c r="W2" s="208"/>
      <c r="X2" s="208"/>
      <c r="Y2" s="208"/>
      <c r="Z2" s="208"/>
      <c r="AA2" s="208"/>
      <c r="AB2" s="208"/>
      <c r="AC2" s="208"/>
      <c r="AD2" s="208"/>
    </row>
    <row r="3" spans="1:30" x14ac:dyDescent="0.35">
      <c r="A3" s="135" t="s">
        <v>1049</v>
      </c>
      <c r="B3" s="169"/>
      <c r="C3" s="164" t="str">
        <f>'Reference sheet'!C12</f>
        <v>TRUCK INTERNATIONAL MOBILITY SA</v>
      </c>
      <c r="D3" s="171"/>
      <c r="E3" s="172"/>
      <c r="G3" s="175" t="s">
        <v>1037</v>
      </c>
      <c r="H3" s="176" t="str">
        <f>'Reference sheet'!C17</f>
        <v>October</v>
      </c>
      <c r="I3" s="863">
        <f>'Reference sheet'!D17</f>
        <v>2018</v>
      </c>
      <c r="J3" s="175" t="s">
        <v>1036</v>
      </c>
      <c r="K3" s="177">
        <f>'Reference sheet'!C15</f>
        <v>2</v>
      </c>
    </row>
    <row r="4" spans="1:30" x14ac:dyDescent="0.35">
      <c r="A4" s="145"/>
      <c r="B4" s="178"/>
      <c r="C4" s="146"/>
      <c r="D4" s="146"/>
      <c r="E4" s="146"/>
      <c r="F4" s="146"/>
      <c r="G4" s="179"/>
      <c r="H4" s="146"/>
      <c r="I4" s="146"/>
      <c r="J4" s="146"/>
      <c r="K4" s="180"/>
    </row>
    <row r="5" spans="1:30" ht="13.2" customHeight="1" x14ac:dyDescent="0.35">
      <c r="A5" s="184"/>
      <c r="K5" s="184"/>
    </row>
    <row r="6" spans="1:30" s="167" customFormat="1" ht="15" customHeight="1" x14ac:dyDescent="0.35">
      <c r="A6" s="878" t="s">
        <v>1114</v>
      </c>
      <c r="B6" s="833"/>
      <c r="C6" s="833"/>
      <c r="D6" s="833"/>
      <c r="E6" s="833"/>
      <c r="F6" s="833"/>
      <c r="G6" s="833"/>
      <c r="H6" s="833"/>
      <c r="I6" s="833"/>
      <c r="J6" s="833"/>
      <c r="K6" s="834"/>
      <c r="L6" s="44"/>
    </row>
    <row r="7" spans="1:30" ht="15" customHeight="1" x14ac:dyDescent="0.35">
      <c r="A7" s="1451"/>
      <c r="B7" s="217"/>
      <c r="C7" s="217"/>
      <c r="D7" s="217"/>
      <c r="E7" s="217"/>
      <c r="F7" s="217"/>
      <c r="G7" s="217"/>
      <c r="H7" s="217"/>
      <c r="I7" s="217"/>
      <c r="J7" s="217"/>
      <c r="K7" s="217"/>
    </row>
    <row r="8" spans="1:30" x14ac:dyDescent="0.35">
      <c r="A8" s="832" t="s">
        <v>1115</v>
      </c>
      <c r="B8" s="833"/>
      <c r="C8" s="833"/>
      <c r="D8" s="833"/>
      <c r="E8" s="833"/>
      <c r="F8" s="833"/>
      <c r="G8" s="833"/>
      <c r="H8" s="833"/>
      <c r="I8" s="833"/>
      <c r="J8" s="833"/>
      <c r="K8" s="834"/>
    </row>
    <row r="9" spans="1:30" x14ac:dyDescent="0.35">
      <c r="A9" s="853"/>
      <c r="B9" s="852"/>
      <c r="C9" s="852"/>
      <c r="D9" s="852"/>
      <c r="E9" s="852"/>
      <c r="F9" s="852"/>
      <c r="G9" s="852"/>
      <c r="H9" s="852"/>
      <c r="I9" s="852"/>
      <c r="J9" s="854"/>
      <c r="K9" s="855"/>
    </row>
    <row r="10" spans="1:30" x14ac:dyDescent="0.35">
      <c r="A10" s="856"/>
      <c r="B10" s="852"/>
      <c r="C10" s="852"/>
      <c r="D10" s="852"/>
      <c r="E10" s="852"/>
      <c r="F10" s="852"/>
      <c r="G10" s="852"/>
      <c r="H10" s="852"/>
      <c r="I10" s="852"/>
      <c r="J10" s="852"/>
      <c r="K10" s="857"/>
    </row>
    <row r="11" spans="1:30" x14ac:dyDescent="0.35">
      <c r="A11" s="856"/>
      <c r="B11" s="852"/>
      <c r="C11" s="852"/>
      <c r="D11" s="852"/>
      <c r="E11" s="852"/>
      <c r="F11" s="852"/>
      <c r="G11" s="852"/>
      <c r="H11" s="852"/>
      <c r="I11" s="852"/>
      <c r="J11" s="852"/>
      <c r="K11" s="857"/>
    </row>
    <row r="12" spans="1:30" x14ac:dyDescent="0.35">
      <c r="A12" s="856"/>
      <c r="B12" s="852"/>
      <c r="C12" s="852"/>
      <c r="D12" s="852"/>
      <c r="E12" s="852"/>
      <c r="F12" s="852"/>
      <c r="G12" s="852"/>
      <c r="H12" s="852"/>
      <c r="I12" s="852"/>
      <c r="J12" s="852"/>
      <c r="K12" s="857"/>
    </row>
    <row r="13" spans="1:30" x14ac:dyDescent="0.35">
      <c r="A13" s="856"/>
      <c r="B13" s="852"/>
      <c r="C13" s="852"/>
      <c r="D13" s="852"/>
      <c r="E13" s="852"/>
      <c r="F13" s="852"/>
      <c r="G13" s="852"/>
      <c r="H13" s="852"/>
      <c r="I13" s="852"/>
      <c r="J13" s="852"/>
      <c r="K13" s="857"/>
    </row>
    <row r="14" spans="1:30" ht="18.75" customHeight="1" x14ac:dyDescent="0.35">
      <c r="A14" s="856"/>
      <c r="B14" s="852"/>
      <c r="C14" s="852"/>
      <c r="D14" s="852"/>
      <c r="E14" s="852"/>
      <c r="F14" s="852"/>
      <c r="G14" s="852"/>
      <c r="H14" s="852"/>
      <c r="I14" s="852"/>
      <c r="J14" s="852"/>
      <c r="K14" s="857"/>
    </row>
    <row r="15" spans="1:30" x14ac:dyDescent="0.35">
      <c r="A15" s="856"/>
      <c r="B15" s="852"/>
      <c r="C15" s="852"/>
      <c r="D15" s="852"/>
      <c r="E15" s="852"/>
      <c r="F15" s="852"/>
      <c r="G15" s="852"/>
      <c r="H15" s="852"/>
      <c r="I15" s="852"/>
      <c r="J15" s="852"/>
      <c r="K15" s="857"/>
    </row>
    <row r="16" spans="1:30" x14ac:dyDescent="0.35">
      <c r="A16" s="856"/>
      <c r="B16" s="852"/>
      <c r="C16" s="852"/>
      <c r="D16" s="852"/>
      <c r="E16" s="852"/>
      <c r="F16" s="852"/>
      <c r="G16" s="852"/>
      <c r="H16" s="852"/>
      <c r="I16" s="852"/>
      <c r="J16" s="852"/>
      <c r="K16" s="857"/>
    </row>
    <row r="17" spans="1:11" x14ac:dyDescent="0.35">
      <c r="A17" s="856"/>
      <c r="B17" s="852"/>
      <c r="C17" s="852"/>
      <c r="D17" s="852"/>
      <c r="E17" s="852"/>
      <c r="F17" s="852"/>
      <c r="G17" s="852"/>
      <c r="H17" s="852"/>
      <c r="I17" s="852"/>
      <c r="J17" s="852"/>
      <c r="K17" s="857"/>
    </row>
    <row r="18" spans="1:11" x14ac:dyDescent="0.35">
      <c r="A18" s="856"/>
      <c r="B18" s="852"/>
      <c r="C18" s="852"/>
      <c r="D18" s="852"/>
      <c r="E18" s="852"/>
      <c r="F18" s="852"/>
      <c r="G18" s="852"/>
      <c r="H18" s="852"/>
      <c r="I18" s="852"/>
      <c r="J18" s="852"/>
      <c r="K18" s="857"/>
    </row>
    <row r="19" spans="1:11" x14ac:dyDescent="0.35">
      <c r="A19" s="856"/>
      <c r="B19" s="852"/>
      <c r="C19" s="852"/>
      <c r="D19" s="852"/>
      <c r="E19" s="852"/>
      <c r="F19" s="852"/>
      <c r="G19" s="852"/>
      <c r="H19" s="852"/>
      <c r="I19" s="852"/>
      <c r="J19" s="852"/>
      <c r="K19" s="857"/>
    </row>
    <row r="20" spans="1:11" x14ac:dyDescent="0.35">
      <c r="A20" s="856"/>
      <c r="B20" s="852"/>
      <c r="C20" s="852"/>
      <c r="D20" s="852"/>
      <c r="E20" s="852"/>
      <c r="F20" s="852"/>
      <c r="G20" s="852"/>
      <c r="H20" s="852"/>
      <c r="I20" s="852"/>
      <c r="J20" s="852"/>
      <c r="K20" s="857"/>
    </row>
    <row r="21" spans="1:11" x14ac:dyDescent="0.35">
      <c r="A21" s="856"/>
      <c r="B21" s="852"/>
      <c r="C21" s="852"/>
      <c r="D21" s="852"/>
      <c r="E21" s="852"/>
      <c r="F21" s="852"/>
      <c r="G21" s="852"/>
      <c r="H21" s="852"/>
      <c r="I21" s="852"/>
      <c r="J21" s="852"/>
      <c r="K21" s="857"/>
    </row>
    <row r="22" spans="1:11" x14ac:dyDescent="0.35">
      <c r="A22" s="856"/>
      <c r="B22" s="852"/>
      <c r="C22" s="852"/>
      <c r="D22" s="852"/>
      <c r="E22" s="852"/>
      <c r="F22" s="852"/>
      <c r="G22" s="852"/>
      <c r="H22" s="852"/>
      <c r="I22" s="852"/>
      <c r="J22" s="852"/>
      <c r="K22" s="857"/>
    </row>
    <row r="23" spans="1:11" ht="15" customHeight="1" x14ac:dyDescent="0.35">
      <c r="A23" s="856"/>
      <c r="B23" s="852"/>
      <c r="C23" s="852"/>
      <c r="D23" s="852"/>
      <c r="E23" s="852"/>
      <c r="F23" s="852"/>
      <c r="G23" s="852"/>
      <c r="H23" s="852"/>
      <c r="I23" s="852"/>
      <c r="J23" s="852"/>
      <c r="K23" s="857"/>
    </row>
    <row r="24" spans="1:11" x14ac:dyDescent="0.35">
      <c r="A24" s="856"/>
      <c r="B24" s="852"/>
      <c r="C24" s="852"/>
      <c r="D24" s="852"/>
      <c r="E24" s="852"/>
      <c r="F24" s="852"/>
      <c r="G24" s="852"/>
      <c r="H24" s="852"/>
      <c r="I24" s="852"/>
      <c r="J24" s="852"/>
      <c r="K24" s="857"/>
    </row>
    <row r="25" spans="1:11" x14ac:dyDescent="0.35">
      <c r="A25" s="856"/>
      <c r="B25" s="852"/>
      <c r="C25" s="852"/>
      <c r="D25" s="852"/>
      <c r="E25" s="852"/>
      <c r="F25" s="852"/>
      <c r="G25" s="852"/>
      <c r="H25" s="852"/>
      <c r="I25" s="852"/>
      <c r="J25" s="852"/>
      <c r="K25" s="857"/>
    </row>
    <row r="26" spans="1:11" x14ac:dyDescent="0.35">
      <c r="A26" s="856"/>
      <c r="B26" s="852"/>
      <c r="C26" s="852"/>
      <c r="D26" s="852"/>
      <c r="E26" s="852"/>
      <c r="F26" s="852"/>
      <c r="G26" s="852"/>
      <c r="H26" s="852"/>
      <c r="I26" s="852"/>
      <c r="J26" s="852"/>
      <c r="K26" s="857"/>
    </row>
    <row r="27" spans="1:11" hidden="1" x14ac:dyDescent="0.35">
      <c r="A27" s="856"/>
      <c r="B27" s="852"/>
      <c r="C27" s="852"/>
      <c r="D27" s="852"/>
      <c r="E27" s="852"/>
      <c r="F27" s="852"/>
      <c r="G27" s="852"/>
      <c r="H27" s="852"/>
      <c r="I27" s="852"/>
      <c r="J27" s="852"/>
      <c r="K27" s="857"/>
    </row>
    <row r="28" spans="1:11" x14ac:dyDescent="0.35">
      <c r="A28" s="856"/>
      <c r="B28" s="852"/>
      <c r="C28" s="852"/>
      <c r="D28" s="852"/>
      <c r="E28" s="852"/>
      <c r="F28" s="852"/>
      <c r="G28" s="852"/>
      <c r="H28" s="852"/>
      <c r="I28" s="852"/>
      <c r="J28" s="852"/>
      <c r="K28" s="857"/>
    </row>
    <row r="29" spans="1:11" x14ac:dyDescent="0.35">
      <c r="A29" s="856"/>
      <c r="B29" s="852"/>
      <c r="C29" s="852"/>
      <c r="D29" s="852"/>
      <c r="E29" s="852"/>
      <c r="F29" s="852"/>
      <c r="G29" s="852"/>
      <c r="H29" s="852"/>
      <c r="I29" s="852"/>
      <c r="J29" s="852"/>
      <c r="K29" s="857"/>
    </row>
    <row r="30" spans="1:11" x14ac:dyDescent="0.35">
      <c r="A30" s="858"/>
      <c r="B30" s="859"/>
      <c r="C30" s="859"/>
      <c r="D30" s="859"/>
      <c r="E30" s="859"/>
      <c r="F30" s="859"/>
      <c r="G30" s="859"/>
      <c r="H30" s="859"/>
      <c r="I30" s="859"/>
      <c r="J30" s="859"/>
      <c r="K30" s="860"/>
    </row>
    <row r="31" spans="1:11" x14ac:dyDescent="0.35">
      <c r="A31" s="184"/>
      <c r="K31" s="184"/>
    </row>
    <row r="32" spans="1:11" ht="16.2" x14ac:dyDescent="0.35">
      <c r="A32" s="878" t="s">
        <v>466</v>
      </c>
      <c r="B32" s="833"/>
      <c r="C32" s="833"/>
      <c r="D32" s="833"/>
      <c r="E32" s="833"/>
      <c r="F32" s="833"/>
      <c r="G32" s="833"/>
      <c r="H32" s="833"/>
      <c r="I32" s="833"/>
      <c r="J32" s="833"/>
      <c r="K32" s="834"/>
    </row>
    <row r="33" spans="1:11" ht="16.2" x14ac:dyDescent="0.35">
      <c r="A33" s="1621"/>
      <c r="B33" s="184"/>
      <c r="C33" s="184"/>
      <c r="D33" s="184"/>
      <c r="E33" s="184"/>
      <c r="F33" s="184"/>
      <c r="G33" s="184"/>
      <c r="H33" s="184"/>
      <c r="I33" s="184"/>
      <c r="J33" s="184"/>
      <c r="K33" s="184"/>
    </row>
    <row r="34" spans="1:11" x14ac:dyDescent="0.35">
      <c r="A34" s="832" t="s">
        <v>1027</v>
      </c>
      <c r="B34" s="835"/>
      <c r="C34" s="835"/>
      <c r="D34" s="835"/>
      <c r="E34" s="835"/>
      <c r="F34" s="835"/>
      <c r="G34" s="835"/>
      <c r="H34" s="835"/>
      <c r="I34" s="835"/>
      <c r="J34" s="835"/>
      <c r="K34" s="836"/>
    </row>
    <row r="35" spans="1:11" x14ac:dyDescent="0.35">
      <c r="A35" s="226" t="s">
        <v>93</v>
      </c>
      <c r="B35" s="880"/>
      <c r="C35" s="853" t="s">
        <v>1338</v>
      </c>
      <c r="D35" s="854"/>
      <c r="E35" s="854"/>
      <c r="F35" s="854"/>
      <c r="G35" s="854"/>
      <c r="H35" s="854"/>
      <c r="I35" s="854"/>
      <c r="J35" s="854"/>
      <c r="K35" s="855"/>
    </row>
    <row r="36" spans="1:11" x14ac:dyDescent="0.35">
      <c r="A36" s="228"/>
      <c r="B36" s="335"/>
      <c r="C36" s="858" t="s">
        <v>1314</v>
      </c>
      <c r="D36" s="859"/>
      <c r="E36" s="859"/>
      <c r="F36" s="859"/>
      <c r="G36" s="859"/>
      <c r="H36" s="859"/>
      <c r="I36" s="859"/>
      <c r="J36" s="859"/>
      <c r="K36" s="860"/>
    </row>
    <row r="37" spans="1:11" x14ac:dyDescent="0.35">
      <c r="A37" s="228" t="s">
        <v>560</v>
      </c>
      <c r="B37" s="335"/>
      <c r="C37" s="853" t="s">
        <v>1375</v>
      </c>
      <c r="D37" s="854"/>
      <c r="E37" s="854"/>
      <c r="F37" s="854"/>
      <c r="G37" s="854"/>
      <c r="H37" s="854"/>
      <c r="I37" s="854"/>
      <c r="J37" s="854"/>
      <c r="K37" s="855"/>
    </row>
    <row r="38" spans="1:11" x14ac:dyDescent="0.35">
      <c r="A38" s="228"/>
      <c r="B38" s="335"/>
      <c r="C38" s="856" t="s">
        <v>1310</v>
      </c>
      <c r="D38" s="852"/>
      <c r="E38" s="852"/>
      <c r="F38" s="852"/>
      <c r="G38" s="852"/>
      <c r="H38" s="852"/>
      <c r="I38" s="852"/>
      <c r="J38" s="852"/>
      <c r="K38" s="857"/>
    </row>
    <row r="39" spans="1:11" x14ac:dyDescent="0.35">
      <c r="A39" s="228" t="s">
        <v>699</v>
      </c>
      <c r="B39" s="335"/>
      <c r="C39" s="853" t="s">
        <v>1339</v>
      </c>
      <c r="D39" s="854"/>
      <c r="E39" s="854"/>
      <c r="F39" s="854"/>
      <c r="G39" s="854"/>
      <c r="H39" s="854"/>
      <c r="I39" s="854"/>
      <c r="J39" s="854"/>
      <c r="K39" s="855"/>
    </row>
    <row r="40" spans="1:11" x14ac:dyDescent="0.35">
      <c r="A40" s="228"/>
      <c r="B40" s="335"/>
      <c r="C40" s="858"/>
      <c r="D40" s="859"/>
      <c r="E40" s="859"/>
      <c r="F40" s="859"/>
      <c r="G40" s="859"/>
      <c r="H40" s="859"/>
      <c r="I40" s="859"/>
      <c r="J40" s="859"/>
      <c r="K40" s="860"/>
    </row>
    <row r="41" spans="1:11" x14ac:dyDescent="0.35">
      <c r="A41" s="228" t="s">
        <v>700</v>
      </c>
      <c r="B41" s="335"/>
      <c r="C41" s="853" t="s">
        <v>1343</v>
      </c>
      <c r="D41" s="854"/>
      <c r="E41" s="854"/>
      <c r="F41" s="854"/>
      <c r="G41" s="854"/>
      <c r="H41" s="854"/>
      <c r="I41" s="854"/>
      <c r="J41" s="854"/>
      <c r="K41" s="855"/>
    </row>
    <row r="42" spans="1:11" x14ac:dyDescent="0.35">
      <c r="A42" s="228"/>
      <c r="B42" s="335"/>
      <c r="C42" s="858"/>
      <c r="D42" s="859"/>
      <c r="E42" s="859"/>
      <c r="F42" s="859"/>
      <c r="G42" s="859"/>
      <c r="H42" s="859"/>
      <c r="I42" s="859"/>
      <c r="J42" s="859"/>
      <c r="K42" s="860"/>
    </row>
    <row r="43" spans="1:11" x14ac:dyDescent="0.35">
      <c r="A43" s="228" t="s">
        <v>701</v>
      </c>
      <c r="B43" s="335"/>
      <c r="C43" s="853" t="s">
        <v>1382</v>
      </c>
      <c r="D43" s="854"/>
      <c r="E43" s="854"/>
      <c r="F43" s="854"/>
      <c r="G43" s="854"/>
      <c r="H43" s="854"/>
      <c r="I43" s="854"/>
      <c r="J43" s="854"/>
      <c r="K43" s="855"/>
    </row>
    <row r="44" spans="1:11" x14ac:dyDescent="0.35">
      <c r="A44" s="228"/>
      <c r="B44" s="335"/>
      <c r="C44" s="858"/>
      <c r="D44" s="859"/>
      <c r="E44" s="859"/>
      <c r="F44" s="859"/>
      <c r="G44" s="859"/>
      <c r="H44" s="859"/>
      <c r="I44" s="859"/>
      <c r="J44" s="859"/>
      <c r="K44" s="860"/>
    </row>
    <row r="45" spans="1:11" x14ac:dyDescent="0.35">
      <c r="A45" s="228" t="s">
        <v>702</v>
      </c>
      <c r="B45" s="335"/>
      <c r="C45" s="853" t="s">
        <v>1316</v>
      </c>
      <c r="D45" s="854"/>
      <c r="E45" s="854"/>
      <c r="F45" s="854"/>
      <c r="G45" s="854"/>
      <c r="H45" s="854"/>
      <c r="I45" s="854"/>
      <c r="J45" s="854"/>
      <c r="K45" s="855"/>
    </row>
    <row r="46" spans="1:11" x14ac:dyDescent="0.35">
      <c r="A46" s="230"/>
      <c r="B46" s="266"/>
      <c r="C46" s="858" t="s">
        <v>1315</v>
      </c>
      <c r="D46" s="859"/>
      <c r="E46" s="859"/>
      <c r="F46" s="859"/>
      <c r="G46" s="859"/>
      <c r="H46" s="859"/>
      <c r="I46" s="859"/>
      <c r="J46" s="859"/>
      <c r="K46" s="860"/>
    </row>
    <row r="47" spans="1:11" x14ac:dyDescent="0.35">
      <c r="A47" s="184"/>
      <c r="K47" s="184"/>
    </row>
    <row r="48" spans="1:11" x14ac:dyDescent="0.35">
      <c r="A48" s="832" t="s">
        <v>1116</v>
      </c>
      <c r="B48" s="835"/>
      <c r="C48" s="835"/>
      <c r="D48" s="835"/>
      <c r="E48" s="835"/>
      <c r="F48" s="835"/>
      <c r="G48" s="835"/>
      <c r="H48" s="835"/>
      <c r="I48" s="835"/>
      <c r="J48" s="835"/>
      <c r="K48" s="836"/>
    </row>
    <row r="49" spans="1:11" x14ac:dyDescent="0.35">
      <c r="A49" s="853"/>
      <c r="B49" s="854"/>
      <c r="C49" s="854"/>
      <c r="D49" s="854"/>
      <c r="E49" s="854"/>
      <c r="F49" s="854"/>
      <c r="G49" s="854"/>
      <c r="H49" s="854"/>
      <c r="I49" s="854"/>
      <c r="J49" s="854"/>
      <c r="K49" s="855"/>
    </row>
    <row r="50" spans="1:11" x14ac:dyDescent="0.35">
      <c r="A50" s="856"/>
      <c r="B50" s="852"/>
      <c r="C50" s="852"/>
      <c r="D50" s="852"/>
      <c r="E50" s="852"/>
      <c r="F50" s="852"/>
      <c r="G50" s="852"/>
      <c r="H50" s="852"/>
      <c r="I50" s="852"/>
      <c r="J50" s="852"/>
      <c r="K50" s="857"/>
    </row>
    <row r="51" spans="1:11" x14ac:dyDescent="0.35">
      <c r="A51" s="856"/>
      <c r="B51" s="852"/>
      <c r="C51" s="852"/>
      <c r="D51" s="852"/>
      <c r="E51" s="852"/>
      <c r="F51" s="852"/>
      <c r="G51" s="852"/>
      <c r="H51" s="852"/>
      <c r="I51" s="852"/>
      <c r="J51" s="852"/>
      <c r="K51" s="857"/>
    </row>
    <row r="52" spans="1:11" x14ac:dyDescent="0.35">
      <c r="A52" s="858"/>
      <c r="B52" s="859"/>
      <c r="C52" s="859"/>
      <c r="D52" s="859"/>
      <c r="E52" s="859"/>
      <c r="F52" s="859"/>
      <c r="G52" s="859"/>
      <c r="H52" s="859"/>
      <c r="I52" s="859"/>
      <c r="J52" s="859"/>
      <c r="K52" s="860"/>
    </row>
    <row r="53" spans="1:11" x14ac:dyDescent="0.35">
      <c r="A53" s="184"/>
      <c r="K53" s="184"/>
    </row>
    <row r="54" spans="1:11" x14ac:dyDescent="0.35">
      <c r="A54" s="832" t="s">
        <v>1117</v>
      </c>
      <c r="B54" s="835"/>
      <c r="C54" s="835"/>
      <c r="D54" s="835"/>
      <c r="E54" s="835"/>
      <c r="F54" s="835"/>
      <c r="G54" s="835"/>
      <c r="H54" s="835"/>
      <c r="I54" s="835"/>
      <c r="J54" s="835"/>
      <c r="K54" s="836"/>
    </row>
    <row r="55" spans="1:11" x14ac:dyDescent="0.35">
      <c r="A55" s="853"/>
      <c r="B55" s="854"/>
      <c r="C55" s="854"/>
      <c r="D55" s="854"/>
      <c r="E55" s="854"/>
      <c r="F55" s="854"/>
      <c r="G55" s="854"/>
      <c r="H55" s="854"/>
      <c r="I55" s="854"/>
      <c r="J55" s="854"/>
      <c r="K55" s="855"/>
    </row>
    <row r="56" spans="1:11" x14ac:dyDescent="0.35">
      <c r="A56" s="856"/>
      <c r="B56" s="852"/>
      <c r="C56" s="852"/>
      <c r="D56" s="852"/>
      <c r="E56" s="852"/>
      <c r="F56" s="852"/>
      <c r="G56" s="852"/>
      <c r="H56" s="852"/>
      <c r="I56" s="852"/>
      <c r="J56" s="852"/>
      <c r="K56" s="857"/>
    </row>
    <row r="57" spans="1:11" x14ac:dyDescent="0.35">
      <c r="A57" s="856"/>
      <c r="B57" s="852"/>
      <c r="C57" s="852"/>
      <c r="D57" s="852"/>
      <c r="E57" s="852"/>
      <c r="F57" s="852"/>
      <c r="G57" s="852"/>
      <c r="H57" s="852"/>
      <c r="I57" s="852"/>
      <c r="J57" s="852"/>
      <c r="K57" s="857"/>
    </row>
    <row r="58" spans="1:11" x14ac:dyDescent="0.35">
      <c r="A58" s="858"/>
      <c r="B58" s="859"/>
      <c r="C58" s="859"/>
      <c r="D58" s="859"/>
      <c r="E58" s="859"/>
      <c r="F58" s="859"/>
      <c r="G58" s="859"/>
      <c r="H58" s="859"/>
      <c r="I58" s="859"/>
      <c r="J58" s="859"/>
      <c r="K58" s="860"/>
    </row>
    <row r="59" spans="1:11" x14ac:dyDescent="0.35">
      <c r="A59" s="184"/>
      <c r="K59" s="184"/>
    </row>
    <row r="60" spans="1:11" x14ac:dyDescent="0.35">
      <c r="A60" s="832" t="s">
        <v>641</v>
      </c>
      <c r="B60" s="833"/>
      <c r="C60" s="833"/>
      <c r="D60" s="833"/>
      <c r="E60" s="833"/>
      <c r="F60" s="833"/>
      <c r="G60" s="833"/>
      <c r="H60" s="833"/>
      <c r="I60" s="833"/>
      <c r="J60" s="833"/>
      <c r="K60" s="834"/>
    </row>
    <row r="61" spans="1:11" x14ac:dyDescent="0.35">
      <c r="A61" s="853"/>
      <c r="B61" s="854"/>
      <c r="C61" s="854"/>
      <c r="D61" s="854"/>
      <c r="E61" s="854"/>
      <c r="F61" s="854"/>
      <c r="G61" s="854"/>
      <c r="H61" s="854"/>
      <c r="I61" s="854"/>
      <c r="J61" s="854"/>
      <c r="K61" s="855"/>
    </row>
    <row r="62" spans="1:11" x14ac:dyDescent="0.35">
      <c r="A62" s="858"/>
      <c r="B62" s="859"/>
      <c r="C62" s="859"/>
      <c r="D62" s="859"/>
      <c r="E62" s="859"/>
      <c r="F62" s="859"/>
      <c r="G62" s="859"/>
      <c r="H62" s="859"/>
      <c r="I62" s="859"/>
      <c r="J62" s="859"/>
      <c r="K62" s="860"/>
    </row>
    <row r="63" spans="1:11" x14ac:dyDescent="0.35">
      <c r="A63" s="148"/>
      <c r="K63" s="148"/>
    </row>
  </sheetData>
  <sheetProtection password="813F" sheet="1" objects="1" scenarios="1" selectLockedCells="1"/>
  <customSheetViews>
    <customSheetView guid="{51165254-F18A-4CD1-9981-8F2DE14CC76C}" showGridLines="0" fitToPage="1" hiddenRows="1" hiddenColumns="1" showRuler="0">
      <selection activeCell="C37" sqref="C37"/>
      <pageMargins left="0.78740157480314965" right="0.78740157480314965" top="0.98425196850393704" bottom="0.98425196850393704" header="0.51181102362204722" footer="0.51181102362204722"/>
      <printOptions horizontalCentered="1" verticalCentered="1"/>
      <pageSetup paperSize="9" scale="52"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2"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8">
    <tabColor indexed="41"/>
    <pageSetUpPr fitToPage="1"/>
  </sheetPr>
  <dimension ref="A1:AB39"/>
  <sheetViews>
    <sheetView showGridLines="0" zoomScale="110" zoomScaleNormal="110" workbookViewId="0">
      <selection activeCell="B10" sqref="B10"/>
    </sheetView>
  </sheetViews>
  <sheetFormatPr baseColWidth="10" defaultColWidth="0" defaultRowHeight="14.4" zeroHeight="1" x14ac:dyDescent="0.35"/>
  <cols>
    <col min="1" max="9" width="13.77734375" style="45" customWidth="1"/>
    <col min="10" max="11" width="12.44140625" style="45" customWidth="1"/>
    <col min="12" max="12" width="1.44140625" style="44" customWidth="1"/>
    <col min="13" max="28" width="9.109375" style="168" hidden="1" customWidth="1"/>
    <col min="29" max="16384" width="9.109375" style="45" hidden="1"/>
  </cols>
  <sheetData>
    <row r="1" spans="1:28" s="136" customFormat="1" ht="29.25" customHeight="1" x14ac:dyDescent="0.55000000000000004">
      <c r="A1" s="200" t="str">
        <f>'4.0 Organisation &amp; HR'!A1</f>
        <v>Management Summary</v>
      </c>
      <c r="B1" s="201"/>
      <c r="C1" s="201"/>
      <c r="D1" s="201"/>
      <c r="E1" s="201"/>
      <c r="F1" s="201"/>
      <c r="G1" s="201"/>
      <c r="H1" s="201"/>
      <c r="I1" s="201"/>
      <c r="J1" s="201"/>
      <c r="K1" s="202" t="s">
        <v>697</v>
      </c>
      <c r="L1" s="76"/>
      <c r="M1" s="210"/>
      <c r="N1" s="210"/>
      <c r="O1" s="210"/>
      <c r="P1" s="210"/>
      <c r="Q1" s="210"/>
      <c r="R1" s="210"/>
      <c r="S1" s="210"/>
      <c r="T1" s="210"/>
      <c r="U1" s="210"/>
      <c r="V1" s="210"/>
      <c r="W1" s="210"/>
      <c r="X1" s="210"/>
      <c r="Y1" s="210"/>
      <c r="Z1" s="210"/>
      <c r="AA1" s="210"/>
      <c r="AB1" s="210"/>
    </row>
    <row r="2" spans="1:28" s="136" customFormat="1" ht="13.2" customHeight="1" x14ac:dyDescent="0.35">
      <c r="A2" s="135"/>
      <c r="B2" s="169"/>
      <c r="C2" s="170"/>
      <c r="D2" s="171"/>
      <c r="E2" s="172"/>
      <c r="H2" s="173"/>
      <c r="I2" s="171"/>
      <c r="J2" s="171"/>
      <c r="K2" s="174"/>
      <c r="L2" s="76"/>
      <c r="M2" s="210"/>
      <c r="N2" s="210"/>
      <c r="O2" s="210"/>
      <c r="P2" s="210"/>
      <c r="Q2" s="210"/>
      <c r="R2" s="210"/>
      <c r="S2" s="210"/>
      <c r="T2" s="210"/>
      <c r="U2" s="210"/>
      <c r="V2" s="210"/>
      <c r="W2" s="210"/>
      <c r="X2" s="210"/>
      <c r="Y2" s="210"/>
      <c r="Z2" s="210"/>
      <c r="AA2" s="210"/>
      <c r="AB2" s="210"/>
    </row>
    <row r="3" spans="1:28" s="136" customFormat="1" ht="13.2" customHeight="1" x14ac:dyDescent="0.35">
      <c r="A3" s="135" t="s">
        <v>1049</v>
      </c>
      <c r="B3" s="169"/>
      <c r="D3" s="164" t="str">
        <f>'Reference sheet'!C12</f>
        <v>TRUCK INTERNATIONAL MOBILITY SA</v>
      </c>
      <c r="E3" s="172"/>
      <c r="G3" s="175" t="s">
        <v>1037</v>
      </c>
      <c r="H3" s="176" t="str">
        <f>'Reference sheet'!C17</f>
        <v>October</v>
      </c>
      <c r="I3" s="863">
        <f>'Reference sheet'!D17</f>
        <v>2018</v>
      </c>
      <c r="J3" s="175" t="s">
        <v>1036</v>
      </c>
      <c r="K3" s="177">
        <f>'Reference sheet'!C15</f>
        <v>2</v>
      </c>
      <c r="L3" s="76"/>
      <c r="M3" s="210"/>
      <c r="N3" s="210"/>
      <c r="O3" s="210"/>
      <c r="P3" s="210"/>
      <c r="Q3" s="210"/>
      <c r="R3" s="210"/>
      <c r="S3" s="210"/>
      <c r="T3" s="210"/>
      <c r="U3" s="210"/>
      <c r="V3" s="210"/>
      <c r="W3" s="210"/>
      <c r="X3" s="210"/>
      <c r="Y3" s="210"/>
      <c r="Z3" s="210"/>
      <c r="AA3" s="210"/>
      <c r="AB3" s="210"/>
    </row>
    <row r="4" spans="1:28" s="136" customFormat="1" ht="13.2" customHeight="1" x14ac:dyDescent="0.35">
      <c r="A4" s="145"/>
      <c r="B4" s="178"/>
      <c r="C4" s="146"/>
      <c r="D4" s="146"/>
      <c r="E4" s="146"/>
      <c r="F4" s="146"/>
      <c r="G4" s="179"/>
      <c r="H4" s="146"/>
      <c r="I4" s="146"/>
      <c r="J4" s="146"/>
      <c r="K4" s="180"/>
      <c r="L4" s="76"/>
      <c r="M4" s="210"/>
      <c r="N4" s="210"/>
      <c r="O4" s="210"/>
      <c r="P4" s="210"/>
      <c r="Q4" s="210"/>
      <c r="R4" s="210"/>
      <c r="S4" s="210"/>
      <c r="T4" s="210"/>
      <c r="U4" s="210"/>
      <c r="V4" s="210"/>
      <c r="W4" s="210"/>
      <c r="X4" s="210"/>
      <c r="Y4" s="210"/>
      <c r="Z4" s="210"/>
      <c r="AA4" s="210"/>
      <c r="AB4" s="210"/>
    </row>
    <row r="5" spans="1:28" s="136" customFormat="1" x14ac:dyDescent="0.35">
      <c r="A5" s="184"/>
      <c r="B5" s="181"/>
      <c r="G5" s="182"/>
      <c r="K5" s="181"/>
      <c r="L5" s="76"/>
      <c r="M5" s="210"/>
      <c r="N5" s="210"/>
      <c r="O5" s="210"/>
      <c r="P5" s="210"/>
      <c r="Q5" s="210"/>
      <c r="R5" s="210"/>
      <c r="S5" s="210"/>
      <c r="T5" s="210"/>
      <c r="U5" s="210"/>
      <c r="V5" s="210"/>
      <c r="W5" s="210"/>
      <c r="X5" s="210"/>
      <c r="Y5" s="210"/>
      <c r="Z5" s="210"/>
      <c r="AA5" s="210"/>
      <c r="AB5" s="210"/>
    </row>
    <row r="6" spans="1:28" s="136" customFormat="1" ht="16.2" x14ac:dyDescent="0.35">
      <c r="A6" s="878" t="s">
        <v>551</v>
      </c>
      <c r="B6" s="833"/>
      <c r="C6" s="833"/>
      <c r="D6" s="833"/>
      <c r="E6" s="833"/>
      <c r="F6" s="833"/>
      <c r="G6" s="833"/>
      <c r="H6" s="833"/>
      <c r="I6" s="833"/>
      <c r="J6" s="833"/>
      <c r="K6" s="834"/>
      <c r="L6" s="76"/>
      <c r="M6" s="210"/>
      <c r="N6" s="210"/>
      <c r="O6" s="210"/>
      <c r="P6" s="210"/>
      <c r="Q6" s="210"/>
      <c r="R6" s="210"/>
      <c r="S6" s="210"/>
      <c r="T6" s="210"/>
      <c r="U6" s="210"/>
      <c r="V6" s="210"/>
      <c r="W6" s="210"/>
      <c r="X6" s="210"/>
      <c r="Y6" s="210"/>
      <c r="Z6" s="210"/>
      <c r="AA6" s="210"/>
      <c r="AB6" s="210"/>
    </row>
    <row r="7" spans="1:28" s="136" customFormat="1" x14ac:dyDescent="0.35">
      <c r="A7" s="1332" t="s">
        <v>1305</v>
      </c>
      <c r="B7" s="874"/>
      <c r="C7" s="874"/>
      <c r="D7" s="874"/>
      <c r="E7" s="874"/>
      <c r="F7" s="874"/>
      <c r="G7" s="874"/>
      <c r="H7" s="874"/>
      <c r="I7" s="874"/>
      <c r="J7" s="874"/>
      <c r="K7" s="875"/>
      <c r="L7" s="76"/>
      <c r="M7" s="210"/>
      <c r="N7" s="210"/>
      <c r="O7" s="210"/>
      <c r="P7" s="210"/>
      <c r="Q7" s="210"/>
      <c r="R7" s="210"/>
      <c r="S7" s="210"/>
      <c r="T7" s="210"/>
      <c r="U7" s="210"/>
      <c r="V7" s="210"/>
      <c r="W7" s="210"/>
      <c r="X7" s="210"/>
      <c r="Y7" s="210"/>
      <c r="Z7" s="210"/>
      <c r="AA7" s="210"/>
      <c r="AB7" s="210"/>
    </row>
    <row r="8" spans="1:28" s="136" customFormat="1" x14ac:dyDescent="0.35">
      <c r="A8" s="184"/>
      <c r="L8" s="76"/>
      <c r="M8" s="210"/>
      <c r="N8" s="210"/>
      <c r="O8" s="210"/>
      <c r="P8" s="210"/>
      <c r="Q8" s="210"/>
      <c r="R8" s="210"/>
      <c r="S8" s="210"/>
      <c r="T8" s="210"/>
      <c r="U8" s="210"/>
      <c r="V8" s="210"/>
      <c r="W8" s="210"/>
      <c r="X8" s="210"/>
      <c r="Y8" s="210"/>
      <c r="Z8" s="210"/>
      <c r="AA8" s="210"/>
      <c r="AB8" s="210"/>
    </row>
    <row r="9" spans="1:28" s="136" customFormat="1" x14ac:dyDescent="0.35">
      <c r="A9" s="832" t="s">
        <v>756</v>
      </c>
      <c r="B9" s="833"/>
      <c r="C9" s="833"/>
      <c r="D9" s="833"/>
      <c r="E9" s="833"/>
      <c r="F9" s="833"/>
      <c r="G9" s="833"/>
      <c r="H9" s="833"/>
      <c r="I9" s="833"/>
      <c r="J9" s="833"/>
      <c r="K9" s="834"/>
      <c r="L9" s="76"/>
      <c r="M9" s="210"/>
      <c r="N9" s="210"/>
      <c r="O9" s="210"/>
      <c r="P9" s="210"/>
      <c r="Q9" s="210"/>
      <c r="R9" s="210"/>
      <c r="S9" s="210"/>
      <c r="T9" s="210"/>
      <c r="U9" s="210"/>
      <c r="V9" s="210"/>
      <c r="W9" s="210"/>
      <c r="X9" s="210"/>
      <c r="Y9" s="210"/>
      <c r="Z9" s="210"/>
      <c r="AA9" s="210"/>
      <c r="AB9" s="210"/>
    </row>
    <row r="10" spans="1:28" s="136" customFormat="1" x14ac:dyDescent="0.35">
      <c r="A10" s="1332" t="s">
        <v>1260</v>
      </c>
      <c r="B10" s="874"/>
      <c r="C10" s="874"/>
      <c r="D10" s="874"/>
      <c r="E10" s="874"/>
      <c r="F10" s="874"/>
      <c r="G10" s="874"/>
      <c r="H10" s="874"/>
      <c r="I10" s="874"/>
      <c r="J10" s="874"/>
      <c r="K10" s="875"/>
      <c r="L10" s="76"/>
      <c r="M10" s="210"/>
      <c r="N10" s="210"/>
      <c r="O10" s="210"/>
      <c r="P10" s="210"/>
      <c r="Q10" s="210"/>
      <c r="R10" s="210"/>
      <c r="S10" s="210"/>
      <c r="T10" s="210"/>
      <c r="U10" s="210"/>
      <c r="V10" s="210"/>
      <c r="W10" s="210"/>
      <c r="X10" s="210"/>
      <c r="Y10" s="210"/>
      <c r="Z10" s="210"/>
      <c r="AA10" s="210"/>
      <c r="AB10" s="210"/>
    </row>
    <row r="11" spans="1:28" s="136" customFormat="1" x14ac:dyDescent="0.35">
      <c r="A11" s="184"/>
      <c r="L11" s="76"/>
      <c r="M11" s="210"/>
      <c r="N11" s="210"/>
      <c r="O11" s="210"/>
      <c r="P11" s="210"/>
      <c r="Q11" s="210"/>
      <c r="R11" s="210"/>
      <c r="S11" s="210"/>
      <c r="T11" s="210"/>
      <c r="U11" s="210"/>
      <c r="V11" s="210"/>
      <c r="W11" s="210"/>
      <c r="X11" s="210"/>
      <c r="Y11" s="210"/>
      <c r="Z11" s="210"/>
      <c r="AA11" s="210"/>
      <c r="AB11" s="210"/>
    </row>
    <row r="12" spans="1:28" s="136" customFormat="1" ht="13.2" customHeight="1" x14ac:dyDescent="0.35">
      <c r="A12" s="832" t="s">
        <v>559</v>
      </c>
      <c r="B12" s="833"/>
      <c r="C12" s="833"/>
      <c r="D12" s="833"/>
      <c r="E12" s="833"/>
      <c r="F12" s="833"/>
      <c r="G12" s="833"/>
      <c r="H12" s="833"/>
      <c r="I12" s="833"/>
      <c r="J12" s="833"/>
      <c r="K12" s="834"/>
      <c r="L12" s="76"/>
      <c r="M12" s="210"/>
      <c r="N12" s="210"/>
      <c r="O12" s="210"/>
      <c r="P12" s="210"/>
      <c r="Q12" s="210"/>
      <c r="R12" s="210"/>
      <c r="S12" s="210"/>
      <c r="T12" s="210"/>
      <c r="U12" s="210"/>
      <c r="V12" s="210"/>
      <c r="W12" s="210"/>
      <c r="X12" s="210"/>
      <c r="Y12" s="210"/>
      <c r="Z12" s="210"/>
      <c r="AA12" s="210"/>
      <c r="AB12" s="210"/>
    </row>
    <row r="13" spans="1:28" s="136" customFormat="1" ht="13.2" customHeight="1" x14ac:dyDescent="0.35">
      <c r="A13" s="1332" t="s">
        <v>1261</v>
      </c>
      <c r="B13" s="874"/>
      <c r="C13" s="874"/>
      <c r="D13" s="874"/>
      <c r="E13" s="874"/>
      <c r="F13" s="874"/>
      <c r="G13" s="874"/>
      <c r="H13" s="874"/>
      <c r="I13" s="874"/>
      <c r="J13" s="874"/>
      <c r="K13" s="875"/>
      <c r="L13" s="76"/>
      <c r="M13" s="210"/>
      <c r="N13" s="210"/>
      <c r="O13" s="210"/>
      <c r="P13" s="210"/>
      <c r="Q13" s="210"/>
      <c r="R13" s="210"/>
      <c r="S13" s="210"/>
      <c r="T13" s="210"/>
      <c r="U13" s="210"/>
      <c r="V13" s="210"/>
      <c r="W13" s="210"/>
      <c r="X13" s="210"/>
      <c r="Y13" s="210"/>
      <c r="Z13" s="210"/>
      <c r="AA13" s="210"/>
      <c r="AB13" s="210"/>
    </row>
    <row r="14" spans="1:28" s="136" customFormat="1" x14ac:dyDescent="0.35">
      <c r="A14" s="184"/>
      <c r="L14" s="76"/>
      <c r="M14" s="210"/>
      <c r="N14" s="210"/>
      <c r="O14" s="210"/>
      <c r="P14" s="210"/>
      <c r="Q14" s="210"/>
      <c r="R14" s="210"/>
      <c r="S14" s="210"/>
      <c r="T14" s="210"/>
      <c r="U14" s="210"/>
      <c r="V14" s="210"/>
      <c r="W14" s="210"/>
      <c r="X14" s="210"/>
      <c r="Y14" s="210"/>
      <c r="Z14" s="210"/>
      <c r="AA14" s="210"/>
      <c r="AB14" s="210"/>
    </row>
    <row r="15" spans="1:28" s="136" customFormat="1" x14ac:dyDescent="0.35">
      <c r="A15" s="832" t="s">
        <v>787</v>
      </c>
      <c r="B15" s="833"/>
      <c r="C15" s="833"/>
      <c r="D15" s="833"/>
      <c r="E15" s="833"/>
      <c r="F15" s="833"/>
      <c r="G15" s="833"/>
      <c r="H15" s="833"/>
      <c r="I15" s="833"/>
      <c r="J15" s="833"/>
      <c r="K15" s="834"/>
      <c r="L15" s="76"/>
      <c r="M15" s="210"/>
      <c r="N15" s="210"/>
      <c r="O15" s="210"/>
      <c r="P15" s="210"/>
      <c r="Q15" s="210"/>
      <c r="R15" s="210"/>
      <c r="S15" s="210"/>
      <c r="T15" s="210"/>
      <c r="U15" s="210"/>
      <c r="V15" s="210"/>
      <c r="W15" s="210"/>
      <c r="X15" s="210"/>
      <c r="Y15" s="210"/>
      <c r="Z15" s="210"/>
      <c r="AA15" s="210"/>
      <c r="AB15" s="210"/>
    </row>
    <row r="16" spans="1:28" s="136" customFormat="1" x14ac:dyDescent="0.35">
      <c r="A16" s="1332" t="s">
        <v>1258</v>
      </c>
      <c r="B16" s="874"/>
      <c r="C16" s="874"/>
      <c r="D16" s="874"/>
      <c r="E16" s="874"/>
      <c r="F16" s="874"/>
      <c r="G16" s="874"/>
      <c r="H16" s="874"/>
      <c r="I16" s="874"/>
      <c r="J16" s="874"/>
      <c r="K16" s="875"/>
      <c r="L16" s="76"/>
      <c r="M16" s="210"/>
      <c r="N16" s="210"/>
      <c r="O16" s="210"/>
      <c r="P16" s="210"/>
      <c r="Q16" s="210"/>
      <c r="R16" s="210"/>
      <c r="S16" s="210"/>
      <c r="T16" s="210"/>
      <c r="U16" s="210"/>
      <c r="V16" s="210"/>
      <c r="W16" s="210"/>
      <c r="X16" s="210"/>
      <c r="Y16" s="210"/>
      <c r="Z16" s="210"/>
      <c r="AA16" s="210"/>
      <c r="AB16" s="210"/>
    </row>
    <row r="17" spans="1:28" s="136" customFormat="1" x14ac:dyDescent="0.35">
      <c r="A17" s="184"/>
      <c r="L17" s="76"/>
      <c r="M17" s="210"/>
      <c r="N17" s="210"/>
      <c r="O17" s="210"/>
      <c r="P17" s="210"/>
      <c r="Q17" s="210"/>
      <c r="R17" s="210"/>
      <c r="S17" s="210"/>
      <c r="T17" s="210"/>
      <c r="U17" s="210"/>
      <c r="V17" s="210"/>
      <c r="W17" s="210"/>
      <c r="X17" s="210"/>
      <c r="Y17" s="210"/>
      <c r="Z17" s="210"/>
      <c r="AA17" s="210"/>
      <c r="AB17" s="210"/>
    </row>
    <row r="18" spans="1:28" s="136" customFormat="1" x14ac:dyDescent="0.35">
      <c r="A18" s="832" t="s">
        <v>560</v>
      </c>
      <c r="B18" s="833"/>
      <c r="C18" s="833"/>
      <c r="D18" s="833"/>
      <c r="E18" s="833"/>
      <c r="F18" s="833"/>
      <c r="G18" s="833"/>
      <c r="H18" s="833"/>
      <c r="I18" s="833"/>
      <c r="J18" s="833"/>
      <c r="K18" s="834"/>
      <c r="L18" s="76"/>
      <c r="M18" s="210"/>
      <c r="N18" s="210"/>
      <c r="O18" s="210"/>
      <c r="P18" s="210"/>
      <c r="Q18" s="210"/>
      <c r="R18" s="210"/>
      <c r="S18" s="210"/>
      <c r="T18" s="210"/>
      <c r="U18" s="210"/>
      <c r="V18" s="210"/>
      <c r="W18" s="210"/>
      <c r="X18" s="210"/>
      <c r="Y18" s="210"/>
      <c r="Z18" s="210"/>
      <c r="AA18" s="210"/>
      <c r="AB18" s="210"/>
    </row>
    <row r="19" spans="1:28" s="136" customFormat="1" ht="16.2" x14ac:dyDescent="0.35">
      <c r="A19" s="883"/>
      <c r="B19" s="840"/>
      <c r="C19" s="840"/>
      <c r="D19" s="840"/>
      <c r="E19" s="840"/>
      <c r="F19" s="840"/>
      <c r="G19" s="840"/>
      <c r="H19" s="840"/>
      <c r="I19" s="840"/>
      <c r="J19" s="840"/>
      <c r="K19" s="841"/>
      <c r="L19" s="76"/>
      <c r="M19" s="210"/>
      <c r="N19" s="210"/>
      <c r="O19" s="210"/>
      <c r="P19" s="210"/>
      <c r="Q19" s="210"/>
      <c r="R19" s="210"/>
      <c r="S19" s="210"/>
      <c r="T19" s="210"/>
      <c r="U19" s="210"/>
      <c r="V19" s="210"/>
      <c r="W19" s="210"/>
      <c r="X19" s="210"/>
      <c r="Y19" s="210"/>
      <c r="Z19" s="210"/>
      <c r="AA19" s="210"/>
      <c r="AB19" s="210"/>
    </row>
    <row r="20" spans="1:28" s="136" customFormat="1" ht="16.2" x14ac:dyDescent="0.35">
      <c r="A20" s="884"/>
      <c r="B20" s="839"/>
      <c r="C20" s="839"/>
      <c r="D20" s="839"/>
      <c r="E20" s="839"/>
      <c r="F20" s="839"/>
      <c r="G20" s="839"/>
      <c r="H20" s="839"/>
      <c r="I20" s="839"/>
      <c r="J20" s="839"/>
      <c r="K20" s="843"/>
      <c r="L20" s="76"/>
      <c r="M20" s="210"/>
      <c r="N20" s="210"/>
      <c r="O20" s="210"/>
      <c r="P20" s="210"/>
      <c r="Q20" s="210"/>
      <c r="R20" s="210"/>
      <c r="S20" s="210"/>
      <c r="T20" s="210"/>
      <c r="U20" s="210"/>
      <c r="V20" s="210"/>
      <c r="W20" s="210"/>
      <c r="X20" s="210"/>
      <c r="Y20" s="210"/>
      <c r="Z20" s="210"/>
      <c r="AA20" s="210"/>
      <c r="AB20" s="210"/>
    </row>
    <row r="21" spans="1:28" s="136" customFormat="1" ht="16.2" x14ac:dyDescent="0.35">
      <c r="A21" s="884"/>
      <c r="B21" s="839"/>
      <c r="C21" s="839"/>
      <c r="D21" s="839"/>
      <c r="E21" s="839"/>
      <c r="F21" s="839"/>
      <c r="G21" s="839"/>
      <c r="H21" s="839"/>
      <c r="I21" s="839"/>
      <c r="J21" s="839"/>
      <c r="K21" s="843"/>
      <c r="L21" s="76"/>
      <c r="M21" s="210"/>
      <c r="N21" s="210"/>
      <c r="O21" s="210"/>
      <c r="P21" s="210"/>
      <c r="Q21" s="210"/>
      <c r="R21" s="210"/>
      <c r="S21" s="210"/>
      <c r="T21" s="210"/>
      <c r="U21" s="210"/>
      <c r="V21" s="210"/>
      <c r="W21" s="210"/>
      <c r="X21" s="210"/>
      <c r="Y21" s="210"/>
      <c r="Z21" s="210"/>
      <c r="AA21" s="210"/>
      <c r="AB21" s="210"/>
    </row>
    <row r="22" spans="1:28" s="136" customFormat="1" ht="16.2" x14ac:dyDescent="0.35">
      <c r="A22" s="885"/>
      <c r="B22" s="850"/>
      <c r="C22" s="850"/>
      <c r="D22" s="850"/>
      <c r="E22" s="850"/>
      <c r="F22" s="850"/>
      <c r="G22" s="850"/>
      <c r="H22" s="850"/>
      <c r="I22" s="850"/>
      <c r="J22" s="850"/>
      <c r="K22" s="851"/>
      <c r="L22" s="76"/>
      <c r="M22" s="210"/>
      <c r="N22" s="210"/>
      <c r="O22" s="210"/>
      <c r="P22" s="210"/>
      <c r="Q22" s="210"/>
      <c r="R22" s="210"/>
      <c r="S22" s="210"/>
      <c r="T22" s="210"/>
      <c r="U22" s="210"/>
      <c r="V22" s="210"/>
      <c r="W22" s="210"/>
      <c r="X22" s="210"/>
      <c r="Y22" s="210"/>
      <c r="Z22" s="210"/>
      <c r="AA22" s="210"/>
      <c r="AB22" s="210"/>
    </row>
    <row r="23" spans="1:28" s="136" customFormat="1" x14ac:dyDescent="0.35">
      <c r="A23" s="184"/>
      <c r="L23" s="76"/>
      <c r="M23" s="210"/>
      <c r="N23" s="210"/>
      <c r="O23" s="210"/>
      <c r="P23" s="210"/>
      <c r="Q23" s="210"/>
      <c r="R23" s="210"/>
      <c r="S23" s="210"/>
      <c r="T23" s="210"/>
      <c r="U23" s="210"/>
      <c r="V23" s="210"/>
      <c r="W23" s="210"/>
      <c r="X23" s="210"/>
      <c r="Y23" s="210"/>
      <c r="Z23" s="210"/>
      <c r="AA23" s="210"/>
      <c r="AB23" s="210"/>
    </row>
    <row r="24" spans="1:28" s="136" customFormat="1" x14ac:dyDescent="0.35">
      <c r="A24" s="832" t="s">
        <v>561</v>
      </c>
      <c r="B24" s="833"/>
      <c r="C24" s="833"/>
      <c r="D24" s="833"/>
      <c r="E24" s="833"/>
      <c r="F24" s="833"/>
      <c r="G24" s="833"/>
      <c r="H24" s="833"/>
      <c r="I24" s="833"/>
      <c r="J24" s="833"/>
      <c r="K24" s="834"/>
      <c r="L24" s="76"/>
      <c r="M24" s="210"/>
      <c r="N24" s="210"/>
      <c r="O24" s="210"/>
      <c r="P24" s="210"/>
      <c r="Q24" s="210"/>
      <c r="R24" s="210"/>
      <c r="S24" s="210"/>
      <c r="T24" s="210"/>
      <c r="U24" s="210"/>
      <c r="V24" s="210"/>
      <c r="W24" s="210"/>
      <c r="X24" s="210"/>
      <c r="Y24" s="210"/>
      <c r="Z24" s="210"/>
      <c r="AA24" s="210"/>
      <c r="AB24" s="210"/>
    </row>
    <row r="25" spans="1:28" s="136" customFormat="1" ht="16.2" x14ac:dyDescent="0.35">
      <c r="A25" s="883"/>
      <c r="B25" s="840"/>
      <c r="C25" s="840"/>
      <c r="D25" s="840"/>
      <c r="E25" s="840"/>
      <c r="F25" s="840"/>
      <c r="G25" s="840"/>
      <c r="H25" s="840"/>
      <c r="I25" s="840"/>
      <c r="J25" s="840"/>
      <c r="K25" s="841"/>
      <c r="L25" s="76"/>
      <c r="M25" s="210"/>
      <c r="N25" s="210"/>
      <c r="O25" s="210"/>
      <c r="P25" s="210"/>
      <c r="Q25" s="210"/>
      <c r="R25" s="210"/>
      <c r="S25" s="210"/>
      <c r="T25" s="210"/>
      <c r="U25" s="210"/>
      <c r="V25" s="210"/>
      <c r="W25" s="210"/>
      <c r="X25" s="210"/>
      <c r="Y25" s="210"/>
      <c r="Z25" s="210"/>
      <c r="AA25" s="210"/>
      <c r="AB25" s="210"/>
    </row>
    <row r="26" spans="1:28" s="136" customFormat="1" ht="16.2" x14ac:dyDescent="0.35">
      <c r="A26" s="884"/>
      <c r="B26" s="839"/>
      <c r="C26" s="839"/>
      <c r="D26" s="839"/>
      <c r="E26" s="839"/>
      <c r="F26" s="839"/>
      <c r="G26" s="839"/>
      <c r="H26" s="839"/>
      <c r="I26" s="839"/>
      <c r="J26" s="839"/>
      <c r="K26" s="843"/>
      <c r="L26" s="76"/>
      <c r="M26" s="210"/>
      <c r="N26" s="210"/>
      <c r="O26" s="210"/>
      <c r="P26" s="210"/>
      <c r="Q26" s="210"/>
      <c r="R26" s="210"/>
      <c r="S26" s="210"/>
      <c r="T26" s="210"/>
      <c r="U26" s="210"/>
      <c r="V26" s="210"/>
      <c r="W26" s="210"/>
      <c r="X26" s="210"/>
      <c r="Y26" s="210"/>
      <c r="Z26" s="210"/>
      <c r="AA26" s="210"/>
      <c r="AB26" s="210"/>
    </row>
    <row r="27" spans="1:28" s="136" customFormat="1" ht="16.2" x14ac:dyDescent="0.35">
      <c r="A27" s="884"/>
      <c r="B27" s="839"/>
      <c r="C27" s="839"/>
      <c r="D27" s="839"/>
      <c r="E27" s="839"/>
      <c r="F27" s="839"/>
      <c r="G27" s="839"/>
      <c r="H27" s="839"/>
      <c r="I27" s="839"/>
      <c r="J27" s="839"/>
      <c r="K27" s="843"/>
      <c r="L27" s="76"/>
      <c r="M27" s="210"/>
      <c r="N27" s="210"/>
      <c r="O27" s="210"/>
      <c r="P27" s="210"/>
      <c r="Q27" s="210"/>
      <c r="R27" s="210"/>
      <c r="S27" s="210"/>
      <c r="T27" s="210"/>
      <c r="U27" s="210"/>
      <c r="V27" s="210"/>
      <c r="W27" s="210"/>
      <c r="X27" s="210"/>
      <c r="Y27" s="210"/>
      <c r="Z27" s="210"/>
      <c r="AA27" s="210"/>
      <c r="AB27" s="210"/>
    </row>
    <row r="28" spans="1:28" s="136" customFormat="1" ht="16.2" x14ac:dyDescent="0.35">
      <c r="A28" s="885"/>
      <c r="B28" s="850"/>
      <c r="C28" s="850"/>
      <c r="D28" s="850"/>
      <c r="E28" s="850"/>
      <c r="F28" s="850"/>
      <c r="G28" s="850"/>
      <c r="H28" s="850"/>
      <c r="I28" s="850"/>
      <c r="J28" s="850"/>
      <c r="K28" s="851"/>
      <c r="L28" s="76"/>
      <c r="M28" s="210"/>
      <c r="N28" s="210"/>
      <c r="O28" s="210"/>
      <c r="P28" s="210"/>
      <c r="Q28" s="210"/>
      <c r="R28" s="210"/>
      <c r="S28" s="210"/>
      <c r="T28" s="210"/>
      <c r="U28" s="210"/>
      <c r="V28" s="210"/>
      <c r="W28" s="210"/>
      <c r="X28" s="210"/>
      <c r="Y28" s="210"/>
      <c r="Z28" s="210"/>
      <c r="AA28" s="210"/>
      <c r="AB28" s="210"/>
    </row>
    <row r="29" spans="1:28" s="136" customFormat="1" x14ac:dyDescent="0.35">
      <c r="A29" s="184"/>
      <c r="L29" s="76"/>
      <c r="M29" s="210"/>
      <c r="N29" s="210"/>
      <c r="O29" s="210"/>
      <c r="P29" s="210"/>
      <c r="Q29" s="210"/>
      <c r="R29" s="210"/>
      <c r="S29" s="210"/>
      <c r="T29" s="210"/>
      <c r="U29" s="210"/>
      <c r="V29" s="210"/>
      <c r="W29" s="210"/>
      <c r="X29" s="210"/>
      <c r="Y29" s="210"/>
      <c r="Z29" s="210"/>
      <c r="AA29" s="210"/>
      <c r="AB29" s="210"/>
    </row>
    <row r="30" spans="1:28" s="171" customFormat="1" x14ac:dyDescent="0.35">
      <c r="A30" s="832" t="s">
        <v>770</v>
      </c>
      <c r="B30" s="833"/>
      <c r="C30" s="833"/>
      <c r="D30" s="833"/>
      <c r="E30" s="833"/>
      <c r="F30" s="833"/>
      <c r="G30" s="833"/>
      <c r="H30" s="833"/>
      <c r="I30" s="833"/>
      <c r="J30" s="833"/>
      <c r="K30" s="834"/>
      <c r="L30" s="76"/>
      <c r="M30" s="210"/>
      <c r="N30" s="210"/>
      <c r="O30" s="210"/>
      <c r="P30" s="210"/>
      <c r="Q30" s="210"/>
      <c r="R30" s="210"/>
      <c r="S30" s="210"/>
      <c r="T30" s="210"/>
      <c r="U30" s="210"/>
      <c r="V30" s="210"/>
      <c r="W30" s="210"/>
      <c r="X30" s="210"/>
      <c r="Y30" s="210"/>
      <c r="Z30" s="210"/>
      <c r="AA30" s="210"/>
      <c r="AB30" s="210"/>
    </row>
    <row r="31" spans="1:28" s="136" customFormat="1" ht="16.2" x14ac:dyDescent="0.35">
      <c r="A31" s="883"/>
      <c r="B31" s="840"/>
      <c r="C31" s="840"/>
      <c r="D31" s="840"/>
      <c r="E31" s="840"/>
      <c r="F31" s="840"/>
      <c r="G31" s="840"/>
      <c r="H31" s="840"/>
      <c r="I31" s="840"/>
      <c r="J31" s="840"/>
      <c r="K31" s="841"/>
      <c r="L31" s="76"/>
      <c r="M31" s="210"/>
      <c r="N31" s="210"/>
      <c r="O31" s="210"/>
      <c r="P31" s="210"/>
      <c r="Q31" s="210"/>
      <c r="R31" s="210"/>
      <c r="S31" s="210"/>
      <c r="T31" s="210"/>
      <c r="U31" s="210"/>
      <c r="V31" s="210"/>
      <c r="W31" s="210"/>
      <c r="X31" s="210"/>
      <c r="Y31" s="210"/>
      <c r="Z31" s="210"/>
      <c r="AA31" s="210"/>
      <c r="AB31" s="210"/>
    </row>
    <row r="32" spans="1:28" s="136" customFormat="1" ht="16.2" x14ac:dyDescent="0.35">
      <c r="A32" s="884"/>
      <c r="B32" s="839"/>
      <c r="C32" s="839"/>
      <c r="D32" s="839"/>
      <c r="E32" s="839"/>
      <c r="F32" s="839"/>
      <c r="G32" s="839"/>
      <c r="H32" s="839"/>
      <c r="I32" s="839"/>
      <c r="J32" s="839"/>
      <c r="K32" s="843"/>
      <c r="L32" s="76"/>
      <c r="M32" s="210"/>
      <c r="N32" s="210"/>
      <c r="O32" s="210"/>
      <c r="P32" s="210"/>
      <c r="Q32" s="210"/>
      <c r="R32" s="210"/>
      <c r="S32" s="210"/>
      <c r="T32" s="210"/>
      <c r="U32" s="210"/>
      <c r="V32" s="210"/>
      <c r="W32" s="210"/>
      <c r="X32" s="210"/>
      <c r="Y32" s="210"/>
      <c r="Z32" s="210"/>
      <c r="AA32" s="210"/>
      <c r="AB32" s="210"/>
    </row>
    <row r="33" spans="1:28" s="136" customFormat="1" ht="16.2" x14ac:dyDescent="0.35">
      <c r="A33" s="885"/>
      <c r="B33" s="850"/>
      <c r="C33" s="850"/>
      <c r="D33" s="850"/>
      <c r="E33" s="850"/>
      <c r="F33" s="850"/>
      <c r="G33" s="850"/>
      <c r="H33" s="850"/>
      <c r="I33" s="850"/>
      <c r="J33" s="850"/>
      <c r="K33" s="851"/>
      <c r="L33" s="76"/>
      <c r="M33" s="210"/>
      <c r="N33" s="210"/>
      <c r="O33" s="210"/>
      <c r="P33" s="210"/>
      <c r="Q33" s="210"/>
      <c r="R33" s="210"/>
      <c r="S33" s="210"/>
      <c r="T33" s="210"/>
      <c r="U33" s="210"/>
      <c r="V33" s="210"/>
      <c r="W33" s="210"/>
      <c r="X33" s="210"/>
      <c r="Y33" s="210"/>
      <c r="Z33" s="210"/>
      <c r="AA33" s="210"/>
      <c r="AB33" s="210"/>
    </row>
    <row r="34" spans="1:28" s="136" customFormat="1" x14ac:dyDescent="0.35">
      <c r="A34" s="184"/>
      <c r="L34" s="76"/>
      <c r="M34" s="210"/>
      <c r="N34" s="210"/>
      <c r="O34" s="210"/>
      <c r="P34" s="210"/>
      <c r="Q34" s="210"/>
      <c r="R34" s="210"/>
      <c r="S34" s="210"/>
      <c r="T34" s="210"/>
      <c r="U34" s="210"/>
      <c r="V34" s="210"/>
      <c r="W34" s="210"/>
      <c r="X34" s="210"/>
      <c r="Y34" s="210"/>
      <c r="Z34" s="210"/>
      <c r="AA34" s="210"/>
      <c r="AB34" s="210"/>
    </row>
    <row r="35" spans="1:28" s="136" customFormat="1" x14ac:dyDescent="0.35">
      <c r="A35" s="832" t="s">
        <v>762</v>
      </c>
      <c r="B35" s="833"/>
      <c r="C35" s="833"/>
      <c r="D35" s="833"/>
      <c r="E35" s="833"/>
      <c r="F35" s="833"/>
      <c r="G35" s="833"/>
      <c r="H35" s="833"/>
      <c r="I35" s="833"/>
      <c r="J35" s="833"/>
      <c r="K35" s="834"/>
      <c r="L35" s="76"/>
      <c r="M35" s="210"/>
      <c r="N35" s="210"/>
      <c r="O35" s="210"/>
      <c r="P35" s="210"/>
      <c r="Q35" s="210"/>
      <c r="R35" s="210"/>
      <c r="S35" s="210"/>
      <c r="T35" s="210"/>
      <c r="U35" s="210"/>
      <c r="V35" s="210"/>
      <c r="W35" s="210"/>
      <c r="X35" s="210"/>
      <c r="Y35" s="210"/>
      <c r="Z35" s="210"/>
      <c r="AA35" s="210"/>
      <c r="AB35" s="210"/>
    </row>
    <row r="36" spans="1:28" s="136" customFormat="1" x14ac:dyDescent="0.35">
      <c r="A36" s="886"/>
      <c r="B36" s="840"/>
      <c r="C36" s="840"/>
      <c r="D36" s="840"/>
      <c r="E36" s="840"/>
      <c r="F36" s="840"/>
      <c r="G36" s="840"/>
      <c r="H36" s="840"/>
      <c r="I36" s="840"/>
      <c r="J36" s="840"/>
      <c r="K36" s="841"/>
      <c r="L36" s="76"/>
      <c r="M36" s="210"/>
      <c r="N36" s="210"/>
      <c r="O36" s="210"/>
      <c r="P36" s="210"/>
      <c r="Q36" s="210"/>
      <c r="R36" s="210"/>
      <c r="S36" s="210"/>
      <c r="T36" s="210"/>
      <c r="U36" s="210"/>
      <c r="V36" s="210"/>
      <c r="W36" s="210"/>
      <c r="X36" s="210"/>
      <c r="Y36" s="210"/>
      <c r="Z36" s="210"/>
      <c r="AA36" s="210"/>
      <c r="AB36" s="210"/>
    </row>
    <row r="37" spans="1:28" s="136" customFormat="1" x14ac:dyDescent="0.35">
      <c r="A37" s="848"/>
      <c r="B37" s="839"/>
      <c r="C37" s="839"/>
      <c r="D37" s="839"/>
      <c r="E37" s="839"/>
      <c r="F37" s="839"/>
      <c r="G37" s="839"/>
      <c r="H37" s="839"/>
      <c r="I37" s="839"/>
      <c r="J37" s="839"/>
      <c r="K37" s="843"/>
      <c r="L37" s="76"/>
      <c r="M37" s="210"/>
      <c r="N37" s="210"/>
      <c r="O37" s="210"/>
      <c r="P37" s="210"/>
      <c r="Q37" s="210"/>
      <c r="R37" s="210"/>
      <c r="S37" s="210"/>
      <c r="T37" s="210"/>
      <c r="U37" s="210"/>
      <c r="V37" s="210"/>
      <c r="W37" s="210"/>
      <c r="X37" s="210"/>
      <c r="Y37" s="210"/>
      <c r="Z37" s="210"/>
      <c r="AA37" s="210"/>
      <c r="AB37" s="210"/>
    </row>
    <row r="38" spans="1:28" s="146" customFormat="1" x14ac:dyDescent="0.35">
      <c r="A38" s="849"/>
      <c r="B38" s="850"/>
      <c r="C38" s="850"/>
      <c r="D38" s="850"/>
      <c r="E38" s="850"/>
      <c r="F38" s="850"/>
      <c r="G38" s="850"/>
      <c r="H38" s="850"/>
      <c r="I38" s="850"/>
      <c r="J38" s="850"/>
      <c r="K38" s="851"/>
      <c r="L38" s="98"/>
      <c r="M38" s="887"/>
      <c r="N38" s="887"/>
      <c r="O38" s="887"/>
      <c r="P38" s="887"/>
      <c r="Q38" s="887"/>
      <c r="R38" s="887"/>
      <c r="S38" s="887"/>
      <c r="T38" s="887"/>
      <c r="U38" s="887"/>
      <c r="V38" s="887"/>
      <c r="W38" s="887"/>
      <c r="X38" s="887"/>
      <c r="Y38" s="887"/>
      <c r="Z38" s="887"/>
      <c r="AA38" s="887"/>
      <c r="AB38" s="887"/>
    </row>
    <row r="39" spans="1:28" x14ac:dyDescent="0.35"/>
  </sheetData>
  <sheetProtection password="813F" sheet="1" objects="1" scenarios="1" selectLockedCells="1"/>
  <customSheetViews>
    <customSheetView guid="{51165254-F18A-4CD1-9981-8F2DE14CC76C}" scale="115" showGridLines="0" fitToPage="1" hiddenRows="1" hiddenColumns="1" showRuler="0">
      <selection activeCell="C35" sqref="C35"/>
      <pageMargins left="0.78740157480314965" right="0.78740157480314965" top="0.98425196850393704" bottom="0.98425196850393704" header="0.51181102362204722" footer="0.51181102362204722"/>
      <printOptions horizontalCentered="1" verticalCentered="1"/>
      <pageSetup paperSize="9" scale="57"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7"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9">
    <tabColor indexed="41"/>
    <pageSetUpPr fitToPage="1"/>
  </sheetPr>
  <dimension ref="A1:AB56"/>
  <sheetViews>
    <sheetView showGridLines="0" topLeftCell="A19" workbookViewId="0">
      <selection activeCell="A26" sqref="A26"/>
    </sheetView>
  </sheetViews>
  <sheetFormatPr baseColWidth="10" defaultColWidth="0" defaultRowHeight="14.4" zeroHeight="1" x14ac:dyDescent="0.35"/>
  <cols>
    <col min="1" max="10" width="13.44140625" style="45" customWidth="1"/>
    <col min="11" max="11" width="11.6640625" style="45" customWidth="1"/>
    <col min="12" max="12" width="1.6640625" style="44" customWidth="1"/>
    <col min="13" max="28" width="9.109375" style="168" hidden="1" customWidth="1"/>
    <col min="29" max="16384" width="9.109375" style="45" hidden="1"/>
  </cols>
  <sheetData>
    <row r="1" spans="1:12" ht="27.75" customHeight="1" x14ac:dyDescent="0.55000000000000004">
      <c r="A1" s="200" t="str">
        <f>'4.0 Organisation &amp; HR'!A1</f>
        <v>Management Summary</v>
      </c>
      <c r="B1" s="201"/>
      <c r="C1" s="201"/>
      <c r="D1" s="201"/>
      <c r="E1" s="201"/>
      <c r="F1" s="201"/>
      <c r="G1" s="201"/>
      <c r="H1" s="201"/>
      <c r="I1" s="201"/>
      <c r="J1" s="201"/>
      <c r="K1" s="202" t="s">
        <v>791</v>
      </c>
    </row>
    <row r="2" spans="1:12" ht="13.2" customHeight="1" x14ac:dyDescent="0.35">
      <c r="A2" s="135"/>
      <c r="B2" s="169"/>
      <c r="C2" s="170"/>
      <c r="D2" s="171"/>
      <c r="E2" s="172"/>
      <c r="F2" s="136"/>
      <c r="G2" s="136"/>
      <c r="H2" s="173"/>
      <c r="I2" s="171"/>
      <c r="J2" s="171"/>
      <c r="K2" s="174"/>
    </row>
    <row r="3" spans="1:12" ht="13.2" customHeight="1" x14ac:dyDescent="0.35">
      <c r="A3" s="135" t="s">
        <v>1049</v>
      </c>
      <c r="B3" s="169"/>
      <c r="D3" s="164" t="str">
        <f>'Reference sheet'!C12</f>
        <v>TRUCK INTERNATIONAL MOBILITY SA</v>
      </c>
      <c r="E3" s="172"/>
      <c r="F3" s="136"/>
      <c r="G3" s="175" t="s">
        <v>1037</v>
      </c>
      <c r="H3" s="176" t="str">
        <f>'Reference sheet'!C17</f>
        <v>October</v>
      </c>
      <c r="I3" s="863">
        <f>'Reference sheet'!D17</f>
        <v>2018</v>
      </c>
      <c r="J3" s="175" t="s">
        <v>1036</v>
      </c>
      <c r="K3" s="177">
        <f>'Reference sheet'!C15</f>
        <v>2</v>
      </c>
    </row>
    <row r="4" spans="1:12" ht="13.2" customHeight="1" x14ac:dyDescent="0.35">
      <c r="A4" s="145"/>
      <c r="B4" s="178"/>
      <c r="C4" s="146"/>
      <c r="D4" s="146"/>
      <c r="E4" s="146"/>
      <c r="F4" s="146"/>
      <c r="G4" s="179"/>
      <c r="H4" s="146"/>
      <c r="I4" s="146"/>
      <c r="J4" s="146"/>
      <c r="K4" s="180"/>
    </row>
    <row r="5" spans="1:12" x14ac:dyDescent="0.35">
      <c r="A5" s="136"/>
      <c r="B5" s="181"/>
      <c r="C5" s="136"/>
      <c r="D5" s="136"/>
      <c r="E5" s="136"/>
      <c r="F5" s="136"/>
      <c r="G5" s="182"/>
      <c r="H5" s="136"/>
      <c r="I5" s="136"/>
      <c r="J5" s="136"/>
      <c r="K5" s="181"/>
    </row>
    <row r="6" spans="1:12" s="167" customFormat="1" ht="16.2" x14ac:dyDescent="0.35">
      <c r="A6" s="878" t="s">
        <v>698</v>
      </c>
      <c r="B6" s="995"/>
      <c r="C6" s="833"/>
      <c r="D6" s="833"/>
      <c r="E6" s="833"/>
      <c r="F6" s="833"/>
      <c r="G6" s="833"/>
      <c r="H6" s="833"/>
      <c r="I6" s="833"/>
      <c r="J6" s="833"/>
      <c r="K6" s="834"/>
      <c r="L6" s="44"/>
    </row>
    <row r="7" spans="1:12" ht="16.2" x14ac:dyDescent="0.35">
      <c r="A7" s="1756" t="s">
        <v>1262</v>
      </c>
      <c r="B7" s="874"/>
      <c r="C7" s="874"/>
      <c r="D7" s="874"/>
      <c r="E7" s="874"/>
      <c r="F7" s="874"/>
      <c r="G7" s="874"/>
      <c r="H7" s="874"/>
      <c r="I7" s="874"/>
      <c r="J7" s="874"/>
      <c r="K7" s="875"/>
    </row>
    <row r="8" spans="1:12" s="167" customFormat="1" x14ac:dyDescent="0.35">
      <c r="A8" s="832" t="s">
        <v>559</v>
      </c>
      <c r="B8" s="833"/>
      <c r="C8" s="833"/>
      <c r="D8" s="833"/>
      <c r="E8" s="833"/>
      <c r="F8" s="833"/>
      <c r="G8" s="833"/>
      <c r="H8" s="833"/>
      <c r="I8" s="833"/>
      <c r="J8" s="833"/>
      <c r="K8" s="834"/>
      <c r="L8" s="44"/>
    </row>
    <row r="9" spans="1:12" ht="16.2" x14ac:dyDescent="0.35">
      <c r="A9" s="1756" t="s">
        <v>1263</v>
      </c>
      <c r="B9" s="874"/>
      <c r="C9" s="874"/>
      <c r="D9" s="874"/>
      <c r="E9" s="874"/>
      <c r="F9" s="874"/>
      <c r="G9" s="874"/>
      <c r="H9" s="874"/>
      <c r="I9" s="874"/>
      <c r="J9" s="874"/>
      <c r="K9" s="875"/>
    </row>
    <row r="10" spans="1:12" s="167" customFormat="1" x14ac:dyDescent="0.35">
      <c r="A10" s="832" t="s">
        <v>560</v>
      </c>
      <c r="B10" s="833"/>
      <c r="C10" s="833"/>
      <c r="D10" s="833"/>
      <c r="E10" s="833"/>
      <c r="F10" s="833"/>
      <c r="G10" s="833"/>
      <c r="H10" s="833"/>
      <c r="I10" s="833"/>
      <c r="J10" s="833"/>
      <c r="K10" s="834"/>
      <c r="L10" s="44"/>
    </row>
    <row r="11" spans="1:12" ht="16.2" x14ac:dyDescent="0.35">
      <c r="A11" s="883"/>
      <c r="B11" s="840"/>
      <c r="C11" s="840"/>
      <c r="D11" s="840"/>
      <c r="E11" s="840"/>
      <c r="F11" s="840"/>
      <c r="G11" s="840"/>
      <c r="H11" s="840"/>
      <c r="I11" s="840"/>
      <c r="J11" s="840"/>
      <c r="K11" s="841"/>
    </row>
    <row r="12" spans="1:12" ht="16.2" x14ac:dyDescent="0.35">
      <c r="A12" s="884"/>
      <c r="B12" s="839"/>
      <c r="C12" s="839"/>
      <c r="D12" s="839"/>
      <c r="E12" s="839"/>
      <c r="F12" s="839"/>
      <c r="G12" s="839"/>
      <c r="H12" s="839"/>
      <c r="I12" s="839"/>
      <c r="J12" s="839"/>
      <c r="K12" s="843"/>
    </row>
    <row r="13" spans="1:12" ht="16.2" x14ac:dyDescent="0.35">
      <c r="A13" s="885"/>
      <c r="B13" s="850"/>
      <c r="C13" s="850"/>
      <c r="D13" s="850"/>
      <c r="E13" s="850"/>
      <c r="F13" s="850"/>
      <c r="G13" s="850"/>
      <c r="H13" s="850"/>
      <c r="I13" s="850"/>
      <c r="J13" s="850"/>
      <c r="K13" s="851"/>
    </row>
    <row r="14" spans="1:12" s="167" customFormat="1" x14ac:dyDescent="0.35">
      <c r="A14" s="832" t="s">
        <v>561</v>
      </c>
      <c r="B14" s="833"/>
      <c r="C14" s="833"/>
      <c r="D14" s="833"/>
      <c r="E14" s="833"/>
      <c r="F14" s="833"/>
      <c r="G14" s="833"/>
      <c r="H14" s="833"/>
      <c r="I14" s="833"/>
      <c r="J14" s="833"/>
      <c r="K14" s="834"/>
      <c r="L14" s="44"/>
    </row>
    <row r="15" spans="1:12" ht="16.2" x14ac:dyDescent="0.35">
      <c r="A15" s="883"/>
      <c r="B15" s="840"/>
      <c r="C15" s="840"/>
      <c r="D15" s="840"/>
      <c r="E15" s="840"/>
      <c r="F15" s="840"/>
      <c r="G15" s="840"/>
      <c r="H15" s="840"/>
      <c r="I15" s="840"/>
      <c r="J15" s="840"/>
      <c r="K15" s="841"/>
    </row>
    <row r="16" spans="1:12" ht="16.2" x14ac:dyDescent="0.35">
      <c r="A16" s="884"/>
      <c r="B16" s="839"/>
      <c r="C16" s="839"/>
      <c r="D16" s="839"/>
      <c r="E16" s="839"/>
      <c r="F16" s="839"/>
      <c r="G16" s="839"/>
      <c r="H16" s="839"/>
      <c r="I16" s="839"/>
      <c r="J16" s="839"/>
      <c r="K16" s="843"/>
    </row>
    <row r="17" spans="1:12" ht="16.2" x14ac:dyDescent="0.35">
      <c r="A17" s="885"/>
      <c r="B17" s="850"/>
      <c r="C17" s="850"/>
      <c r="D17" s="850"/>
      <c r="E17" s="850"/>
      <c r="F17" s="850"/>
      <c r="G17" s="850"/>
      <c r="H17" s="850"/>
      <c r="I17" s="850"/>
      <c r="J17" s="850"/>
      <c r="K17" s="851"/>
    </row>
    <row r="18" spans="1:12" s="167" customFormat="1" x14ac:dyDescent="0.35">
      <c r="A18" s="832" t="s">
        <v>762</v>
      </c>
      <c r="B18" s="833"/>
      <c r="C18" s="833"/>
      <c r="D18" s="833"/>
      <c r="E18" s="833"/>
      <c r="F18" s="833"/>
      <c r="G18" s="833"/>
      <c r="H18" s="833"/>
      <c r="I18" s="833"/>
      <c r="J18" s="833"/>
      <c r="K18" s="834"/>
      <c r="L18" s="44"/>
    </row>
    <row r="19" spans="1:12" x14ac:dyDescent="0.35">
      <c r="A19" s="886"/>
      <c r="B19" s="840"/>
      <c r="C19" s="840"/>
      <c r="D19" s="840"/>
      <c r="E19" s="840"/>
      <c r="F19" s="840"/>
      <c r="G19" s="840"/>
      <c r="H19" s="840"/>
      <c r="I19" s="840"/>
      <c r="J19" s="840"/>
      <c r="K19" s="841"/>
    </row>
    <row r="20" spans="1:12" x14ac:dyDescent="0.35">
      <c r="A20" s="848"/>
      <c r="B20" s="839"/>
      <c r="C20" s="839"/>
      <c r="D20" s="839"/>
      <c r="E20" s="839"/>
      <c r="F20" s="839"/>
      <c r="G20" s="839"/>
      <c r="H20" s="839"/>
      <c r="I20" s="839"/>
      <c r="J20" s="839"/>
      <c r="K20" s="843"/>
    </row>
    <row r="21" spans="1:12" x14ac:dyDescent="0.35">
      <c r="A21" s="849"/>
      <c r="B21" s="850"/>
      <c r="C21" s="850"/>
      <c r="D21" s="850"/>
      <c r="E21" s="850"/>
      <c r="F21" s="850"/>
      <c r="G21" s="850"/>
      <c r="H21" s="850"/>
      <c r="I21" s="850"/>
      <c r="J21" s="850"/>
      <c r="K21" s="851"/>
    </row>
    <row r="22" spans="1:12" x14ac:dyDescent="0.35"/>
    <row r="23" spans="1:12" s="167" customFormat="1" ht="16.2" x14ac:dyDescent="0.35">
      <c r="A23" s="878" t="s">
        <v>757</v>
      </c>
      <c r="B23" s="995"/>
      <c r="C23" s="995"/>
      <c r="D23" s="833"/>
      <c r="E23" s="833"/>
      <c r="F23" s="833"/>
      <c r="G23" s="833"/>
      <c r="H23" s="833"/>
      <c r="I23" s="833"/>
      <c r="J23" s="833"/>
      <c r="K23" s="834"/>
      <c r="L23" s="44"/>
    </row>
    <row r="24" spans="1:12" ht="16.2" x14ac:dyDescent="0.35">
      <c r="A24" s="1756" t="s">
        <v>1303</v>
      </c>
      <c r="B24" s="874"/>
      <c r="C24" s="874"/>
      <c r="D24" s="874"/>
      <c r="E24" s="874"/>
      <c r="F24" s="874"/>
      <c r="G24" s="874"/>
      <c r="H24" s="874"/>
      <c r="I24" s="874"/>
      <c r="J24" s="874"/>
      <c r="K24" s="875"/>
    </row>
    <row r="25" spans="1:12" s="167" customFormat="1" x14ac:dyDescent="0.35">
      <c r="A25" s="832" t="s">
        <v>559</v>
      </c>
      <c r="B25" s="833"/>
      <c r="C25" s="833"/>
      <c r="D25" s="833"/>
      <c r="E25" s="833"/>
      <c r="F25" s="833"/>
      <c r="G25" s="833"/>
      <c r="H25" s="833"/>
      <c r="I25" s="833"/>
      <c r="J25" s="833"/>
      <c r="K25" s="834"/>
      <c r="L25" s="44"/>
    </row>
    <row r="26" spans="1:12" ht="16.2" x14ac:dyDescent="0.35">
      <c r="A26" s="1756" t="s">
        <v>1347</v>
      </c>
      <c r="B26" s="874"/>
      <c r="C26" s="874"/>
      <c r="D26" s="874"/>
      <c r="E26" s="874"/>
      <c r="F26" s="874"/>
      <c r="G26" s="874"/>
      <c r="H26" s="874"/>
      <c r="I26" s="874"/>
      <c r="J26" s="874"/>
      <c r="K26" s="875"/>
    </row>
    <row r="27" spans="1:12" s="167" customFormat="1" x14ac:dyDescent="0.35">
      <c r="A27" s="832" t="s">
        <v>560</v>
      </c>
      <c r="B27" s="833"/>
      <c r="C27" s="833"/>
      <c r="D27" s="833"/>
      <c r="E27" s="833"/>
      <c r="F27" s="833"/>
      <c r="G27" s="833"/>
      <c r="H27" s="833"/>
      <c r="I27" s="833"/>
      <c r="J27" s="833"/>
      <c r="K27" s="834"/>
      <c r="L27" s="44"/>
    </row>
    <row r="28" spans="1:12" ht="16.2" x14ac:dyDescent="0.35">
      <c r="A28" s="883"/>
      <c r="B28" s="840"/>
      <c r="C28" s="840"/>
      <c r="D28" s="840"/>
      <c r="E28" s="840"/>
      <c r="F28" s="840"/>
      <c r="G28" s="840"/>
      <c r="H28" s="840"/>
      <c r="I28" s="840"/>
      <c r="J28" s="840"/>
      <c r="K28" s="841"/>
    </row>
    <row r="29" spans="1:12" ht="16.2" x14ac:dyDescent="0.35">
      <c r="A29" s="884"/>
      <c r="B29" s="839"/>
      <c r="C29" s="839"/>
      <c r="D29" s="839"/>
      <c r="E29" s="839"/>
      <c r="F29" s="839"/>
      <c r="G29" s="839"/>
      <c r="H29" s="839"/>
      <c r="I29" s="839"/>
      <c r="J29" s="839"/>
      <c r="K29" s="843"/>
    </row>
    <row r="30" spans="1:12" ht="16.2" x14ac:dyDescent="0.35">
      <c r="A30" s="885"/>
      <c r="B30" s="850"/>
      <c r="C30" s="850"/>
      <c r="D30" s="850"/>
      <c r="E30" s="850"/>
      <c r="F30" s="850"/>
      <c r="G30" s="850"/>
      <c r="H30" s="850"/>
      <c r="I30" s="850"/>
      <c r="J30" s="850"/>
      <c r="K30" s="851"/>
    </row>
    <row r="31" spans="1:12" s="167" customFormat="1" x14ac:dyDescent="0.35">
      <c r="A31" s="832" t="s">
        <v>561</v>
      </c>
      <c r="B31" s="833"/>
      <c r="C31" s="833"/>
      <c r="D31" s="833"/>
      <c r="E31" s="833"/>
      <c r="F31" s="833"/>
      <c r="G31" s="833"/>
      <c r="H31" s="833"/>
      <c r="I31" s="833"/>
      <c r="J31" s="833"/>
      <c r="K31" s="834"/>
      <c r="L31" s="44"/>
    </row>
    <row r="32" spans="1:12" ht="16.2" x14ac:dyDescent="0.35">
      <c r="A32" s="883"/>
      <c r="B32" s="840"/>
      <c r="C32" s="840"/>
      <c r="D32" s="840"/>
      <c r="E32" s="840"/>
      <c r="F32" s="840"/>
      <c r="G32" s="840"/>
      <c r="H32" s="840"/>
      <c r="I32" s="840"/>
      <c r="J32" s="840"/>
      <c r="K32" s="841"/>
    </row>
    <row r="33" spans="1:12" ht="16.2" x14ac:dyDescent="0.35">
      <c r="A33" s="884"/>
      <c r="B33" s="839"/>
      <c r="C33" s="839"/>
      <c r="D33" s="839"/>
      <c r="E33" s="839"/>
      <c r="F33" s="839"/>
      <c r="G33" s="839"/>
      <c r="H33" s="839"/>
      <c r="I33" s="839"/>
      <c r="J33" s="839"/>
      <c r="K33" s="843"/>
    </row>
    <row r="34" spans="1:12" ht="16.2" x14ac:dyDescent="0.35">
      <c r="A34" s="885"/>
      <c r="B34" s="850"/>
      <c r="C34" s="850"/>
      <c r="D34" s="850"/>
      <c r="E34" s="850"/>
      <c r="F34" s="850"/>
      <c r="G34" s="850"/>
      <c r="H34" s="850"/>
      <c r="I34" s="850"/>
      <c r="J34" s="850"/>
      <c r="K34" s="851"/>
    </row>
    <row r="35" spans="1:12" s="167" customFormat="1" x14ac:dyDescent="0.35">
      <c r="A35" s="832" t="s">
        <v>762</v>
      </c>
      <c r="B35" s="833"/>
      <c r="C35" s="833"/>
      <c r="D35" s="833"/>
      <c r="E35" s="833"/>
      <c r="F35" s="833"/>
      <c r="G35" s="833"/>
      <c r="H35" s="833"/>
      <c r="I35" s="833"/>
      <c r="J35" s="833"/>
      <c r="K35" s="834"/>
      <c r="L35" s="44"/>
    </row>
    <row r="36" spans="1:12" x14ac:dyDescent="0.35">
      <c r="A36" s="886"/>
      <c r="B36" s="840"/>
      <c r="C36" s="840"/>
      <c r="D36" s="840"/>
      <c r="E36" s="840"/>
      <c r="F36" s="840"/>
      <c r="G36" s="840"/>
      <c r="H36" s="840"/>
      <c r="I36" s="840"/>
      <c r="J36" s="840"/>
      <c r="K36" s="841"/>
    </row>
    <row r="37" spans="1:12" x14ac:dyDescent="0.35">
      <c r="A37" s="848"/>
      <c r="B37" s="839"/>
      <c r="C37" s="839"/>
      <c r="D37" s="839"/>
      <c r="E37" s="839"/>
      <c r="F37" s="839"/>
      <c r="G37" s="839"/>
      <c r="H37" s="839"/>
      <c r="I37" s="839"/>
      <c r="J37" s="839"/>
      <c r="K37" s="843"/>
    </row>
    <row r="38" spans="1:12" x14ac:dyDescent="0.35">
      <c r="A38" s="849"/>
      <c r="B38" s="850"/>
      <c r="C38" s="850"/>
      <c r="D38" s="850"/>
      <c r="E38" s="850"/>
      <c r="F38" s="850"/>
      <c r="G38" s="850"/>
      <c r="H38" s="850"/>
      <c r="I38" s="850"/>
      <c r="J38" s="850"/>
      <c r="K38" s="851"/>
    </row>
    <row r="39" spans="1:12" x14ac:dyDescent="0.35"/>
    <row r="40" spans="1:12" s="167" customFormat="1" ht="16.2" x14ac:dyDescent="0.35">
      <c r="A40" s="878" t="s">
        <v>758</v>
      </c>
      <c r="B40" s="995"/>
      <c r="C40" s="995"/>
      <c r="D40" s="833"/>
      <c r="E40" s="833"/>
      <c r="F40" s="833"/>
      <c r="G40" s="833"/>
      <c r="H40" s="833"/>
      <c r="I40" s="833"/>
      <c r="J40" s="833"/>
      <c r="K40" s="834"/>
      <c r="L40" s="44"/>
    </row>
    <row r="41" spans="1:12" ht="16.2" x14ac:dyDescent="0.35">
      <c r="A41" s="2093" t="s">
        <v>1306</v>
      </c>
      <c r="B41" s="2094"/>
      <c r="C41" s="2094"/>
      <c r="D41" s="2094"/>
      <c r="E41" s="2094"/>
      <c r="F41" s="2094"/>
      <c r="G41" s="2094"/>
      <c r="H41" s="2094"/>
      <c r="I41" s="2094"/>
      <c r="J41" s="2094"/>
      <c r="K41" s="2083"/>
    </row>
    <row r="42" spans="1:12" s="167" customFormat="1" x14ac:dyDescent="0.35">
      <c r="A42" s="832" t="s">
        <v>559</v>
      </c>
      <c r="B42" s="833"/>
      <c r="C42" s="833"/>
      <c r="D42" s="833"/>
      <c r="E42" s="833"/>
      <c r="F42" s="833"/>
      <c r="G42" s="833"/>
      <c r="H42" s="833"/>
      <c r="I42" s="833"/>
      <c r="J42" s="833"/>
      <c r="K42" s="834"/>
      <c r="L42" s="44"/>
    </row>
    <row r="43" spans="1:12" ht="16.2" x14ac:dyDescent="0.35">
      <c r="A43" s="2093" t="s">
        <v>1307</v>
      </c>
      <c r="B43" s="2094"/>
      <c r="C43" s="2094"/>
      <c r="D43" s="2094"/>
      <c r="E43" s="2094"/>
      <c r="F43" s="2094"/>
      <c r="G43" s="2094"/>
      <c r="H43" s="2094"/>
      <c r="I43" s="2094"/>
      <c r="J43" s="2094"/>
      <c r="K43" s="2083"/>
    </row>
    <row r="44" spans="1:12" s="167" customFormat="1" x14ac:dyDescent="0.35">
      <c r="A44" s="832" t="s">
        <v>560</v>
      </c>
      <c r="B44" s="833"/>
      <c r="C44" s="833"/>
      <c r="D44" s="833"/>
      <c r="E44" s="833"/>
      <c r="F44" s="833"/>
      <c r="G44" s="833"/>
      <c r="H44" s="833"/>
      <c r="I44" s="833"/>
      <c r="J44" s="833"/>
      <c r="K44" s="834"/>
      <c r="L44" s="44"/>
    </row>
    <row r="45" spans="1:12" x14ac:dyDescent="0.35">
      <c r="A45" s="2095"/>
      <c r="B45" s="2085"/>
      <c r="C45" s="2085"/>
      <c r="D45" s="2085"/>
      <c r="E45" s="2085"/>
      <c r="F45" s="2085"/>
      <c r="G45" s="2085"/>
      <c r="H45" s="2085"/>
      <c r="I45" s="2085"/>
      <c r="J45" s="2085"/>
      <c r="K45" s="2086"/>
    </row>
    <row r="46" spans="1:12" x14ac:dyDescent="0.35">
      <c r="A46" s="2087"/>
      <c r="B46" s="2088"/>
      <c r="C46" s="2088"/>
      <c r="D46" s="2088"/>
      <c r="E46" s="2088"/>
      <c r="F46" s="2088"/>
      <c r="G46" s="2088"/>
      <c r="H46" s="2088"/>
      <c r="I46" s="2088"/>
      <c r="J46" s="2088"/>
      <c r="K46" s="2089"/>
    </row>
    <row r="47" spans="1:12" x14ac:dyDescent="0.35">
      <c r="A47" s="2090"/>
      <c r="B47" s="2091"/>
      <c r="C47" s="2091"/>
      <c r="D47" s="2091"/>
      <c r="E47" s="2091"/>
      <c r="F47" s="2091"/>
      <c r="G47" s="2091"/>
      <c r="H47" s="2091"/>
      <c r="I47" s="2091"/>
      <c r="J47" s="2091"/>
      <c r="K47" s="2092"/>
    </row>
    <row r="48" spans="1:12" s="167" customFormat="1" x14ac:dyDescent="0.35">
      <c r="A48" s="832" t="s">
        <v>561</v>
      </c>
      <c r="B48" s="833"/>
      <c r="C48" s="833"/>
      <c r="D48" s="833"/>
      <c r="E48" s="833"/>
      <c r="F48" s="833"/>
      <c r="G48" s="833"/>
      <c r="H48" s="833"/>
      <c r="I48" s="833"/>
      <c r="J48" s="833"/>
      <c r="K48" s="834"/>
      <c r="L48" s="44"/>
    </row>
    <row r="49" spans="1:12" x14ac:dyDescent="0.35">
      <c r="A49" s="2095"/>
      <c r="B49" s="2085"/>
      <c r="C49" s="2085"/>
      <c r="D49" s="2085"/>
      <c r="E49" s="2085"/>
      <c r="F49" s="2085"/>
      <c r="G49" s="2085"/>
      <c r="H49" s="2085"/>
      <c r="I49" s="2085"/>
      <c r="J49" s="2085"/>
      <c r="K49" s="2086"/>
    </row>
    <row r="50" spans="1:12" x14ac:dyDescent="0.35">
      <c r="A50" s="2087"/>
      <c r="B50" s="2088"/>
      <c r="C50" s="2088"/>
      <c r="D50" s="2088"/>
      <c r="E50" s="2088"/>
      <c r="F50" s="2088"/>
      <c r="G50" s="2088"/>
      <c r="H50" s="2088"/>
      <c r="I50" s="2088"/>
      <c r="J50" s="2088"/>
      <c r="K50" s="2089"/>
    </row>
    <row r="51" spans="1:12" x14ac:dyDescent="0.35">
      <c r="A51" s="2090"/>
      <c r="B51" s="2091"/>
      <c r="C51" s="2091"/>
      <c r="D51" s="2091"/>
      <c r="E51" s="2091"/>
      <c r="F51" s="2091"/>
      <c r="G51" s="2091"/>
      <c r="H51" s="2091"/>
      <c r="I51" s="2091"/>
      <c r="J51" s="2091"/>
      <c r="K51" s="2092"/>
    </row>
    <row r="52" spans="1:12" s="167" customFormat="1" x14ac:dyDescent="0.35">
      <c r="A52" s="832" t="s">
        <v>762</v>
      </c>
      <c r="B52" s="833"/>
      <c r="C52" s="833"/>
      <c r="D52" s="833"/>
      <c r="E52" s="833"/>
      <c r="F52" s="833"/>
      <c r="G52" s="833"/>
      <c r="H52" s="833"/>
      <c r="I52" s="833"/>
      <c r="J52" s="833"/>
      <c r="K52" s="834"/>
      <c r="L52" s="44"/>
    </row>
    <row r="53" spans="1:12" x14ac:dyDescent="0.35">
      <c r="A53" s="2084"/>
      <c r="B53" s="2085"/>
      <c r="C53" s="2085"/>
      <c r="D53" s="2085"/>
      <c r="E53" s="2085"/>
      <c r="F53" s="2085"/>
      <c r="G53" s="2085"/>
      <c r="H53" s="2085"/>
      <c r="I53" s="2085"/>
      <c r="J53" s="2085"/>
      <c r="K53" s="2086"/>
    </row>
    <row r="54" spans="1:12" x14ac:dyDescent="0.35">
      <c r="A54" s="2087"/>
      <c r="B54" s="2088"/>
      <c r="C54" s="2088"/>
      <c r="D54" s="2088"/>
      <c r="E54" s="2088"/>
      <c r="F54" s="2088"/>
      <c r="G54" s="2088"/>
      <c r="H54" s="2088"/>
      <c r="I54" s="2088"/>
      <c r="J54" s="2088"/>
      <c r="K54" s="2089"/>
    </row>
    <row r="55" spans="1:12" x14ac:dyDescent="0.35">
      <c r="A55" s="2090"/>
      <c r="B55" s="2091"/>
      <c r="C55" s="2091"/>
      <c r="D55" s="2091"/>
      <c r="E55" s="2091"/>
      <c r="F55" s="2091"/>
      <c r="G55" s="2091"/>
      <c r="H55" s="2091"/>
      <c r="I55" s="2091"/>
      <c r="J55" s="2091"/>
      <c r="K55" s="2092"/>
    </row>
    <row r="56" spans="1:12" x14ac:dyDescent="0.35"/>
  </sheetData>
  <sheetProtection password="813F" sheet="1" objects="1" scenarios="1" selectLockedCells="1"/>
  <customSheetViews>
    <customSheetView guid="{51165254-F18A-4CD1-9981-8F2DE14CC76C}" showGridLines="0" fitToPage="1" hiddenRows="1" hiddenColumns="1" showRuler="0">
      <selection activeCell="B26" sqref="B26"/>
      <pageMargins left="0.78740157480314965" right="0.78740157480314965" top="0.98425196850393704" bottom="0.98425196850393704" header="0.51181102362204722" footer="0.51181102362204722"/>
      <printOptions horizontalCentered="1" verticalCentered="1"/>
      <pageSetup paperSize="9" scale="59" orientation="portrait" r:id="rId1"/>
      <headerFooter alignWithMargins="0">
        <oddHeader>&amp;L&amp;F</oddHeader>
        <oddFooter xml:space="preserve">&amp;LDAF Dealer Business Plan&amp;CPrint date: &amp;D&amp;R&amp;P/&amp;N | DAF Trucks NV    </oddFooter>
      </headerFooter>
    </customSheetView>
  </customSheetViews>
  <mergeCells count="5">
    <mergeCell ref="A53:K55"/>
    <mergeCell ref="A41:K41"/>
    <mergeCell ref="A43:K43"/>
    <mergeCell ref="A45:K47"/>
    <mergeCell ref="A49:K51"/>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59"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tabColor indexed="11"/>
    <pageSetUpPr fitToPage="1"/>
  </sheetPr>
  <dimension ref="A1:Y68"/>
  <sheetViews>
    <sheetView showGridLines="0" topLeftCell="A11" zoomScale="125" zoomScaleNormal="100" workbookViewId="0">
      <selection activeCell="D17" sqref="D17"/>
    </sheetView>
  </sheetViews>
  <sheetFormatPr baseColWidth="10" defaultColWidth="0" defaultRowHeight="14.4" zeroHeight="1" x14ac:dyDescent="0.35"/>
  <cols>
    <col min="1" max="11" width="15" style="45" customWidth="1"/>
    <col min="12" max="12" width="2" style="44" customWidth="1"/>
    <col min="13" max="25" width="9.109375" style="168" hidden="1" customWidth="1"/>
    <col min="26" max="16384" width="9.109375" style="45" hidden="1"/>
  </cols>
  <sheetData>
    <row r="1" spans="1:11" ht="28.8" x14ac:dyDescent="0.55000000000000004">
      <c r="A1" s="200" t="s">
        <v>675</v>
      </c>
      <c r="B1" s="201"/>
      <c r="C1" s="201"/>
      <c r="D1" s="201"/>
      <c r="E1" s="201"/>
      <c r="F1" s="201"/>
      <c r="G1" s="201"/>
      <c r="H1" s="201"/>
      <c r="I1" s="201"/>
      <c r="J1" s="201"/>
      <c r="K1" s="202" t="s">
        <v>689</v>
      </c>
    </row>
    <row r="2" spans="1:11" ht="22.2" x14ac:dyDescent="0.45">
      <c r="A2" s="236"/>
      <c r="B2" s="237"/>
      <c r="C2" s="237"/>
      <c r="D2" s="237"/>
      <c r="E2" s="237"/>
      <c r="F2" s="237"/>
      <c r="G2" s="237"/>
      <c r="H2" s="237"/>
      <c r="I2" s="237"/>
      <c r="J2" s="237"/>
      <c r="K2" s="79"/>
    </row>
    <row r="3" spans="1:11" x14ac:dyDescent="0.35">
      <c r="A3" s="135" t="s">
        <v>1049</v>
      </c>
      <c r="B3" s="169"/>
      <c r="C3" s="164" t="str">
        <f>'Reference sheet'!C12</f>
        <v>TRUCK INTERNATIONAL MOBILITY SA</v>
      </c>
      <c r="D3" s="171"/>
      <c r="E3" s="172"/>
      <c r="F3" s="136"/>
      <c r="G3" s="175" t="s">
        <v>1037</v>
      </c>
      <c r="H3" s="176" t="str">
        <f>'Reference sheet'!C17</f>
        <v>October</v>
      </c>
      <c r="I3" s="863">
        <f>'Reference sheet'!D17</f>
        <v>2018</v>
      </c>
      <c r="J3" s="175" t="s">
        <v>1036</v>
      </c>
      <c r="K3" s="177">
        <f>'Reference sheet'!C15</f>
        <v>2</v>
      </c>
    </row>
    <row r="4" spans="1:11" x14ac:dyDescent="0.35">
      <c r="A4" s="145"/>
      <c r="B4" s="178"/>
      <c r="C4" s="146"/>
      <c r="D4" s="146"/>
      <c r="E4" s="146"/>
      <c r="F4" s="146"/>
      <c r="G4" s="179"/>
      <c r="H4" s="146"/>
      <c r="I4" s="146"/>
      <c r="J4" s="146"/>
      <c r="K4" s="180"/>
    </row>
    <row r="5" spans="1:11" x14ac:dyDescent="0.35"/>
    <row r="6" spans="1:11" ht="14.25" customHeight="1" x14ac:dyDescent="0.35">
      <c r="A6" s="832" t="s">
        <v>1050</v>
      </c>
      <c r="B6" s="1005"/>
      <c r="C6" s="1006"/>
      <c r="D6" s="995"/>
      <c r="E6" s="1007"/>
      <c r="F6" s="1008"/>
      <c r="G6" s="1009"/>
      <c r="H6" s="1010"/>
      <c r="I6" s="995"/>
      <c r="J6" s="995"/>
      <c r="K6" s="1011"/>
    </row>
    <row r="7" spans="1:11" ht="14.25" customHeight="1" x14ac:dyDescent="0.35">
      <c r="A7" s="886" t="s">
        <v>553</v>
      </c>
      <c r="B7" s="1012"/>
      <c r="C7" s="1757"/>
      <c r="D7" s="2046" t="s">
        <v>1312</v>
      </c>
      <c r="E7" s="1759"/>
      <c r="F7" s="1760"/>
      <c r="G7" s="1761"/>
      <c r="H7" s="1762"/>
      <c r="I7" s="1763"/>
      <c r="J7" s="1763"/>
      <c r="K7" s="1764"/>
    </row>
    <row r="8" spans="1:11" ht="14.25" customHeight="1" x14ac:dyDescent="0.35">
      <c r="A8" s="844"/>
      <c r="B8" s="1014"/>
      <c r="C8" s="1758"/>
      <c r="D8" s="852"/>
      <c r="E8" s="1765"/>
      <c r="F8" s="1766"/>
      <c r="G8" s="1767"/>
      <c r="H8" s="1768"/>
      <c r="I8" s="1769"/>
      <c r="J8" s="1769"/>
      <c r="K8" s="1770"/>
    </row>
    <row r="9" spans="1:11" ht="14.25" customHeight="1" x14ac:dyDescent="0.35">
      <c r="A9" s="848" t="s">
        <v>554</v>
      </c>
      <c r="B9" s="1014"/>
      <c r="C9" s="1758"/>
      <c r="D9" s="852" t="s">
        <v>1264</v>
      </c>
      <c r="E9" s="1765"/>
      <c r="F9" s="1766"/>
      <c r="G9" s="1767"/>
      <c r="H9" s="1768"/>
      <c r="I9" s="1769"/>
      <c r="J9" s="1769"/>
      <c r="K9" s="1770"/>
    </row>
    <row r="10" spans="1:11" ht="14.25" customHeight="1" x14ac:dyDescent="0.35">
      <c r="A10" s="848"/>
      <c r="B10" s="839"/>
      <c r="C10" s="843"/>
      <c r="D10" s="852" t="s">
        <v>1304</v>
      </c>
      <c r="E10" s="852"/>
      <c r="F10" s="852"/>
      <c r="G10" s="852"/>
      <c r="H10" s="852"/>
      <c r="I10" s="852"/>
      <c r="J10" s="852"/>
      <c r="K10" s="857"/>
    </row>
    <row r="11" spans="1:11" ht="14.25" customHeight="1" x14ac:dyDescent="0.35">
      <c r="A11" s="848" t="s">
        <v>555</v>
      </c>
      <c r="B11" s="839"/>
      <c r="C11" s="843"/>
      <c r="D11" s="852" t="s">
        <v>1311</v>
      </c>
      <c r="E11" s="852"/>
      <c r="F11" s="852"/>
      <c r="G11" s="852"/>
      <c r="H11" s="852"/>
      <c r="I11" s="852"/>
      <c r="J11" s="852"/>
      <c r="K11" s="857"/>
    </row>
    <row r="12" spans="1:11" ht="14.25" customHeight="1" x14ac:dyDescent="0.35">
      <c r="A12" s="848"/>
      <c r="B12" s="839"/>
      <c r="C12" s="843"/>
      <c r="D12" s="852"/>
      <c r="E12" s="852"/>
      <c r="F12" s="852"/>
      <c r="G12" s="852"/>
      <c r="H12" s="852"/>
      <c r="I12" s="852"/>
      <c r="J12" s="852"/>
      <c r="K12" s="857"/>
    </row>
    <row r="13" spans="1:11" ht="14.25" customHeight="1" x14ac:dyDescent="0.35">
      <c r="A13" s="848" t="s">
        <v>556</v>
      </c>
      <c r="B13" s="839"/>
      <c r="C13" s="843"/>
      <c r="D13" s="852" t="s">
        <v>1396</v>
      </c>
      <c r="E13" s="852"/>
      <c r="F13" s="852"/>
      <c r="G13" s="852"/>
      <c r="H13" s="852"/>
      <c r="I13" s="852"/>
      <c r="J13" s="852"/>
      <c r="K13" s="857"/>
    </row>
    <row r="14" spans="1:11" ht="14.25" customHeight="1" x14ac:dyDescent="0.35">
      <c r="A14" s="848"/>
      <c r="B14" s="839"/>
      <c r="C14" s="843"/>
      <c r="D14" s="852"/>
      <c r="E14" s="852"/>
      <c r="F14" s="852"/>
      <c r="G14" s="852"/>
      <c r="H14" s="852"/>
      <c r="I14" s="852"/>
      <c r="J14" s="852"/>
      <c r="K14" s="857"/>
    </row>
    <row r="15" spans="1:11" ht="14.25" customHeight="1" x14ac:dyDescent="0.35">
      <c r="A15" s="848" t="s">
        <v>557</v>
      </c>
      <c r="B15" s="839"/>
      <c r="C15" s="843"/>
      <c r="D15" s="852" t="s">
        <v>1313</v>
      </c>
      <c r="E15" s="852"/>
      <c r="F15" s="852"/>
      <c r="G15" s="852"/>
      <c r="H15" s="852"/>
      <c r="I15" s="852"/>
      <c r="J15" s="852"/>
      <c r="K15" s="857"/>
    </row>
    <row r="16" spans="1:11" ht="14.25" customHeight="1" x14ac:dyDescent="0.35">
      <c r="A16" s="848"/>
      <c r="B16" s="839"/>
      <c r="C16" s="843"/>
      <c r="D16" s="852"/>
      <c r="E16" s="852"/>
      <c r="F16" s="852"/>
      <c r="G16" s="852"/>
      <c r="H16" s="852"/>
      <c r="I16" s="852"/>
      <c r="J16" s="852"/>
      <c r="K16" s="857"/>
    </row>
    <row r="17" spans="1:25" ht="14.25" customHeight="1" x14ac:dyDescent="0.35">
      <c r="A17" s="848" t="s">
        <v>558</v>
      </c>
      <c r="B17" s="839"/>
      <c r="C17" s="843"/>
      <c r="D17" s="852" t="s">
        <v>1397</v>
      </c>
      <c r="E17" s="852"/>
      <c r="F17" s="852"/>
      <c r="G17" s="852"/>
      <c r="H17" s="852"/>
      <c r="I17" s="852"/>
      <c r="J17" s="852"/>
      <c r="K17" s="857"/>
    </row>
    <row r="18" spans="1:25" ht="14.25" customHeight="1" x14ac:dyDescent="0.35">
      <c r="A18" s="849"/>
      <c r="B18" s="850"/>
      <c r="C18" s="851"/>
      <c r="D18" s="859" t="s">
        <v>1320</v>
      </c>
      <c r="E18" s="859"/>
      <c r="F18" s="859"/>
      <c r="G18" s="859"/>
      <c r="H18" s="859"/>
      <c r="I18" s="859"/>
      <c r="J18" s="859"/>
      <c r="K18" s="860"/>
    </row>
    <row r="19" spans="1:25" ht="14.25" customHeight="1" x14ac:dyDescent="0.35">
      <c r="A19" s="246"/>
      <c r="B19" s="239"/>
      <c r="C19" s="240"/>
      <c r="D19" s="143"/>
      <c r="E19" s="241"/>
      <c r="F19" s="242"/>
      <c r="G19" s="243"/>
      <c r="H19" s="244"/>
      <c r="I19" s="143"/>
      <c r="J19" s="143"/>
      <c r="K19" s="245"/>
    </row>
    <row r="20" spans="1:25" s="184" customFormat="1" x14ac:dyDescent="0.35">
      <c r="A20" s="832" t="s">
        <v>532</v>
      </c>
      <c r="B20" s="833"/>
      <c r="C20" s="1004"/>
      <c r="D20" s="1004"/>
      <c r="E20" s="1004"/>
      <c r="F20" s="1004"/>
      <c r="G20" s="1004"/>
      <c r="H20" s="1004"/>
      <c r="I20" s="1004"/>
      <c r="J20" s="1004"/>
      <c r="K20" s="1003"/>
      <c r="L20" s="1411"/>
      <c r="M20" s="1002"/>
      <c r="N20" s="1002"/>
      <c r="O20" s="1002"/>
      <c r="P20" s="1002"/>
      <c r="Q20" s="1002"/>
      <c r="R20" s="1002"/>
      <c r="S20" s="1002"/>
      <c r="T20" s="1002"/>
      <c r="U20" s="1002"/>
      <c r="V20" s="1002"/>
      <c r="W20" s="1002"/>
      <c r="X20" s="1002"/>
      <c r="Y20" s="1002"/>
    </row>
    <row r="21" spans="1:25" ht="18" x14ac:dyDescent="0.35">
      <c r="A21" s="996"/>
      <c r="B21" s="840"/>
      <c r="C21" s="997"/>
      <c r="D21" s="997"/>
      <c r="E21" s="997"/>
      <c r="F21" s="997"/>
      <c r="G21" s="997"/>
      <c r="H21" s="997"/>
      <c r="I21" s="997"/>
      <c r="J21" s="997"/>
      <c r="K21" s="998"/>
    </row>
    <row r="22" spans="1:25" x14ac:dyDescent="0.35">
      <c r="A22" s="844"/>
      <c r="B22" s="839"/>
      <c r="C22" s="999"/>
      <c r="D22" s="999"/>
      <c r="E22" s="999"/>
      <c r="F22" s="999"/>
      <c r="G22" s="999"/>
      <c r="H22" s="999"/>
      <c r="I22" s="999"/>
      <c r="J22" s="999"/>
      <c r="K22" s="1000"/>
    </row>
    <row r="23" spans="1:25" x14ac:dyDescent="0.35">
      <c r="A23" s="844"/>
      <c r="B23" s="839"/>
      <c r="C23" s="999"/>
      <c r="D23" s="999"/>
      <c r="E23" s="999"/>
      <c r="F23" s="999"/>
      <c r="G23" s="999"/>
      <c r="H23" s="999"/>
      <c r="I23" s="999"/>
      <c r="J23" s="999"/>
      <c r="K23" s="1000"/>
    </row>
    <row r="24" spans="1:25" x14ac:dyDescent="0.35">
      <c r="A24" s="844"/>
      <c r="B24" s="839"/>
      <c r="C24" s="999"/>
      <c r="D24" s="1001"/>
      <c r="E24" s="999"/>
      <c r="F24" s="999"/>
      <c r="G24" s="999"/>
      <c r="H24" s="999"/>
      <c r="I24" s="999"/>
      <c r="J24" s="999"/>
      <c r="K24" s="1000"/>
    </row>
    <row r="25" spans="1:25" x14ac:dyDescent="0.35">
      <c r="A25" s="848"/>
      <c r="B25" s="839"/>
      <c r="C25" s="839"/>
      <c r="D25" s="839"/>
      <c r="E25" s="839"/>
      <c r="F25" s="839"/>
      <c r="G25" s="839"/>
      <c r="H25" s="839"/>
      <c r="I25" s="839"/>
      <c r="J25" s="839"/>
      <c r="K25" s="843"/>
    </row>
    <row r="26" spans="1:25" x14ac:dyDescent="0.35">
      <c r="A26" s="848"/>
      <c r="B26" s="839"/>
      <c r="C26" s="839"/>
      <c r="D26" s="839"/>
      <c r="E26" s="839"/>
      <c r="F26" s="839"/>
      <c r="G26" s="839"/>
      <c r="H26" s="839"/>
      <c r="I26" s="839"/>
      <c r="J26" s="839"/>
      <c r="K26" s="843"/>
    </row>
    <row r="27" spans="1:25" x14ac:dyDescent="0.35">
      <c r="A27" s="848"/>
      <c r="B27" s="839"/>
      <c r="C27" s="839"/>
      <c r="D27" s="839"/>
      <c r="E27" s="839"/>
      <c r="F27" s="839"/>
      <c r="G27" s="839"/>
      <c r="H27" s="839"/>
      <c r="I27" s="839"/>
      <c r="J27" s="839"/>
      <c r="K27" s="843"/>
    </row>
    <row r="28" spans="1:25" x14ac:dyDescent="0.35">
      <c r="A28" s="848"/>
      <c r="B28" s="839"/>
      <c r="C28" s="839"/>
      <c r="D28" s="839"/>
      <c r="E28" s="839"/>
      <c r="F28" s="839"/>
      <c r="G28" s="839"/>
      <c r="H28" s="839"/>
      <c r="I28" s="839"/>
      <c r="J28" s="839"/>
      <c r="K28" s="843"/>
    </row>
    <row r="29" spans="1:25" x14ac:dyDescent="0.35">
      <c r="A29" s="848"/>
      <c r="B29" s="839"/>
      <c r="C29" s="839"/>
      <c r="D29" s="839"/>
      <c r="E29" s="839"/>
      <c r="F29" s="839"/>
      <c r="G29" s="839"/>
      <c r="H29" s="839"/>
      <c r="I29" s="839"/>
      <c r="J29" s="839"/>
      <c r="K29" s="843"/>
    </row>
    <row r="30" spans="1:25" x14ac:dyDescent="0.35">
      <c r="A30" s="849"/>
      <c r="B30" s="850"/>
      <c r="C30" s="850"/>
      <c r="D30" s="850"/>
      <c r="E30" s="850"/>
      <c r="F30" s="850"/>
      <c r="G30" s="850"/>
      <c r="H30" s="850"/>
      <c r="I30" s="850"/>
      <c r="J30" s="850"/>
      <c r="K30" s="851"/>
    </row>
    <row r="31" spans="1:25" x14ac:dyDescent="0.35">
      <c r="K31" s="148"/>
    </row>
    <row r="32" spans="1:25" x14ac:dyDescent="0.35">
      <c r="A32" s="832" t="s">
        <v>1051</v>
      </c>
      <c r="B32" s="833"/>
      <c r="C32" s="833"/>
      <c r="D32" s="833"/>
      <c r="E32" s="833"/>
      <c r="F32" s="833"/>
      <c r="G32" s="833"/>
      <c r="H32" s="833"/>
      <c r="I32" s="833"/>
      <c r="J32" s="833"/>
      <c r="K32" s="834"/>
    </row>
    <row r="33" spans="1:12" x14ac:dyDescent="0.35">
      <c r="A33" s="886"/>
      <c r="B33" s="840"/>
      <c r="C33" s="840"/>
      <c r="D33" s="840"/>
      <c r="E33" s="840"/>
      <c r="F33" s="840"/>
      <c r="G33" s="840"/>
      <c r="H33" s="840"/>
      <c r="I33" s="840"/>
      <c r="J33" s="840"/>
      <c r="K33" s="841"/>
    </row>
    <row r="34" spans="1:12" x14ac:dyDescent="0.35">
      <c r="A34" s="848"/>
      <c r="B34" s="839"/>
      <c r="C34" s="839"/>
      <c r="D34" s="839"/>
      <c r="E34" s="839"/>
      <c r="F34" s="839"/>
      <c r="G34" s="839"/>
      <c r="H34" s="839"/>
      <c r="I34" s="839"/>
      <c r="J34" s="839"/>
      <c r="K34" s="843"/>
    </row>
    <row r="35" spans="1:12" x14ac:dyDescent="0.35">
      <c r="A35" s="848"/>
      <c r="B35" s="839"/>
      <c r="C35" s="839"/>
      <c r="D35" s="839"/>
      <c r="E35" s="839"/>
      <c r="F35" s="839"/>
      <c r="G35" s="839"/>
      <c r="H35" s="839"/>
      <c r="I35" s="839"/>
      <c r="J35" s="839"/>
      <c r="K35" s="843"/>
    </row>
    <row r="36" spans="1:12" x14ac:dyDescent="0.35">
      <c r="A36" s="849"/>
      <c r="B36" s="850"/>
      <c r="C36" s="850"/>
      <c r="D36" s="850"/>
      <c r="E36" s="850"/>
      <c r="F36" s="850"/>
      <c r="G36" s="850"/>
      <c r="H36" s="850"/>
      <c r="I36" s="850"/>
      <c r="J36" s="850"/>
      <c r="K36" s="851"/>
    </row>
    <row r="37" spans="1:12" x14ac:dyDescent="0.35">
      <c r="K37" s="148"/>
    </row>
    <row r="38" spans="1:12" s="167" customFormat="1" x14ac:dyDescent="0.35">
      <c r="A38" s="832" t="s">
        <v>1052</v>
      </c>
      <c r="B38" s="833"/>
      <c r="C38" s="833"/>
      <c r="D38" s="833"/>
      <c r="E38" s="833"/>
      <c r="F38" s="833"/>
      <c r="G38" s="833"/>
      <c r="H38" s="833"/>
      <c r="I38" s="833"/>
      <c r="J38" s="833"/>
      <c r="K38" s="834"/>
      <c r="L38" s="44"/>
    </row>
    <row r="39" spans="1:12" x14ac:dyDescent="0.35">
      <c r="A39" s="886"/>
      <c r="B39" s="840"/>
      <c r="C39" s="840"/>
      <c r="D39" s="840"/>
      <c r="E39" s="840"/>
      <c r="F39" s="840"/>
      <c r="G39" s="840"/>
      <c r="H39" s="840"/>
      <c r="I39" s="840"/>
      <c r="J39" s="840"/>
      <c r="K39" s="841"/>
    </row>
    <row r="40" spans="1:12" x14ac:dyDescent="0.35">
      <c r="A40" s="848"/>
      <c r="B40" s="839"/>
      <c r="C40" s="839"/>
      <c r="D40" s="839"/>
      <c r="E40" s="839"/>
      <c r="F40" s="839"/>
      <c r="G40" s="839"/>
      <c r="H40" s="839"/>
      <c r="I40" s="839"/>
      <c r="J40" s="839"/>
      <c r="K40" s="843"/>
    </row>
    <row r="41" spans="1:12" x14ac:dyDescent="0.35">
      <c r="A41" s="848"/>
      <c r="B41" s="839"/>
      <c r="C41" s="839"/>
      <c r="D41" s="839"/>
      <c r="E41" s="839"/>
      <c r="F41" s="839"/>
      <c r="G41" s="839"/>
      <c r="H41" s="839"/>
      <c r="I41" s="839"/>
      <c r="J41" s="839"/>
      <c r="K41" s="843"/>
    </row>
    <row r="42" spans="1:12" x14ac:dyDescent="0.35">
      <c r="A42" s="849"/>
      <c r="B42" s="850"/>
      <c r="C42" s="850"/>
      <c r="D42" s="850"/>
      <c r="E42" s="850"/>
      <c r="F42" s="850"/>
      <c r="G42" s="850"/>
      <c r="H42" s="850"/>
      <c r="I42" s="850"/>
      <c r="J42" s="850"/>
      <c r="K42" s="851"/>
    </row>
    <row r="43" spans="1:12" x14ac:dyDescent="0.35"/>
    <row r="44" spans="1:12" x14ac:dyDescent="0.35">
      <c r="A44" s="832" t="s">
        <v>340</v>
      </c>
      <c r="B44" s="833"/>
      <c r="C44" s="833"/>
      <c r="D44" s="833"/>
      <c r="E44" s="833"/>
      <c r="F44" s="833"/>
      <c r="G44" s="833"/>
      <c r="H44" s="833"/>
      <c r="I44" s="833"/>
      <c r="J44" s="833"/>
      <c r="K44" s="834"/>
    </row>
    <row r="45" spans="1:12" x14ac:dyDescent="0.35">
      <c r="A45" s="886"/>
      <c r="B45" s="840"/>
      <c r="C45" s="840"/>
      <c r="D45" s="840"/>
      <c r="E45" s="840"/>
      <c r="F45" s="840"/>
      <c r="G45" s="840"/>
      <c r="H45" s="840"/>
      <c r="I45" s="840"/>
      <c r="J45" s="840"/>
      <c r="K45" s="841"/>
    </row>
    <row r="46" spans="1:12" x14ac:dyDescent="0.35">
      <c r="A46" s="848"/>
      <c r="B46" s="839"/>
      <c r="C46" s="839"/>
      <c r="D46" s="839"/>
      <c r="E46" s="839"/>
      <c r="F46" s="839"/>
      <c r="G46" s="839"/>
      <c r="H46" s="839"/>
      <c r="I46" s="839"/>
      <c r="J46" s="839"/>
      <c r="K46" s="843"/>
    </row>
    <row r="47" spans="1:12" x14ac:dyDescent="0.35">
      <c r="A47" s="848"/>
      <c r="B47" s="839"/>
      <c r="C47" s="839"/>
      <c r="D47" s="839"/>
      <c r="E47" s="839"/>
      <c r="F47" s="839"/>
      <c r="G47" s="839"/>
      <c r="H47" s="839"/>
      <c r="I47" s="839"/>
      <c r="J47" s="839"/>
      <c r="K47" s="843"/>
    </row>
    <row r="48" spans="1:12" x14ac:dyDescent="0.35">
      <c r="A48" s="848"/>
      <c r="B48" s="839"/>
      <c r="C48" s="839"/>
      <c r="D48" s="839"/>
      <c r="E48" s="839"/>
      <c r="F48" s="839"/>
      <c r="G48" s="839"/>
      <c r="H48" s="839"/>
      <c r="I48" s="839"/>
      <c r="J48" s="839"/>
      <c r="K48" s="843"/>
    </row>
    <row r="49" spans="1:11" x14ac:dyDescent="0.35">
      <c r="A49" s="848"/>
      <c r="B49" s="839"/>
      <c r="C49" s="839"/>
      <c r="D49" s="839"/>
      <c r="E49" s="839"/>
      <c r="F49" s="839"/>
      <c r="G49" s="839"/>
      <c r="H49" s="839"/>
      <c r="I49" s="839"/>
      <c r="J49" s="839"/>
      <c r="K49" s="843"/>
    </row>
    <row r="50" spans="1:11" x14ac:dyDescent="0.35">
      <c r="A50" s="848"/>
      <c r="B50" s="839"/>
      <c r="C50" s="839"/>
      <c r="D50" s="839"/>
      <c r="E50" s="839"/>
      <c r="F50" s="839"/>
      <c r="G50" s="839"/>
      <c r="H50" s="839"/>
      <c r="I50" s="839"/>
      <c r="J50" s="839"/>
      <c r="K50" s="843"/>
    </row>
    <row r="51" spans="1:11" x14ac:dyDescent="0.35">
      <c r="A51" s="848"/>
      <c r="B51" s="839"/>
      <c r="C51" s="839"/>
      <c r="D51" s="839"/>
      <c r="E51" s="839"/>
      <c r="F51" s="839"/>
      <c r="G51" s="839"/>
      <c r="H51" s="839"/>
      <c r="I51" s="839"/>
      <c r="J51" s="839"/>
      <c r="K51" s="843"/>
    </row>
    <row r="52" spans="1:11" x14ac:dyDescent="0.35">
      <c r="A52" s="848"/>
      <c r="B52" s="839"/>
      <c r="C52" s="839"/>
      <c r="D52" s="839"/>
      <c r="E52" s="839"/>
      <c r="F52" s="839"/>
      <c r="G52" s="839"/>
      <c r="H52" s="839"/>
      <c r="I52" s="839"/>
      <c r="J52" s="839"/>
      <c r="K52" s="843"/>
    </row>
    <row r="53" spans="1:11" x14ac:dyDescent="0.35">
      <c r="A53" s="848"/>
      <c r="B53" s="839"/>
      <c r="C53" s="839"/>
      <c r="D53" s="839"/>
      <c r="E53" s="839"/>
      <c r="F53" s="839"/>
      <c r="G53" s="839"/>
      <c r="H53" s="839"/>
      <c r="I53" s="839"/>
      <c r="J53" s="839"/>
      <c r="K53" s="843"/>
    </row>
    <row r="54" spans="1:11" x14ac:dyDescent="0.35">
      <c r="A54" s="848"/>
      <c r="B54" s="839"/>
      <c r="C54" s="839"/>
      <c r="D54" s="839"/>
      <c r="E54" s="839"/>
      <c r="F54" s="839"/>
      <c r="G54" s="839"/>
      <c r="H54" s="839"/>
      <c r="I54" s="839"/>
      <c r="J54" s="839"/>
      <c r="K54" s="843"/>
    </row>
    <row r="55" spans="1:11" x14ac:dyDescent="0.35">
      <c r="A55" s="848"/>
      <c r="B55" s="839"/>
      <c r="C55" s="839"/>
      <c r="D55" s="839"/>
      <c r="E55" s="839"/>
      <c r="F55" s="839"/>
      <c r="G55" s="839"/>
      <c r="H55" s="839"/>
      <c r="I55" s="839"/>
      <c r="J55" s="839"/>
      <c r="K55" s="843"/>
    </row>
    <row r="56" spans="1:11" x14ac:dyDescent="0.35">
      <c r="A56" s="848"/>
      <c r="B56" s="839"/>
      <c r="C56" s="839"/>
      <c r="D56" s="839"/>
      <c r="E56" s="839"/>
      <c r="F56" s="839"/>
      <c r="G56" s="839"/>
      <c r="H56" s="839"/>
      <c r="I56" s="839"/>
      <c r="J56" s="839"/>
      <c r="K56" s="843"/>
    </row>
    <row r="57" spans="1:11" x14ac:dyDescent="0.35">
      <c r="A57" s="848"/>
      <c r="B57" s="839"/>
      <c r="C57" s="839"/>
      <c r="D57" s="839"/>
      <c r="E57" s="839"/>
      <c r="F57" s="839"/>
      <c r="G57" s="839"/>
      <c r="H57" s="839"/>
      <c r="I57" s="839"/>
      <c r="J57" s="839"/>
      <c r="K57" s="843"/>
    </row>
    <row r="58" spans="1:11" x14ac:dyDescent="0.35">
      <c r="A58" s="848"/>
      <c r="B58" s="839"/>
      <c r="C58" s="839"/>
      <c r="D58" s="839"/>
      <c r="E58" s="839"/>
      <c r="F58" s="839"/>
      <c r="G58" s="839"/>
      <c r="H58" s="839"/>
      <c r="I58" s="839"/>
      <c r="J58" s="839"/>
      <c r="K58" s="843"/>
    </row>
    <row r="59" spans="1:11" x14ac:dyDescent="0.35">
      <c r="A59" s="848"/>
      <c r="B59" s="839"/>
      <c r="C59" s="839"/>
      <c r="D59" s="839"/>
      <c r="E59" s="839"/>
      <c r="F59" s="839"/>
      <c r="G59" s="839"/>
      <c r="H59" s="839"/>
      <c r="I59" s="839"/>
      <c r="J59" s="839"/>
      <c r="K59" s="843"/>
    </row>
    <row r="60" spans="1:11" x14ac:dyDescent="0.35">
      <c r="A60" s="848"/>
      <c r="B60" s="839"/>
      <c r="C60" s="839"/>
      <c r="D60" s="839"/>
      <c r="E60" s="839"/>
      <c r="F60" s="839"/>
      <c r="G60" s="839"/>
      <c r="H60" s="839"/>
      <c r="I60" s="839"/>
      <c r="J60" s="839"/>
      <c r="K60" s="843"/>
    </row>
    <row r="61" spans="1:11" x14ac:dyDescent="0.35">
      <c r="A61" s="848"/>
      <c r="B61" s="839"/>
      <c r="C61" s="839"/>
      <c r="D61" s="839"/>
      <c r="E61" s="839"/>
      <c r="F61" s="839"/>
      <c r="G61" s="839"/>
      <c r="H61" s="839"/>
      <c r="I61" s="839"/>
      <c r="J61" s="839"/>
      <c r="K61" s="843"/>
    </row>
    <row r="62" spans="1:11" x14ac:dyDescent="0.35">
      <c r="A62" s="848"/>
      <c r="B62" s="839"/>
      <c r="C62" s="839"/>
      <c r="D62" s="839"/>
      <c r="E62" s="839"/>
      <c r="F62" s="839"/>
      <c r="G62" s="839"/>
      <c r="H62" s="839"/>
      <c r="I62" s="839"/>
      <c r="J62" s="839"/>
      <c r="K62" s="843"/>
    </row>
    <row r="63" spans="1:11" x14ac:dyDescent="0.35">
      <c r="A63" s="848"/>
      <c r="B63" s="839"/>
      <c r="C63" s="839"/>
      <c r="D63" s="839"/>
      <c r="E63" s="839"/>
      <c r="F63" s="839"/>
      <c r="G63" s="839"/>
      <c r="H63" s="839"/>
      <c r="I63" s="839"/>
      <c r="J63" s="839"/>
      <c r="K63" s="843"/>
    </row>
    <row r="64" spans="1:11" x14ac:dyDescent="0.35">
      <c r="A64" s="848"/>
      <c r="B64" s="839"/>
      <c r="C64" s="839"/>
      <c r="D64" s="839"/>
      <c r="E64" s="839"/>
      <c r="F64" s="839"/>
      <c r="G64" s="839"/>
      <c r="H64" s="839"/>
      <c r="I64" s="839"/>
      <c r="J64" s="839"/>
      <c r="K64" s="843"/>
    </row>
    <row r="65" spans="1:11" x14ac:dyDescent="0.35">
      <c r="A65" s="849"/>
      <c r="B65" s="850"/>
      <c r="C65" s="850"/>
      <c r="D65" s="850"/>
      <c r="E65" s="850"/>
      <c r="F65" s="850"/>
      <c r="G65" s="850"/>
      <c r="H65" s="850"/>
      <c r="I65" s="850"/>
      <c r="J65" s="850"/>
      <c r="K65" s="851"/>
    </row>
    <row r="66" spans="1:11" hidden="1" x14ac:dyDescent="0.35"/>
    <row r="67" spans="1:11" hidden="1" x14ac:dyDescent="0.35"/>
    <row r="68" spans="1:11" x14ac:dyDescent="0.35"/>
  </sheetData>
  <sheetProtection password="813F" sheet="1" objects="1" scenarios="1" selectLockedCells="1"/>
  <customSheetViews>
    <customSheetView guid="{51165254-F18A-4CD1-9981-8F2DE14CC76C}" showGridLines="0" fitToPage="1" hiddenRows="1" hiddenColumns="1" showRuler="0" topLeftCell="A22">
      <selection activeCell="D9" sqref="D9:F9"/>
      <pageMargins left="0.78740157480314965" right="0.78740157480314965" top="0.98425196850393704" bottom="0.98425196850393704" header="0.51181102362204722" footer="0.51181102362204722"/>
      <printOptions horizontalCentered="1" verticalCentered="1"/>
      <pageSetup paperSize="9" scale="52"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2"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8">
    <pageSetUpPr fitToPage="1"/>
  </sheetPr>
  <dimension ref="A1:IP140"/>
  <sheetViews>
    <sheetView showGridLines="0" topLeftCell="A4" zoomScale="120" zoomScaleNormal="120" workbookViewId="0">
      <selection activeCell="I19" sqref="I19:J19"/>
    </sheetView>
  </sheetViews>
  <sheetFormatPr baseColWidth="10" defaultColWidth="0" defaultRowHeight="14.4" zeroHeight="1" x14ac:dyDescent="0.35"/>
  <cols>
    <col min="1" max="1" width="2.6640625" style="135" customWidth="1"/>
    <col min="2" max="2" width="11.44140625" style="136" customWidth="1"/>
    <col min="3" max="4" width="2.6640625" style="76" customWidth="1"/>
    <col min="5" max="20" width="7.33203125" style="136" customWidth="1"/>
    <col min="21" max="21" width="11" style="136" customWidth="1"/>
    <col min="22" max="22" width="5.109375" style="136" customWidth="1"/>
    <col min="23" max="23" width="3.33203125" style="79" customWidth="1"/>
    <col min="24" max="24" width="0.44140625" style="45" customWidth="1"/>
    <col min="25" max="250" width="9.109375" style="45" hidden="1" customWidth="1"/>
    <col min="251" max="16384" width="0" style="45" hidden="1"/>
  </cols>
  <sheetData>
    <row r="1" spans="1:24" x14ac:dyDescent="0.35">
      <c r="A1" s="41"/>
      <c r="B1" s="42"/>
      <c r="C1" s="42"/>
      <c r="D1" s="42"/>
      <c r="E1" s="42"/>
      <c r="F1" s="42"/>
      <c r="G1" s="42"/>
      <c r="H1" s="42"/>
      <c r="I1" s="42"/>
      <c r="J1" s="42"/>
      <c r="K1" s="42"/>
      <c r="L1" s="42"/>
      <c r="M1" s="42"/>
      <c r="N1" s="42"/>
      <c r="O1" s="42"/>
      <c r="P1" s="42"/>
      <c r="Q1" s="42"/>
      <c r="R1" s="42"/>
      <c r="S1" s="42"/>
      <c r="T1" s="42"/>
      <c r="U1" s="42"/>
      <c r="V1" s="42"/>
      <c r="W1" s="43"/>
      <c r="X1" s="44"/>
    </row>
    <row r="2" spans="1:24" ht="34.5" customHeight="1" x14ac:dyDescent="0.35">
      <c r="A2" s="46"/>
      <c r="B2" s="47"/>
      <c r="C2" s="47"/>
      <c r="D2" s="47"/>
      <c r="E2" s="47"/>
      <c r="F2" s="47"/>
      <c r="G2" s="47"/>
      <c r="H2" s="47"/>
      <c r="I2" s="47"/>
      <c r="J2" s="47"/>
      <c r="K2" s="47"/>
      <c r="L2" s="47"/>
      <c r="M2" s="47"/>
      <c r="N2" s="47"/>
      <c r="O2" s="47"/>
      <c r="P2" s="47"/>
      <c r="Q2" s="47"/>
      <c r="R2" s="47"/>
      <c r="S2" s="47"/>
      <c r="T2" s="47"/>
      <c r="U2" s="1570"/>
      <c r="V2" s="47"/>
      <c r="W2" s="48"/>
      <c r="X2" s="44"/>
    </row>
    <row r="3" spans="1:24" ht="28.8" x14ac:dyDescent="0.55000000000000004">
      <c r="A3" s="1852" t="s">
        <v>676</v>
      </c>
      <c r="B3" s="1848"/>
      <c r="C3" s="1848"/>
      <c r="D3" s="1848"/>
      <c r="E3" s="1848"/>
      <c r="F3" s="1848"/>
      <c r="G3" s="1848"/>
      <c r="H3" s="1848"/>
      <c r="I3" s="1848"/>
      <c r="J3" s="1848"/>
      <c r="K3" s="1848"/>
      <c r="L3" s="1848"/>
      <c r="M3" s="1848"/>
      <c r="N3" s="1848"/>
      <c r="O3" s="1848"/>
      <c r="P3" s="1848"/>
      <c r="Q3" s="1848"/>
      <c r="R3" s="1848"/>
      <c r="S3" s="1848"/>
      <c r="T3" s="1848"/>
      <c r="U3" s="819"/>
      <c r="V3" s="1447" t="s">
        <v>310</v>
      </c>
      <c r="W3" s="1849"/>
      <c r="X3" s="44"/>
    </row>
    <row r="4" spans="1:24" ht="15" customHeight="1" x14ac:dyDescent="0.35">
      <c r="X4" s="44"/>
    </row>
    <row r="5" spans="1:24" s="184" customFormat="1" ht="18" x14ac:dyDescent="0.35">
      <c r="A5" s="1475"/>
      <c r="B5" s="1427" t="s">
        <v>549</v>
      </c>
      <c r="C5" s="1433"/>
      <c r="D5" s="1433"/>
      <c r="E5" s="1433"/>
      <c r="F5" s="1433"/>
      <c r="G5" s="1433"/>
      <c r="H5" s="1433"/>
      <c r="I5" s="1433"/>
      <c r="J5" s="1427"/>
      <c r="K5" s="1433"/>
      <c r="L5" s="1429"/>
      <c r="M5" s="1429"/>
      <c r="N5" s="1429"/>
      <c r="O5" s="1430"/>
      <c r="P5" s="1430"/>
      <c r="Q5" s="1430"/>
      <c r="R5" s="1430"/>
      <c r="S5" s="1430"/>
      <c r="T5" s="1430"/>
      <c r="U5" s="1430"/>
      <c r="V5" s="1430"/>
      <c r="W5" s="1431"/>
      <c r="X5" s="1411"/>
    </row>
    <row r="6" spans="1:24" s="136" customFormat="1" ht="18" x14ac:dyDescent="0.35">
      <c r="A6" s="221"/>
      <c r="B6" s="1869"/>
      <c r="C6" s="1870"/>
      <c r="D6" s="1870"/>
      <c r="E6" s="1870"/>
      <c r="F6" s="1870"/>
      <c r="G6" s="1870"/>
      <c r="H6" s="1870"/>
      <c r="I6" s="1870"/>
      <c r="J6" s="1869"/>
      <c r="K6" s="1870"/>
      <c r="L6" s="12"/>
      <c r="M6" s="12"/>
      <c r="N6" s="12"/>
      <c r="O6" s="171"/>
      <c r="P6" s="171"/>
      <c r="Q6" s="171"/>
      <c r="R6" s="171"/>
      <c r="S6" s="171"/>
      <c r="T6" s="171"/>
      <c r="U6" s="171"/>
      <c r="V6" s="171"/>
      <c r="W6" s="335"/>
      <c r="X6" s="76"/>
    </row>
    <row r="7" spans="1:24" x14ac:dyDescent="0.35">
      <c r="E7" s="2117" t="s">
        <v>1225</v>
      </c>
      <c r="F7" s="2118"/>
      <c r="G7" s="2118"/>
      <c r="H7" s="2118"/>
      <c r="I7" s="2118"/>
      <c r="J7" s="2118"/>
      <c r="K7" s="2118"/>
      <c r="L7" s="2118"/>
      <c r="M7" s="2118"/>
      <c r="N7" s="2118"/>
      <c r="O7" s="2118"/>
      <c r="P7" s="2119"/>
      <c r="Q7" s="2119"/>
      <c r="R7" s="2119"/>
      <c r="S7" s="2119"/>
      <c r="T7" s="2120"/>
      <c r="X7" s="44"/>
    </row>
    <row r="8" spans="1:24" x14ac:dyDescent="0.35">
      <c r="B8" s="50"/>
      <c r="C8" s="52"/>
      <c r="D8" s="136"/>
      <c r="E8" s="2102" t="s">
        <v>238</v>
      </c>
      <c r="F8" s="2103"/>
      <c r="G8" s="2103"/>
      <c r="H8" s="2103"/>
      <c r="I8" s="2103"/>
      <c r="J8" s="2104"/>
      <c r="K8" s="2111" t="s">
        <v>1220</v>
      </c>
      <c r="L8" s="2112"/>
      <c r="M8" s="2112"/>
      <c r="N8" s="2112"/>
      <c r="O8" s="2112"/>
      <c r="P8" s="2112"/>
      <c r="Q8" s="2112"/>
      <c r="R8" s="2112"/>
      <c r="S8" s="2112"/>
      <c r="T8" s="2070"/>
      <c r="X8" s="44"/>
    </row>
    <row r="9" spans="1:24" x14ac:dyDescent="0.35">
      <c r="B9" s="55" t="s">
        <v>983</v>
      </c>
      <c r="C9" s="51"/>
      <c r="D9" s="136"/>
      <c r="E9" s="2100">
        <f>G9-1</f>
        <v>2016</v>
      </c>
      <c r="F9" s="2101"/>
      <c r="G9" s="2100">
        <f>I9-1</f>
        <v>2017</v>
      </c>
      <c r="H9" s="2101"/>
      <c r="I9" s="2100">
        <f>K9-1</f>
        <v>2018</v>
      </c>
      <c r="J9" s="2101"/>
      <c r="K9" s="2107">
        <f>K40</f>
        <v>2019</v>
      </c>
      <c r="L9" s="2108"/>
      <c r="M9" s="2107">
        <f>K9+1</f>
        <v>2020</v>
      </c>
      <c r="N9" s="2108">
        <f>K9+1</f>
        <v>2020</v>
      </c>
      <c r="O9" s="2107">
        <f>M9+1</f>
        <v>2021</v>
      </c>
      <c r="P9" s="2108">
        <f>M9+1</f>
        <v>2021</v>
      </c>
      <c r="Q9" s="2107">
        <f>O9+1</f>
        <v>2022</v>
      </c>
      <c r="R9" s="2108">
        <f>O9+1</f>
        <v>2022</v>
      </c>
      <c r="S9" s="2107">
        <f>Q9+1</f>
        <v>2023</v>
      </c>
      <c r="T9" s="2108">
        <f>Q9+1</f>
        <v>2023</v>
      </c>
      <c r="X9" s="44"/>
    </row>
    <row r="10" spans="1:24" x14ac:dyDescent="0.35">
      <c r="B10" s="1270" t="s">
        <v>984</v>
      </c>
      <c r="C10" s="60"/>
      <c r="D10" s="136"/>
      <c r="E10" s="2105">
        <v>607</v>
      </c>
      <c r="F10" s="2106"/>
      <c r="G10" s="2105">
        <v>820</v>
      </c>
      <c r="H10" s="2106"/>
      <c r="I10" s="2105">
        <v>600</v>
      </c>
      <c r="J10" s="2106"/>
      <c r="K10" s="2105">
        <v>420</v>
      </c>
      <c r="L10" s="2106"/>
      <c r="M10" s="2105">
        <v>500</v>
      </c>
      <c r="N10" s="2106"/>
      <c r="O10" s="2105">
        <v>600</v>
      </c>
      <c r="P10" s="2106"/>
      <c r="Q10" s="2105">
        <v>700</v>
      </c>
      <c r="R10" s="2106"/>
      <c r="S10" s="2105">
        <v>800</v>
      </c>
      <c r="T10" s="2106"/>
      <c r="X10" s="44"/>
    </row>
    <row r="11" spans="1:24" x14ac:dyDescent="0.35">
      <c r="B11" s="1040" t="s">
        <v>985</v>
      </c>
      <c r="C11" s="60"/>
      <c r="D11" s="136"/>
      <c r="E11" s="2098">
        <v>1325</v>
      </c>
      <c r="F11" s="2099"/>
      <c r="G11" s="2098">
        <v>1772</v>
      </c>
      <c r="H11" s="2099"/>
      <c r="I11" s="2098">
        <v>900</v>
      </c>
      <c r="J11" s="2099"/>
      <c r="K11" s="2098">
        <v>730</v>
      </c>
      <c r="L11" s="2099"/>
      <c r="M11" s="2098">
        <v>910</v>
      </c>
      <c r="N11" s="2099"/>
      <c r="O11" s="2098">
        <v>1250</v>
      </c>
      <c r="P11" s="2099"/>
      <c r="Q11" s="2098">
        <v>1400</v>
      </c>
      <c r="R11" s="2099"/>
      <c r="S11" s="2098">
        <v>1535</v>
      </c>
      <c r="T11" s="2099"/>
      <c r="X11" s="44"/>
    </row>
    <row r="12" spans="1:24" x14ac:dyDescent="0.35">
      <c r="B12" s="1489" t="s">
        <v>1056</v>
      </c>
      <c r="C12" s="60"/>
      <c r="D12" s="136"/>
      <c r="E12" s="2096">
        <f>SUM(E10:E11)</f>
        <v>1932</v>
      </c>
      <c r="F12" s="2097"/>
      <c r="G12" s="2096">
        <f>SUM(G10:G11)</f>
        <v>2592</v>
      </c>
      <c r="H12" s="2097"/>
      <c r="I12" s="2096">
        <f>SUM(I10:I11)</f>
        <v>1500</v>
      </c>
      <c r="J12" s="2097"/>
      <c r="K12" s="2096">
        <f>SUM(K10:K11)</f>
        <v>1150</v>
      </c>
      <c r="L12" s="2097"/>
      <c r="M12" s="2096">
        <f>SUM(M10:M11)</f>
        <v>1410</v>
      </c>
      <c r="N12" s="2097"/>
      <c r="O12" s="2096">
        <f>SUM(O10:O11)</f>
        <v>1850</v>
      </c>
      <c r="P12" s="2097"/>
      <c r="Q12" s="2096">
        <f>SUM(Q10:Q11)</f>
        <v>2100</v>
      </c>
      <c r="R12" s="2097"/>
      <c r="S12" s="2096">
        <f>SUM(S10:S11)</f>
        <v>2335</v>
      </c>
      <c r="T12" s="2097"/>
      <c r="X12" s="44"/>
    </row>
    <row r="13" spans="1:24" x14ac:dyDescent="0.35">
      <c r="X13" s="44"/>
    </row>
    <row r="14" spans="1:24" ht="18" x14ac:dyDescent="0.35">
      <c r="A14" s="1475"/>
      <c r="B14" s="1427" t="s">
        <v>1221</v>
      </c>
      <c r="C14" s="1433"/>
      <c r="D14" s="1433"/>
      <c r="E14" s="1433"/>
      <c r="F14" s="1433"/>
      <c r="G14" s="1433"/>
      <c r="H14" s="1433"/>
      <c r="I14" s="1433"/>
      <c r="J14" s="1427"/>
      <c r="K14" s="1433"/>
      <c r="L14" s="1429"/>
      <c r="M14" s="1429"/>
      <c r="N14" s="1429"/>
      <c r="O14" s="1430"/>
      <c r="P14" s="1430"/>
      <c r="Q14" s="1430"/>
      <c r="R14" s="1430"/>
      <c r="S14" s="1430"/>
      <c r="T14" s="1430"/>
      <c r="U14" s="1430"/>
      <c r="V14" s="1430"/>
      <c r="W14" s="1431"/>
      <c r="X14" s="44"/>
    </row>
    <row r="15" spans="1:24" ht="18" x14ac:dyDescent="0.35">
      <c r="A15" s="221"/>
      <c r="B15" s="1869"/>
      <c r="C15" s="1870"/>
      <c r="D15" s="1870"/>
      <c r="E15" s="1870"/>
      <c r="F15" s="1870"/>
      <c r="G15" s="1870"/>
      <c r="H15" s="1870"/>
      <c r="I15" s="1870"/>
      <c r="J15" s="1869"/>
      <c r="K15" s="1870"/>
      <c r="L15" s="12"/>
      <c r="M15" s="12"/>
      <c r="N15" s="12"/>
      <c r="O15" s="171"/>
      <c r="P15" s="171"/>
      <c r="Q15" s="171"/>
      <c r="R15" s="171"/>
      <c r="S15" s="171"/>
      <c r="T15" s="171"/>
      <c r="U15" s="171"/>
      <c r="V15" s="171"/>
      <c r="W15" s="335"/>
      <c r="X15" s="44"/>
    </row>
    <row r="16" spans="1:24" x14ac:dyDescent="0.35">
      <c r="E16" s="2117" t="s">
        <v>1225</v>
      </c>
      <c r="F16" s="2118"/>
      <c r="G16" s="2118"/>
      <c r="H16" s="2118"/>
      <c r="I16" s="2118"/>
      <c r="J16" s="2118"/>
      <c r="K16" s="2118"/>
      <c r="L16" s="2118"/>
      <c r="M16" s="2118"/>
      <c r="N16" s="2118"/>
      <c r="O16" s="2118"/>
      <c r="P16" s="2119"/>
      <c r="Q16" s="2119"/>
      <c r="R16" s="2119"/>
      <c r="S16" s="2119"/>
      <c r="T16" s="2120"/>
      <c r="X16" s="44"/>
    </row>
    <row r="17" spans="1:24" x14ac:dyDescent="0.35">
      <c r="B17" s="50"/>
      <c r="C17" s="52"/>
      <c r="D17" s="136"/>
      <c r="E17" s="2102" t="s">
        <v>238</v>
      </c>
      <c r="F17" s="2103"/>
      <c r="G17" s="2103"/>
      <c r="H17" s="2103"/>
      <c r="I17" s="2103"/>
      <c r="J17" s="2104"/>
      <c r="K17" s="2111" t="s">
        <v>1219</v>
      </c>
      <c r="L17" s="2112"/>
      <c r="M17" s="2112"/>
      <c r="N17" s="2112"/>
      <c r="O17" s="2112"/>
      <c r="P17" s="2112"/>
      <c r="Q17" s="2112"/>
      <c r="R17" s="2112"/>
      <c r="S17" s="2112"/>
      <c r="T17" s="2070"/>
      <c r="X17" s="44"/>
    </row>
    <row r="18" spans="1:24" x14ac:dyDescent="0.35">
      <c r="B18" s="55" t="s">
        <v>983</v>
      </c>
      <c r="C18" s="51"/>
      <c r="D18" s="136"/>
      <c r="E18" s="2100">
        <f>G18-1</f>
        <v>2016</v>
      </c>
      <c r="F18" s="2101"/>
      <c r="G18" s="2100">
        <f>I18-1</f>
        <v>2017</v>
      </c>
      <c r="H18" s="2101"/>
      <c r="I18" s="2100">
        <f>K18-1</f>
        <v>2018</v>
      </c>
      <c r="J18" s="2101"/>
      <c r="K18" s="2107">
        <f>K40</f>
        <v>2019</v>
      </c>
      <c r="L18" s="2108"/>
      <c r="M18" s="2107">
        <f>K18+1</f>
        <v>2020</v>
      </c>
      <c r="N18" s="2108">
        <f>K18+1</f>
        <v>2020</v>
      </c>
      <c r="O18" s="2107">
        <f>M18+1</f>
        <v>2021</v>
      </c>
      <c r="P18" s="2108">
        <f>M18+1</f>
        <v>2021</v>
      </c>
      <c r="Q18" s="2107">
        <f>O18+1</f>
        <v>2022</v>
      </c>
      <c r="R18" s="2108">
        <f>O18+1</f>
        <v>2022</v>
      </c>
      <c r="S18" s="2107">
        <f>Q18+1</f>
        <v>2023</v>
      </c>
      <c r="T18" s="2108">
        <f>Q18+1</f>
        <v>2023</v>
      </c>
      <c r="X18" s="44"/>
    </row>
    <row r="19" spans="1:24" x14ac:dyDescent="0.35">
      <c r="B19" s="1270" t="s">
        <v>984</v>
      </c>
      <c r="C19" s="60"/>
      <c r="D19" s="136"/>
      <c r="E19" s="2105">
        <v>607</v>
      </c>
      <c r="F19" s="2106"/>
      <c r="G19" s="2105">
        <v>820</v>
      </c>
      <c r="H19" s="2106"/>
      <c r="I19" s="2105">
        <v>600</v>
      </c>
      <c r="J19" s="2106"/>
      <c r="K19" s="2105">
        <v>420</v>
      </c>
      <c r="L19" s="2106"/>
      <c r="M19" s="2105">
        <v>500</v>
      </c>
      <c r="N19" s="2106"/>
      <c r="O19" s="2105">
        <v>600</v>
      </c>
      <c r="P19" s="2106"/>
      <c r="Q19" s="2105">
        <v>700</v>
      </c>
      <c r="R19" s="2106"/>
      <c r="S19" s="2105">
        <v>800</v>
      </c>
      <c r="T19" s="2106"/>
      <c r="X19" s="44"/>
    </row>
    <row r="20" spans="1:24" x14ac:dyDescent="0.35">
      <c r="B20" s="1040" t="s">
        <v>985</v>
      </c>
      <c r="C20" s="60"/>
      <c r="D20" s="136"/>
      <c r="E20" s="2098">
        <v>1325</v>
      </c>
      <c r="F20" s="2099"/>
      <c r="G20" s="2098">
        <v>1772</v>
      </c>
      <c r="H20" s="2099"/>
      <c r="I20" s="2098">
        <v>900</v>
      </c>
      <c r="J20" s="2099"/>
      <c r="K20" s="2098">
        <v>730</v>
      </c>
      <c r="L20" s="2099"/>
      <c r="M20" s="2098">
        <v>910</v>
      </c>
      <c r="N20" s="2099"/>
      <c r="O20" s="2098">
        <v>1250</v>
      </c>
      <c r="P20" s="2099"/>
      <c r="Q20" s="2098">
        <v>1400</v>
      </c>
      <c r="R20" s="2099"/>
      <c r="S20" s="2098">
        <v>1535</v>
      </c>
      <c r="T20" s="2099"/>
      <c r="X20" s="44"/>
    </row>
    <row r="21" spans="1:24" x14ac:dyDescent="0.35">
      <c r="B21" s="1489" t="s">
        <v>1056</v>
      </c>
      <c r="C21" s="60"/>
      <c r="D21" s="136"/>
      <c r="E21" s="2096">
        <f>SUM(E19:E20)</f>
        <v>1932</v>
      </c>
      <c r="F21" s="2097"/>
      <c r="G21" s="2096">
        <f>SUM(G19:G20)</f>
        <v>2592</v>
      </c>
      <c r="H21" s="2097"/>
      <c r="I21" s="2096">
        <f>SUM(I19:I20)</f>
        <v>1500</v>
      </c>
      <c r="J21" s="2097"/>
      <c r="K21" s="2096">
        <f>SUM(K19:K20)</f>
        <v>1150</v>
      </c>
      <c r="L21" s="2097"/>
      <c r="M21" s="2096">
        <f>SUM(M19:M20)</f>
        <v>1410</v>
      </c>
      <c r="N21" s="2097"/>
      <c r="O21" s="2096">
        <f>SUM(O19:O20)</f>
        <v>1850</v>
      </c>
      <c r="P21" s="2097"/>
      <c r="Q21" s="2096">
        <f>SUM(Q19:Q20)</f>
        <v>2100</v>
      </c>
      <c r="R21" s="2097"/>
      <c r="S21" s="2096">
        <f>SUM(S19:S20)</f>
        <v>2335</v>
      </c>
      <c r="T21" s="2097"/>
      <c r="X21" s="44"/>
    </row>
    <row r="22" spans="1:24" x14ac:dyDescent="0.35">
      <c r="X22" s="44"/>
    </row>
    <row r="23" spans="1:24" ht="18" x14ac:dyDescent="0.35">
      <c r="A23" s="1475"/>
      <c r="B23" s="1427" t="s">
        <v>1226</v>
      </c>
      <c r="C23" s="1433"/>
      <c r="D23" s="1433"/>
      <c r="E23" s="1433"/>
      <c r="F23" s="1433"/>
      <c r="G23" s="1433"/>
      <c r="H23" s="1433"/>
      <c r="I23" s="1433"/>
      <c r="J23" s="1427"/>
      <c r="K23" s="1433"/>
      <c r="L23" s="1429"/>
      <c r="M23" s="1429"/>
      <c r="N23" s="1429"/>
      <c r="O23" s="1430"/>
      <c r="P23" s="1430"/>
      <c r="Q23" s="1430"/>
      <c r="R23" s="1430"/>
      <c r="S23" s="1430"/>
      <c r="T23" s="1430"/>
      <c r="U23" s="1430"/>
      <c r="V23" s="1430"/>
      <c r="W23" s="1431"/>
      <c r="X23" s="44"/>
    </row>
    <row r="24" spans="1:24" x14ac:dyDescent="0.35">
      <c r="A24" s="2121" t="s">
        <v>282</v>
      </c>
      <c r="B24" s="2122"/>
      <c r="C24" s="2122"/>
      <c r="D24" s="2122"/>
      <c r="E24" s="2122"/>
      <c r="F24" s="2122"/>
      <c r="G24" s="2122"/>
      <c r="H24" s="2122"/>
      <c r="I24" s="2122"/>
      <c r="J24" s="2122"/>
      <c r="K24" s="2122"/>
      <c r="L24" s="2122"/>
      <c r="M24" s="2122"/>
      <c r="N24" s="2122"/>
      <c r="O24" s="2122"/>
      <c r="P24" s="2122"/>
      <c r="Q24" s="2122"/>
      <c r="R24" s="2122"/>
      <c r="S24" s="2122"/>
      <c r="T24" s="2122"/>
      <c r="U24" s="2122"/>
      <c r="V24" s="2122"/>
      <c r="W24" s="2123"/>
      <c r="X24" s="44"/>
    </row>
    <row r="25" spans="1:24" x14ac:dyDescent="0.35">
      <c r="A25" s="49"/>
      <c r="B25" s="50" t="s">
        <v>1069</v>
      </c>
      <c r="C25" s="1406"/>
      <c r="D25" s="1407"/>
      <c r="E25" s="50">
        <f>'Reference sheet'!C18-1</f>
        <v>2018</v>
      </c>
      <c r="F25" s="1865">
        <f>E25-1</f>
        <v>2017</v>
      </c>
      <c r="G25" s="1865">
        <f t="shared" ref="G25:S25" si="0">F25-1</f>
        <v>2016</v>
      </c>
      <c r="H25" s="1865">
        <f t="shared" si="0"/>
        <v>2015</v>
      </c>
      <c r="I25" s="1865">
        <f t="shared" si="0"/>
        <v>2014</v>
      </c>
      <c r="J25" s="1865">
        <f t="shared" si="0"/>
        <v>2013</v>
      </c>
      <c r="K25" s="1865">
        <f t="shared" si="0"/>
        <v>2012</v>
      </c>
      <c r="L25" s="1865">
        <f t="shared" si="0"/>
        <v>2011</v>
      </c>
      <c r="M25" s="1865">
        <f t="shared" si="0"/>
        <v>2010</v>
      </c>
      <c r="N25" s="1865">
        <f t="shared" si="0"/>
        <v>2009</v>
      </c>
      <c r="O25" s="1865">
        <f t="shared" si="0"/>
        <v>2008</v>
      </c>
      <c r="P25" s="1865">
        <f t="shared" si="0"/>
        <v>2007</v>
      </c>
      <c r="Q25" s="1865">
        <f t="shared" si="0"/>
        <v>2006</v>
      </c>
      <c r="R25" s="1865">
        <f t="shared" si="0"/>
        <v>2005</v>
      </c>
      <c r="S25" s="1865">
        <f t="shared" si="0"/>
        <v>2004</v>
      </c>
      <c r="T25" s="1864"/>
      <c r="U25" s="53"/>
      <c r="V25" s="53"/>
      <c r="W25" s="54"/>
      <c r="X25" s="44"/>
    </row>
    <row r="26" spans="1:24" x14ac:dyDescent="0.35">
      <c r="A26" s="49"/>
      <c r="B26" s="55" t="s">
        <v>962</v>
      </c>
      <c r="C26" s="51"/>
      <c r="D26" s="51"/>
      <c r="E26" s="55" t="s">
        <v>965</v>
      </c>
      <c r="F26" s="55" t="s">
        <v>966</v>
      </c>
      <c r="G26" s="55" t="s">
        <v>967</v>
      </c>
      <c r="H26" s="55" t="s">
        <v>968</v>
      </c>
      <c r="I26" s="55" t="s">
        <v>969</v>
      </c>
      <c r="J26" s="55" t="s">
        <v>970</v>
      </c>
      <c r="K26" s="55" t="s">
        <v>971</v>
      </c>
      <c r="L26" s="55" t="s">
        <v>972</v>
      </c>
      <c r="M26" s="55" t="s">
        <v>973</v>
      </c>
      <c r="N26" s="55" t="s">
        <v>974</v>
      </c>
      <c r="O26" s="55" t="s">
        <v>975</v>
      </c>
      <c r="P26" s="55" t="s">
        <v>976</v>
      </c>
      <c r="Q26" s="55" t="s">
        <v>977</v>
      </c>
      <c r="R26" s="55" t="s">
        <v>978</v>
      </c>
      <c r="S26" s="55" t="s">
        <v>979</v>
      </c>
      <c r="T26" s="57" t="s">
        <v>1056</v>
      </c>
      <c r="U26" s="53"/>
      <c r="V26" s="53"/>
      <c r="W26" s="54"/>
      <c r="X26" s="44"/>
    </row>
    <row r="27" spans="1:24" x14ac:dyDescent="0.35">
      <c r="A27" s="49"/>
      <c r="B27" s="59">
        <v>45</v>
      </c>
      <c r="C27" s="60"/>
      <c r="D27" s="60"/>
      <c r="E27" s="1616">
        <v>0</v>
      </c>
      <c r="F27" s="1616">
        <v>0</v>
      </c>
      <c r="G27" s="1616">
        <v>0</v>
      </c>
      <c r="H27" s="1616">
        <v>0</v>
      </c>
      <c r="I27" s="1616">
        <v>0</v>
      </c>
      <c r="J27" s="1616">
        <v>0</v>
      </c>
      <c r="K27" s="1616">
        <v>0</v>
      </c>
      <c r="L27" s="1616">
        <v>0</v>
      </c>
      <c r="M27" s="1616">
        <v>0</v>
      </c>
      <c r="N27" s="1616">
        <v>0</v>
      </c>
      <c r="O27" s="1616">
        <v>0</v>
      </c>
      <c r="P27" s="1616">
        <v>0</v>
      </c>
      <c r="Q27" s="1616">
        <v>0</v>
      </c>
      <c r="R27" s="1616">
        <v>0</v>
      </c>
      <c r="S27" s="1616">
        <v>0</v>
      </c>
      <c r="T27" s="63">
        <f t="shared" ref="T27:T33" si="1">SUM(E27:S27)</f>
        <v>0</v>
      </c>
      <c r="U27" s="53"/>
      <c r="V27" s="53"/>
      <c r="W27" s="54"/>
      <c r="X27" s="44"/>
    </row>
    <row r="28" spans="1:24" x14ac:dyDescent="0.35">
      <c r="A28" s="49"/>
      <c r="B28" s="1040">
        <v>55</v>
      </c>
      <c r="C28" s="64"/>
      <c r="D28" s="60"/>
      <c r="E28" s="1616">
        <v>0</v>
      </c>
      <c r="F28" s="1616">
        <v>0</v>
      </c>
      <c r="G28" s="1616">
        <v>0</v>
      </c>
      <c r="H28" s="1616">
        <v>0</v>
      </c>
      <c r="I28" s="1616">
        <v>0</v>
      </c>
      <c r="J28" s="1616">
        <v>0</v>
      </c>
      <c r="K28" s="1616">
        <v>0</v>
      </c>
      <c r="L28" s="1616">
        <v>0</v>
      </c>
      <c r="M28" s="1616">
        <v>0</v>
      </c>
      <c r="N28" s="1616">
        <v>0</v>
      </c>
      <c r="O28" s="1616">
        <v>0</v>
      </c>
      <c r="P28" s="1616">
        <v>0</v>
      </c>
      <c r="Q28" s="1616">
        <v>0</v>
      </c>
      <c r="R28" s="1616">
        <v>0</v>
      </c>
      <c r="S28" s="1616">
        <v>0</v>
      </c>
      <c r="T28" s="63">
        <f t="shared" si="1"/>
        <v>0</v>
      </c>
      <c r="U28" s="53"/>
      <c r="V28" s="53"/>
      <c r="W28" s="54"/>
      <c r="X28" s="44"/>
    </row>
    <row r="29" spans="1:24" ht="15.75" customHeight="1" x14ac:dyDescent="0.35">
      <c r="A29" s="49"/>
      <c r="B29" s="66">
        <v>65</v>
      </c>
      <c r="C29" s="64"/>
      <c r="D29" s="60"/>
      <c r="E29" s="1616">
        <v>0</v>
      </c>
      <c r="F29" s="1616">
        <v>0</v>
      </c>
      <c r="G29" s="1616">
        <v>0</v>
      </c>
      <c r="H29" s="1616">
        <v>0</v>
      </c>
      <c r="I29" s="1616">
        <v>0</v>
      </c>
      <c r="J29" s="1616">
        <v>0</v>
      </c>
      <c r="K29" s="1616">
        <v>0</v>
      </c>
      <c r="L29" s="1616">
        <v>0</v>
      </c>
      <c r="M29" s="1616">
        <v>0</v>
      </c>
      <c r="N29" s="1616">
        <v>0</v>
      </c>
      <c r="O29" s="1616">
        <v>0</v>
      </c>
      <c r="P29" s="1616">
        <v>0</v>
      </c>
      <c r="Q29" s="1616">
        <v>0</v>
      </c>
      <c r="R29" s="1616">
        <v>0</v>
      </c>
      <c r="S29" s="1616">
        <v>0</v>
      </c>
      <c r="T29" s="63">
        <f t="shared" si="1"/>
        <v>0</v>
      </c>
      <c r="U29" s="53"/>
      <c r="V29" s="53"/>
      <c r="W29" s="54"/>
      <c r="X29" s="44"/>
    </row>
    <row r="30" spans="1:24" x14ac:dyDescent="0.35">
      <c r="A30" s="49"/>
      <c r="B30" s="1040">
        <v>75</v>
      </c>
      <c r="C30" s="64"/>
      <c r="D30" s="60"/>
      <c r="E30" s="1616">
        <v>0</v>
      </c>
      <c r="F30" s="1616">
        <v>0</v>
      </c>
      <c r="G30" s="1616">
        <v>0</v>
      </c>
      <c r="H30" s="1616">
        <v>0</v>
      </c>
      <c r="I30" s="1616">
        <v>0</v>
      </c>
      <c r="J30" s="1616">
        <v>0</v>
      </c>
      <c r="K30" s="1616">
        <v>0</v>
      </c>
      <c r="L30" s="1616">
        <v>0</v>
      </c>
      <c r="M30" s="1616">
        <v>0</v>
      </c>
      <c r="N30" s="1616">
        <v>0</v>
      </c>
      <c r="O30" s="1616">
        <v>0</v>
      </c>
      <c r="P30" s="1616">
        <v>0</v>
      </c>
      <c r="Q30" s="1616">
        <v>0</v>
      </c>
      <c r="R30" s="1616">
        <v>0</v>
      </c>
      <c r="S30" s="1616">
        <v>0</v>
      </c>
      <c r="T30" s="63">
        <f t="shared" si="1"/>
        <v>0</v>
      </c>
      <c r="U30" s="53"/>
      <c r="V30" s="53"/>
      <c r="W30" s="54"/>
    </row>
    <row r="31" spans="1:24" x14ac:dyDescent="0.35">
      <c r="A31" s="49"/>
      <c r="B31" s="1040">
        <v>85</v>
      </c>
      <c r="C31" s="64"/>
      <c r="D31" s="60"/>
      <c r="E31" s="1616">
        <v>17</v>
      </c>
      <c r="F31" s="1616">
        <v>19</v>
      </c>
      <c r="G31" s="1616">
        <v>22</v>
      </c>
      <c r="H31" s="1616">
        <v>20</v>
      </c>
      <c r="I31" s="1616">
        <v>10</v>
      </c>
      <c r="J31" s="1616">
        <v>15</v>
      </c>
      <c r="K31" s="1616">
        <v>10</v>
      </c>
      <c r="L31" s="1616">
        <v>15</v>
      </c>
      <c r="M31" s="1616">
        <v>10</v>
      </c>
      <c r="N31" s="1616">
        <v>15</v>
      </c>
      <c r="O31" s="1616">
        <v>10</v>
      </c>
      <c r="P31" s="1616">
        <v>15</v>
      </c>
      <c r="Q31" s="1616">
        <v>10</v>
      </c>
      <c r="R31" s="1616">
        <v>15</v>
      </c>
      <c r="S31" s="1616">
        <v>10</v>
      </c>
      <c r="T31" s="63">
        <f t="shared" si="1"/>
        <v>213</v>
      </c>
      <c r="U31" s="53"/>
      <c r="V31" s="53"/>
      <c r="W31" s="54"/>
    </row>
    <row r="32" spans="1:24" x14ac:dyDescent="0.35">
      <c r="A32" s="49"/>
      <c r="B32" s="1040">
        <v>95</v>
      </c>
      <c r="C32" s="64"/>
      <c r="D32" s="60"/>
      <c r="E32" s="1616">
        <v>0</v>
      </c>
      <c r="F32" s="1616">
        <v>0</v>
      </c>
      <c r="G32" s="1616">
        <v>0</v>
      </c>
      <c r="H32" s="1616">
        <v>0</v>
      </c>
      <c r="I32" s="1616">
        <v>0</v>
      </c>
      <c r="J32" s="1616">
        <v>0</v>
      </c>
      <c r="K32" s="1616">
        <v>0</v>
      </c>
      <c r="L32" s="1616">
        <v>0</v>
      </c>
      <c r="M32" s="1616">
        <v>0</v>
      </c>
      <c r="N32" s="1616">
        <v>0</v>
      </c>
      <c r="O32" s="1616">
        <v>0</v>
      </c>
      <c r="P32" s="1616">
        <v>0</v>
      </c>
      <c r="Q32" s="1616">
        <v>0</v>
      </c>
      <c r="R32" s="1616">
        <v>0</v>
      </c>
      <c r="S32" s="1616">
        <v>0</v>
      </c>
      <c r="T32" s="63">
        <f t="shared" si="1"/>
        <v>0</v>
      </c>
      <c r="U32" s="53"/>
      <c r="V32" s="53"/>
      <c r="W32" s="54"/>
    </row>
    <row r="33" spans="1:24" x14ac:dyDescent="0.35">
      <c r="A33" s="49"/>
      <c r="B33" s="1040">
        <v>105</v>
      </c>
      <c r="C33" s="64"/>
      <c r="D33" s="60"/>
      <c r="E33" s="1616">
        <v>0</v>
      </c>
      <c r="F33" s="1616">
        <v>0</v>
      </c>
      <c r="G33" s="1616">
        <v>0</v>
      </c>
      <c r="H33" s="1616">
        <v>0</v>
      </c>
      <c r="I33" s="1616">
        <v>0</v>
      </c>
      <c r="J33" s="1616">
        <v>0</v>
      </c>
      <c r="K33" s="1616">
        <v>0</v>
      </c>
      <c r="L33" s="1616">
        <v>0</v>
      </c>
      <c r="M33" s="1616">
        <v>0</v>
      </c>
      <c r="N33" s="1616">
        <v>0</v>
      </c>
      <c r="O33" s="1616">
        <v>0</v>
      </c>
      <c r="P33" s="1616">
        <v>0</v>
      </c>
      <c r="Q33" s="1616">
        <v>0</v>
      </c>
      <c r="R33" s="1616">
        <v>0</v>
      </c>
      <c r="S33" s="1616">
        <v>0</v>
      </c>
      <c r="T33" s="63">
        <f t="shared" si="1"/>
        <v>0</v>
      </c>
      <c r="U33" s="53"/>
      <c r="V33" s="53"/>
      <c r="W33" s="54"/>
    </row>
    <row r="34" spans="1:24" x14ac:dyDescent="0.35">
      <c r="A34" s="49"/>
      <c r="B34" s="68"/>
      <c r="C34" s="47"/>
      <c r="D34" s="47"/>
      <c r="E34" s="71">
        <f t="shared" ref="E34:S34" si="2">SUM(E27:E33)</f>
        <v>17</v>
      </c>
      <c r="F34" s="71">
        <f t="shared" si="2"/>
        <v>19</v>
      </c>
      <c r="G34" s="71">
        <f t="shared" si="2"/>
        <v>22</v>
      </c>
      <c r="H34" s="71">
        <f t="shared" si="2"/>
        <v>20</v>
      </c>
      <c r="I34" s="71">
        <f t="shared" si="2"/>
        <v>10</v>
      </c>
      <c r="J34" s="71">
        <f t="shared" si="2"/>
        <v>15</v>
      </c>
      <c r="K34" s="71">
        <f t="shared" si="2"/>
        <v>10</v>
      </c>
      <c r="L34" s="71">
        <f t="shared" si="2"/>
        <v>15</v>
      </c>
      <c r="M34" s="71">
        <f t="shared" si="2"/>
        <v>10</v>
      </c>
      <c r="N34" s="71">
        <f t="shared" si="2"/>
        <v>15</v>
      </c>
      <c r="O34" s="71">
        <f t="shared" si="2"/>
        <v>10</v>
      </c>
      <c r="P34" s="71">
        <f t="shared" si="2"/>
        <v>15</v>
      </c>
      <c r="Q34" s="71">
        <f t="shared" si="2"/>
        <v>10</v>
      </c>
      <c r="R34" s="71">
        <f t="shared" si="2"/>
        <v>15</v>
      </c>
      <c r="S34" s="71">
        <f t="shared" si="2"/>
        <v>10</v>
      </c>
      <c r="T34" s="71">
        <f>SUM(E27:S33)</f>
        <v>213</v>
      </c>
      <c r="U34" s="53"/>
      <c r="V34" s="53"/>
      <c r="W34" s="54"/>
    </row>
    <row r="35" spans="1:24" x14ac:dyDescent="0.35">
      <c r="A35" s="49"/>
      <c r="B35" s="53"/>
      <c r="C35" s="53"/>
      <c r="D35" s="53"/>
      <c r="E35" s="53"/>
      <c r="F35" s="53"/>
      <c r="G35" s="53"/>
      <c r="H35" s="53"/>
      <c r="I35" s="53"/>
      <c r="J35" s="53"/>
      <c r="K35" s="53"/>
      <c r="L35" s="53"/>
      <c r="M35" s="53"/>
      <c r="N35" s="53"/>
      <c r="O35" s="53"/>
      <c r="P35" s="53"/>
      <c r="Q35" s="53"/>
      <c r="R35" s="53"/>
      <c r="S35" s="53"/>
      <c r="T35" s="53"/>
      <c r="U35" s="53"/>
      <c r="V35" s="53"/>
      <c r="W35" s="54"/>
    </row>
    <row r="36" spans="1:24" ht="18" x14ac:dyDescent="0.35">
      <c r="A36" s="1475"/>
      <c r="B36" s="1427" t="s">
        <v>1234</v>
      </c>
      <c r="C36" s="1433"/>
      <c r="D36" s="1433"/>
      <c r="E36" s="1433"/>
      <c r="F36" s="1433"/>
      <c r="G36" s="1433"/>
      <c r="H36" s="1433"/>
      <c r="I36" s="1433"/>
      <c r="J36" s="1427"/>
      <c r="K36" s="1433"/>
      <c r="L36" s="1429"/>
      <c r="M36" s="1429"/>
      <c r="N36" s="1429"/>
      <c r="O36" s="1430"/>
      <c r="P36" s="1430"/>
      <c r="Q36" s="1430"/>
      <c r="R36" s="1430"/>
      <c r="S36" s="1430"/>
      <c r="T36" s="1430"/>
      <c r="U36" s="1430"/>
      <c r="V36" s="1430"/>
      <c r="W36" s="1431"/>
      <c r="X36" s="44"/>
    </row>
    <row r="37" spans="1:24" ht="18" x14ac:dyDescent="0.35">
      <c r="A37" s="221"/>
      <c r="B37" s="1869"/>
      <c r="C37" s="1870"/>
      <c r="D37" s="1870"/>
      <c r="E37" s="1870"/>
      <c r="F37" s="1870"/>
      <c r="G37" s="1870"/>
      <c r="H37" s="1870"/>
      <c r="I37" s="1870"/>
      <c r="J37" s="1869"/>
      <c r="K37" s="1870"/>
      <c r="L37" s="12"/>
      <c r="M37" s="12"/>
      <c r="N37" s="12"/>
      <c r="O37" s="171"/>
      <c r="P37" s="171"/>
      <c r="Q37" s="171"/>
      <c r="R37" s="171"/>
      <c r="S37" s="171"/>
      <c r="T37" s="171"/>
      <c r="U37" s="171"/>
      <c r="V37" s="171"/>
      <c r="W37" s="335"/>
      <c r="X37" s="44"/>
    </row>
    <row r="38" spans="1:24" x14ac:dyDescent="0.35">
      <c r="A38" s="49"/>
      <c r="B38" s="53"/>
      <c r="C38" s="53"/>
      <c r="D38" s="53"/>
      <c r="E38" s="2117" t="s">
        <v>1224</v>
      </c>
      <c r="F38" s="2118"/>
      <c r="G38" s="2118"/>
      <c r="H38" s="2118"/>
      <c r="I38" s="2118"/>
      <c r="J38" s="2118"/>
      <c r="K38" s="2118"/>
      <c r="L38" s="2118"/>
      <c r="M38" s="2118"/>
      <c r="N38" s="2118"/>
      <c r="O38" s="2118"/>
      <c r="P38" s="2119"/>
      <c r="Q38" s="2119"/>
      <c r="R38" s="2119"/>
      <c r="S38" s="2119"/>
      <c r="T38" s="2120"/>
      <c r="U38" s="53"/>
      <c r="V38" s="53"/>
      <c r="W38" s="54"/>
    </row>
    <row r="39" spans="1:24" x14ac:dyDescent="0.35">
      <c r="A39" s="49"/>
      <c r="B39" s="50"/>
      <c r="C39" s="52"/>
      <c r="D39" s="136"/>
      <c r="E39" s="2102" t="s">
        <v>238</v>
      </c>
      <c r="F39" s="2103"/>
      <c r="G39" s="2103"/>
      <c r="H39" s="2103"/>
      <c r="I39" s="2103"/>
      <c r="J39" s="2104"/>
      <c r="K39" s="2111" t="s">
        <v>239</v>
      </c>
      <c r="L39" s="2112"/>
      <c r="M39" s="2112"/>
      <c r="N39" s="2112"/>
      <c r="O39" s="2112"/>
      <c r="P39" s="2112"/>
      <c r="Q39" s="2112"/>
      <c r="R39" s="2112"/>
      <c r="S39" s="2112"/>
      <c r="T39" s="2070"/>
      <c r="U39" s="53"/>
      <c r="V39" s="53"/>
      <c r="W39" s="54"/>
    </row>
    <row r="40" spans="1:24" x14ac:dyDescent="0.35">
      <c r="A40" s="49"/>
      <c r="B40" s="55" t="s">
        <v>983</v>
      </c>
      <c r="C40" s="51"/>
      <c r="D40" s="136"/>
      <c r="E40" s="2100">
        <f>G40-1</f>
        <v>2016</v>
      </c>
      <c r="F40" s="2101"/>
      <c r="G40" s="2100">
        <f>I40-1</f>
        <v>2017</v>
      </c>
      <c r="H40" s="2101"/>
      <c r="I40" s="2100">
        <f>K40-1</f>
        <v>2018</v>
      </c>
      <c r="J40" s="2101"/>
      <c r="K40" s="2107">
        <f>'Reference sheet'!C18</f>
        <v>2019</v>
      </c>
      <c r="L40" s="2108"/>
      <c r="M40" s="2107">
        <f>K40+1</f>
        <v>2020</v>
      </c>
      <c r="N40" s="2108">
        <f>K40+1</f>
        <v>2020</v>
      </c>
      <c r="O40" s="2107">
        <f>M40+1</f>
        <v>2021</v>
      </c>
      <c r="P40" s="2108">
        <f>M40+1</f>
        <v>2021</v>
      </c>
      <c r="Q40" s="2107">
        <f>O40+1</f>
        <v>2022</v>
      </c>
      <c r="R40" s="2108">
        <f>O40+1</f>
        <v>2022</v>
      </c>
      <c r="S40" s="2107">
        <f>Q40+1</f>
        <v>2023</v>
      </c>
      <c r="T40" s="2108">
        <f>Q40+1</f>
        <v>2023</v>
      </c>
      <c r="U40" s="53"/>
      <c r="V40" s="53"/>
      <c r="W40" s="54"/>
    </row>
    <row r="41" spans="1:24" x14ac:dyDescent="0.35">
      <c r="A41" s="228"/>
      <c r="B41" s="1270" t="s">
        <v>984</v>
      </c>
      <c r="C41" s="60"/>
      <c r="D41" s="136"/>
      <c r="E41" s="2105">
        <v>0</v>
      </c>
      <c r="F41" s="2106"/>
      <c r="G41" s="2105">
        <v>0</v>
      </c>
      <c r="H41" s="2106"/>
      <c r="I41" s="2105">
        <v>0</v>
      </c>
      <c r="J41" s="2106"/>
      <c r="K41" s="2105">
        <v>0</v>
      </c>
      <c r="L41" s="2106"/>
      <c r="M41" s="2105">
        <v>0</v>
      </c>
      <c r="N41" s="2106"/>
      <c r="O41" s="2105">
        <v>0</v>
      </c>
      <c r="P41" s="2106"/>
      <c r="Q41" s="2105">
        <v>0</v>
      </c>
      <c r="R41" s="2106"/>
      <c r="S41" s="2105">
        <v>0</v>
      </c>
      <c r="T41" s="2106"/>
      <c r="U41" s="53"/>
      <c r="V41" s="76"/>
      <c r="W41" s="105"/>
    </row>
    <row r="42" spans="1:24" x14ac:dyDescent="0.35">
      <c r="A42" s="98"/>
      <c r="B42" s="1040" t="s">
        <v>985</v>
      </c>
      <c r="C42" s="60"/>
      <c r="D42" s="136"/>
      <c r="E42" s="2105">
        <v>0</v>
      </c>
      <c r="F42" s="2106"/>
      <c r="G42" s="2105">
        <v>0</v>
      </c>
      <c r="H42" s="2106"/>
      <c r="I42" s="2105">
        <v>0</v>
      </c>
      <c r="J42" s="2106"/>
      <c r="K42" s="2105">
        <v>0</v>
      </c>
      <c r="L42" s="2106"/>
      <c r="M42" s="2105">
        <v>0</v>
      </c>
      <c r="N42" s="2106"/>
      <c r="O42" s="2105">
        <v>0</v>
      </c>
      <c r="P42" s="2106"/>
      <c r="Q42" s="2105">
        <v>0</v>
      </c>
      <c r="R42" s="2106"/>
      <c r="S42" s="2105">
        <v>0</v>
      </c>
      <c r="T42" s="2106"/>
      <c r="U42" s="53"/>
      <c r="V42" s="76"/>
      <c r="W42" s="105"/>
    </row>
    <row r="43" spans="1:24" x14ac:dyDescent="0.35">
      <c r="A43" s="98"/>
      <c r="B43" s="1489" t="s">
        <v>1056</v>
      </c>
      <c r="C43" s="60"/>
      <c r="D43" s="136"/>
      <c r="E43" s="2109">
        <f>SUM(E41:E42)</f>
        <v>0</v>
      </c>
      <c r="F43" s="2110"/>
      <c r="G43" s="2109">
        <f>SUM(G41:G42)</f>
        <v>0</v>
      </c>
      <c r="H43" s="2110"/>
      <c r="I43" s="2109">
        <f>SUM(I41:I42)</f>
        <v>0</v>
      </c>
      <c r="J43" s="2110"/>
      <c r="K43" s="2096">
        <f>SUM(K41:K42)</f>
        <v>0</v>
      </c>
      <c r="L43" s="2097"/>
      <c r="M43" s="2096">
        <f>SUM(M41:M42)</f>
        <v>0</v>
      </c>
      <c r="N43" s="2097"/>
      <c r="O43" s="2096">
        <f>SUM(O41:O42)</f>
        <v>0</v>
      </c>
      <c r="P43" s="2097"/>
      <c r="Q43" s="2096">
        <f>SUM(Q41:Q42)</f>
        <v>0</v>
      </c>
      <c r="R43" s="2097"/>
      <c r="S43" s="2096">
        <f>SUM(S41:S42)</f>
        <v>0</v>
      </c>
      <c r="T43" s="2097"/>
      <c r="U43" s="76"/>
      <c r="V43" s="76"/>
      <c r="W43" s="105"/>
    </row>
    <row r="44" spans="1:24" x14ac:dyDescent="0.35">
      <c r="A44" s="98"/>
      <c r="B44" s="133"/>
      <c r="C44" s="60"/>
      <c r="D44" s="136"/>
      <c r="E44" s="81"/>
      <c r="F44" s="81"/>
      <c r="G44" s="81"/>
      <c r="H44" s="81"/>
      <c r="I44" s="81"/>
      <c r="J44" s="81"/>
      <c r="K44" s="81"/>
      <c r="L44" s="81"/>
      <c r="M44" s="81"/>
      <c r="N44" s="81"/>
      <c r="O44" s="81"/>
      <c r="P44" s="81"/>
      <c r="Q44" s="81"/>
      <c r="R44" s="81"/>
      <c r="S44" s="81"/>
      <c r="T44" s="82"/>
      <c r="U44" s="76"/>
      <c r="V44" s="76"/>
      <c r="W44" s="105"/>
    </row>
    <row r="45" spans="1:24" ht="18" x14ac:dyDescent="0.35">
      <c r="A45" s="1475"/>
      <c r="B45" s="1427" t="s">
        <v>1235</v>
      </c>
      <c r="C45" s="1433"/>
      <c r="D45" s="1433"/>
      <c r="E45" s="1433"/>
      <c r="F45" s="1433"/>
      <c r="G45" s="1433"/>
      <c r="H45" s="1433"/>
      <c r="I45" s="1433"/>
      <c r="J45" s="1427"/>
      <c r="K45" s="1433"/>
      <c r="L45" s="1429"/>
      <c r="M45" s="1429"/>
      <c r="N45" s="1429"/>
      <c r="O45" s="1430"/>
      <c r="P45" s="1430"/>
      <c r="Q45" s="1430"/>
      <c r="R45" s="1430"/>
      <c r="S45" s="1430"/>
      <c r="T45" s="1430"/>
      <c r="U45" s="1430"/>
      <c r="V45" s="1430"/>
      <c r="W45" s="1431"/>
      <c r="X45" s="44"/>
    </row>
    <row r="46" spans="1:24" ht="18" x14ac:dyDescent="0.35">
      <c r="A46" s="221"/>
      <c r="B46" s="1869"/>
      <c r="C46" s="1870"/>
      <c r="D46" s="1870"/>
      <c r="E46" s="1870"/>
      <c r="F46" s="1870"/>
      <c r="G46" s="1870"/>
      <c r="H46" s="1870"/>
      <c r="I46" s="1870"/>
      <c r="J46" s="1869"/>
      <c r="K46" s="1870"/>
      <c r="L46" s="12"/>
      <c r="M46" s="12"/>
      <c r="N46" s="12"/>
      <c r="O46" s="171"/>
      <c r="P46" s="171"/>
      <c r="Q46" s="171"/>
      <c r="R46" s="171"/>
      <c r="S46" s="171"/>
      <c r="T46" s="171"/>
      <c r="U46" s="171"/>
      <c r="V46" s="171"/>
      <c r="W46" s="335"/>
      <c r="X46" s="44"/>
    </row>
    <row r="47" spans="1:24" x14ac:dyDescent="0.35">
      <c r="A47" s="98"/>
      <c r="B47" s="9"/>
      <c r="C47" s="9"/>
      <c r="D47" s="136"/>
      <c r="E47" s="2113" t="s">
        <v>987</v>
      </c>
      <c r="F47" s="2114"/>
      <c r="G47" s="2114"/>
      <c r="H47" s="2114"/>
      <c r="I47" s="2114"/>
      <c r="J47" s="2114"/>
      <c r="K47" s="2114"/>
      <c r="L47" s="2114"/>
      <c r="M47" s="2114"/>
      <c r="N47" s="2114"/>
      <c r="O47" s="2114"/>
      <c r="P47" s="2115"/>
      <c r="Q47" s="2115"/>
      <c r="R47" s="2115"/>
      <c r="S47" s="2115"/>
      <c r="T47" s="2116"/>
      <c r="U47" s="76"/>
      <c r="V47" s="76"/>
      <c r="W47" s="105"/>
    </row>
    <row r="48" spans="1:24" x14ac:dyDescent="0.35">
      <c r="A48" s="98"/>
      <c r="B48" s="2127" t="s">
        <v>988</v>
      </c>
      <c r="C48" s="60"/>
      <c r="D48" s="136"/>
      <c r="E48" s="2102" t="s">
        <v>238</v>
      </c>
      <c r="F48" s="2103"/>
      <c r="G48" s="2103"/>
      <c r="H48" s="2103"/>
      <c r="I48" s="2103"/>
      <c r="J48" s="2104"/>
      <c r="K48" s="2111" t="s">
        <v>239</v>
      </c>
      <c r="L48" s="2112"/>
      <c r="M48" s="2112"/>
      <c r="N48" s="2112"/>
      <c r="O48" s="2112"/>
      <c r="P48" s="2112"/>
      <c r="Q48" s="2112"/>
      <c r="R48" s="2112"/>
      <c r="S48" s="2112"/>
      <c r="T48" s="2070"/>
      <c r="U48" s="76"/>
      <c r="V48" s="76"/>
      <c r="W48" s="105"/>
    </row>
    <row r="49" spans="1:24" x14ac:dyDescent="0.35">
      <c r="A49" s="98"/>
      <c r="B49" s="2128"/>
      <c r="C49" s="60"/>
      <c r="D49" s="136"/>
      <c r="E49" s="2100">
        <f>G49-1</f>
        <v>2016</v>
      </c>
      <c r="F49" s="2101"/>
      <c r="G49" s="2100">
        <f>I49-1</f>
        <v>2017</v>
      </c>
      <c r="H49" s="2101"/>
      <c r="I49" s="2100">
        <f>K49-1</f>
        <v>2018</v>
      </c>
      <c r="J49" s="2101"/>
      <c r="K49" s="2107">
        <f>'Reference sheet'!C18</f>
        <v>2019</v>
      </c>
      <c r="L49" s="2108"/>
      <c r="M49" s="2107">
        <f>K49+1</f>
        <v>2020</v>
      </c>
      <c r="N49" s="2108">
        <f>K49+1</f>
        <v>2020</v>
      </c>
      <c r="O49" s="2107">
        <f>M49+1</f>
        <v>2021</v>
      </c>
      <c r="P49" s="2108">
        <f>M49+1</f>
        <v>2021</v>
      </c>
      <c r="Q49" s="2107">
        <f>O49+1</f>
        <v>2022</v>
      </c>
      <c r="R49" s="2108">
        <f>O49+1</f>
        <v>2022</v>
      </c>
      <c r="S49" s="2107">
        <f>Q49+1</f>
        <v>2023</v>
      </c>
      <c r="T49" s="2108">
        <f>Q49+1</f>
        <v>2023</v>
      </c>
      <c r="U49" s="76"/>
      <c r="V49" s="76"/>
      <c r="W49" s="105"/>
    </row>
    <row r="50" spans="1:24" x14ac:dyDescent="0.35">
      <c r="A50" s="98"/>
      <c r="B50" s="1040" t="s">
        <v>988</v>
      </c>
      <c r="C50" s="60"/>
      <c r="D50" s="136"/>
      <c r="E50" s="2105">
        <v>0</v>
      </c>
      <c r="F50" s="2106"/>
      <c r="G50" s="2105">
        <v>0</v>
      </c>
      <c r="H50" s="2106"/>
      <c r="I50" s="2105">
        <v>0</v>
      </c>
      <c r="J50" s="2106"/>
      <c r="K50" s="2105">
        <v>0</v>
      </c>
      <c r="L50" s="2106"/>
      <c r="M50" s="2105">
        <v>0</v>
      </c>
      <c r="N50" s="2106"/>
      <c r="O50" s="2105">
        <v>0</v>
      </c>
      <c r="P50" s="2106"/>
      <c r="Q50" s="2105">
        <v>0</v>
      </c>
      <c r="R50" s="2106"/>
      <c r="S50" s="2105">
        <v>0</v>
      </c>
      <c r="T50" s="2106"/>
      <c r="U50" s="76"/>
      <c r="V50" s="76"/>
      <c r="W50" s="105"/>
    </row>
    <row r="51" spans="1:24" x14ac:dyDescent="0.35">
      <c r="A51" s="98"/>
      <c r="B51" s="1040" t="s">
        <v>989</v>
      </c>
      <c r="C51" s="60"/>
      <c r="D51" s="136"/>
      <c r="E51" s="2098">
        <v>0</v>
      </c>
      <c r="F51" s="2099"/>
      <c r="G51" s="2098">
        <v>0</v>
      </c>
      <c r="H51" s="2099"/>
      <c r="I51" s="2098">
        <v>0</v>
      </c>
      <c r="J51" s="2099"/>
      <c r="K51" s="2098">
        <v>0</v>
      </c>
      <c r="L51" s="2099"/>
      <c r="M51" s="2098">
        <v>0</v>
      </c>
      <c r="N51" s="2099"/>
      <c r="O51" s="2098">
        <v>0</v>
      </c>
      <c r="P51" s="2099"/>
      <c r="Q51" s="2098">
        <v>0</v>
      </c>
      <c r="R51" s="2099"/>
      <c r="S51" s="2098">
        <v>0</v>
      </c>
      <c r="T51" s="2099"/>
      <c r="U51" s="76"/>
      <c r="V51" s="76"/>
      <c r="W51" s="105"/>
    </row>
    <row r="52" spans="1:24" x14ac:dyDescent="0.35">
      <c r="A52" s="98"/>
      <c r="B52" s="1489" t="s">
        <v>1056</v>
      </c>
      <c r="C52" s="60"/>
      <c r="D52" s="136"/>
      <c r="E52" s="2109">
        <f>SUM(E50:E51)</f>
        <v>0</v>
      </c>
      <c r="F52" s="2110"/>
      <c r="G52" s="2109">
        <f>SUM(G50:G51)</f>
        <v>0</v>
      </c>
      <c r="H52" s="2110"/>
      <c r="I52" s="2109">
        <f>SUM(I50:I51)</f>
        <v>0</v>
      </c>
      <c r="J52" s="2110"/>
      <c r="K52" s="2096">
        <f>SUM(K50:K51)</f>
        <v>0</v>
      </c>
      <c r="L52" s="2097"/>
      <c r="M52" s="2096">
        <f>SUM(M50:M51)</f>
        <v>0</v>
      </c>
      <c r="N52" s="2097"/>
      <c r="O52" s="2096">
        <f>SUM(O50:O51)</f>
        <v>0</v>
      </c>
      <c r="P52" s="2097"/>
      <c r="Q52" s="2096">
        <f>SUM(Q50:Q51)</f>
        <v>0</v>
      </c>
      <c r="R52" s="2097"/>
      <c r="S52" s="2096">
        <f>SUM(S50:S51)</f>
        <v>0</v>
      </c>
      <c r="T52" s="2097"/>
      <c r="U52" s="76"/>
      <c r="V52" s="76"/>
      <c r="W52" s="105"/>
    </row>
    <row r="53" spans="1:24" x14ac:dyDescent="0.35">
      <c r="A53" s="145"/>
      <c r="B53" s="146"/>
      <c r="C53" s="73"/>
      <c r="D53" s="73"/>
      <c r="E53" s="146"/>
      <c r="F53" s="146"/>
      <c r="G53" s="146"/>
      <c r="H53" s="146"/>
      <c r="I53" s="146"/>
      <c r="J53" s="146"/>
      <c r="K53" s="146"/>
      <c r="L53" s="146"/>
      <c r="M53" s="146"/>
      <c r="N53" s="146"/>
      <c r="O53" s="146"/>
      <c r="P53" s="146"/>
      <c r="Q53" s="146"/>
      <c r="R53" s="146"/>
      <c r="S53" s="146"/>
      <c r="T53" s="146"/>
      <c r="U53" s="146"/>
      <c r="V53" s="146"/>
      <c r="W53" s="85"/>
    </row>
    <row r="54" spans="1:24" s="1432" customFormat="1" ht="18" x14ac:dyDescent="0.35">
      <c r="A54" s="1426"/>
      <c r="B54" s="1427" t="s">
        <v>535</v>
      </c>
      <c r="C54" s="1428"/>
      <c r="D54" s="1428"/>
      <c r="E54" s="1428"/>
      <c r="F54" s="1428"/>
      <c r="G54" s="1428"/>
      <c r="H54" s="1428"/>
      <c r="I54" s="1428"/>
      <c r="J54" s="1427"/>
      <c r="K54" s="1428"/>
      <c r="L54" s="1429"/>
      <c r="M54" s="1429"/>
      <c r="N54" s="1429"/>
      <c r="O54" s="1430"/>
      <c r="P54" s="1430"/>
      <c r="Q54" s="1430"/>
      <c r="R54" s="1430"/>
      <c r="S54" s="1430"/>
      <c r="T54" s="1430"/>
      <c r="U54" s="1430"/>
      <c r="V54" s="1430"/>
      <c r="W54" s="1431"/>
      <c r="X54" s="1430"/>
    </row>
    <row r="55" spans="1:24" x14ac:dyDescent="0.35"/>
    <row r="56" spans="1:24" x14ac:dyDescent="0.35">
      <c r="B56" s="2124" t="s">
        <v>997</v>
      </c>
      <c r="C56" s="2125"/>
      <c r="D56" s="2125"/>
      <c r="E56" s="2125"/>
      <c r="F56" s="2125"/>
      <c r="G56" s="2126"/>
      <c r="H56" s="1617">
        <v>0.25</v>
      </c>
    </row>
    <row r="57" spans="1:24" x14ac:dyDescent="0.35">
      <c r="A57" s="145"/>
      <c r="B57" s="146"/>
      <c r="C57" s="146"/>
      <c r="D57" s="146"/>
      <c r="E57" s="146"/>
      <c r="F57" s="146"/>
      <c r="G57" s="146"/>
      <c r="H57" s="146"/>
      <c r="I57" s="146"/>
      <c r="J57" s="146"/>
      <c r="K57" s="146"/>
      <c r="L57" s="146"/>
      <c r="M57" s="146"/>
      <c r="N57" s="146"/>
      <c r="O57" s="146"/>
      <c r="P57" s="146"/>
      <c r="Q57" s="146"/>
      <c r="R57" s="146"/>
      <c r="S57" s="146"/>
      <c r="T57" s="146"/>
      <c r="U57" s="146"/>
      <c r="V57" s="146"/>
      <c r="W57" s="85"/>
    </row>
    <row r="58" spans="1:24" s="1432" customFormat="1" ht="18" hidden="1" x14ac:dyDescent="0.35">
      <c r="A58" s="1426"/>
      <c r="B58" s="1427" t="s">
        <v>550</v>
      </c>
      <c r="C58" s="1428"/>
      <c r="D58" s="1428"/>
      <c r="E58" s="1428"/>
      <c r="F58" s="1428"/>
      <c r="G58" s="1428"/>
      <c r="H58" s="1428"/>
      <c r="I58" s="1428"/>
      <c r="J58" s="1427"/>
      <c r="K58" s="1428"/>
      <c r="L58" s="1429"/>
      <c r="M58" s="1429"/>
      <c r="N58" s="1429"/>
      <c r="O58" s="1430"/>
      <c r="P58" s="1430"/>
      <c r="Q58" s="1430"/>
      <c r="R58" s="1430"/>
      <c r="S58" s="1430"/>
      <c r="T58" s="1430"/>
      <c r="U58" s="1430"/>
      <c r="V58" s="1430"/>
      <c r="W58" s="1431"/>
      <c r="X58" s="1430"/>
    </row>
    <row r="59" spans="1:24" hidden="1" x14ac:dyDescent="0.35">
      <c r="C59" s="136"/>
      <c r="D59" s="136"/>
    </row>
    <row r="60" spans="1:24" ht="12.75" hidden="1" customHeight="1" x14ac:dyDescent="0.35">
      <c r="A60" s="49"/>
      <c r="B60" s="50" t="s">
        <v>531</v>
      </c>
      <c r="C60" s="52"/>
      <c r="D60" s="136"/>
      <c r="E60" s="2113" t="s">
        <v>961</v>
      </c>
      <c r="F60" s="2085"/>
      <c r="G60" s="2085"/>
      <c r="H60" s="2085"/>
      <c r="I60" s="2085"/>
      <c r="J60" s="2085"/>
      <c r="K60" s="2085"/>
      <c r="L60" s="2085"/>
      <c r="M60" s="2085"/>
      <c r="N60" s="2085"/>
      <c r="O60" s="2085"/>
      <c r="P60" s="2085"/>
      <c r="Q60" s="2085"/>
      <c r="R60" s="2085"/>
      <c r="S60" s="2085"/>
      <c r="T60" s="2086"/>
      <c r="U60" s="53"/>
      <c r="V60" s="53"/>
      <c r="W60" s="54"/>
    </row>
    <row r="61" spans="1:24" hidden="1" x14ac:dyDescent="0.35">
      <c r="A61" s="49"/>
      <c r="B61" s="55" t="s">
        <v>983</v>
      </c>
      <c r="C61" s="51"/>
      <c r="D61" s="136"/>
      <c r="E61" s="56" t="s">
        <v>965</v>
      </c>
      <c r="F61" s="58" t="s">
        <v>966</v>
      </c>
      <c r="G61" s="58" t="s">
        <v>967</v>
      </c>
      <c r="H61" s="58" t="s">
        <v>968</v>
      </c>
      <c r="I61" s="58" t="s">
        <v>969</v>
      </c>
      <c r="J61" s="58" t="s">
        <v>970</v>
      </c>
      <c r="K61" s="58" t="s">
        <v>971</v>
      </c>
      <c r="L61" s="58" t="s">
        <v>972</v>
      </c>
      <c r="M61" s="58" t="s">
        <v>973</v>
      </c>
      <c r="N61" s="58" t="s">
        <v>974</v>
      </c>
      <c r="O61" s="58" t="s">
        <v>975</v>
      </c>
      <c r="P61" s="58" t="s">
        <v>976</v>
      </c>
      <c r="Q61" s="58" t="s">
        <v>977</v>
      </c>
      <c r="R61" s="58" t="s">
        <v>978</v>
      </c>
      <c r="S61" s="58" t="s">
        <v>979</v>
      </c>
      <c r="T61" s="57" t="s">
        <v>1056</v>
      </c>
      <c r="U61" s="53"/>
      <c r="V61" s="53"/>
      <c r="W61" s="54"/>
    </row>
    <row r="62" spans="1:24" hidden="1" x14ac:dyDescent="0.35">
      <c r="A62" s="49"/>
      <c r="B62" s="1270" t="s">
        <v>984</v>
      </c>
      <c r="C62" s="60"/>
      <c r="D62" s="136"/>
      <c r="E62" s="62">
        <v>0</v>
      </c>
      <c r="F62" s="62">
        <v>0</v>
      </c>
      <c r="G62" s="62">
        <v>0</v>
      </c>
      <c r="H62" s="62">
        <v>0</v>
      </c>
      <c r="I62" s="62">
        <v>0</v>
      </c>
      <c r="J62" s="62">
        <v>0</v>
      </c>
      <c r="K62" s="62">
        <v>0</v>
      </c>
      <c r="L62" s="62">
        <v>0</v>
      </c>
      <c r="M62" s="62">
        <v>0</v>
      </c>
      <c r="N62" s="62">
        <v>0</v>
      </c>
      <c r="O62" s="62">
        <v>0</v>
      </c>
      <c r="P62" s="62">
        <v>0</v>
      </c>
      <c r="Q62" s="62">
        <v>0</v>
      </c>
      <c r="R62" s="62">
        <v>0</v>
      </c>
      <c r="S62" s="62">
        <v>0</v>
      </c>
      <c r="T62" s="63">
        <f>SUM(E62:S62)</f>
        <v>0</v>
      </c>
      <c r="U62" s="53"/>
      <c r="V62" s="53"/>
      <c r="W62" s="54"/>
    </row>
    <row r="63" spans="1:24" hidden="1" x14ac:dyDescent="0.35">
      <c r="A63" s="49"/>
      <c r="B63" s="1040" t="s">
        <v>985</v>
      </c>
      <c r="C63" s="60"/>
      <c r="D63" s="136"/>
      <c r="E63" s="62">
        <v>0</v>
      </c>
      <c r="F63" s="62">
        <v>0</v>
      </c>
      <c r="G63" s="62">
        <v>0</v>
      </c>
      <c r="H63" s="62">
        <v>0</v>
      </c>
      <c r="I63" s="62">
        <v>0</v>
      </c>
      <c r="J63" s="62">
        <v>0</v>
      </c>
      <c r="K63" s="62">
        <v>0</v>
      </c>
      <c r="L63" s="62">
        <v>0</v>
      </c>
      <c r="M63" s="62">
        <v>0</v>
      </c>
      <c r="N63" s="62">
        <v>0</v>
      </c>
      <c r="O63" s="62">
        <v>0</v>
      </c>
      <c r="P63" s="62">
        <v>0</v>
      </c>
      <c r="Q63" s="62">
        <v>0</v>
      </c>
      <c r="R63" s="62">
        <v>0</v>
      </c>
      <c r="S63" s="62">
        <v>0</v>
      </c>
      <c r="T63" s="63">
        <f>SUM(E63:S63)</f>
        <v>0</v>
      </c>
      <c r="U63" s="53"/>
      <c r="V63" s="53"/>
      <c r="W63" s="54"/>
    </row>
    <row r="64" spans="1:24" hidden="1" x14ac:dyDescent="0.35">
      <c r="A64" s="49"/>
      <c r="B64" s="1405"/>
      <c r="C64" s="60"/>
      <c r="D64" s="136"/>
      <c r="E64" s="80">
        <f t="shared" ref="E64:S64" si="3">SUM(E62:E63)</f>
        <v>0</v>
      </c>
      <c r="F64" s="80">
        <f t="shared" si="3"/>
        <v>0</v>
      </c>
      <c r="G64" s="80">
        <f t="shared" si="3"/>
        <v>0</v>
      </c>
      <c r="H64" s="80">
        <f t="shared" si="3"/>
        <v>0</v>
      </c>
      <c r="I64" s="80">
        <f t="shared" si="3"/>
        <v>0</v>
      </c>
      <c r="J64" s="80">
        <f t="shared" si="3"/>
        <v>0</v>
      </c>
      <c r="K64" s="80">
        <f t="shared" si="3"/>
        <v>0</v>
      </c>
      <c r="L64" s="80">
        <f t="shared" si="3"/>
        <v>0</v>
      </c>
      <c r="M64" s="80">
        <f t="shared" si="3"/>
        <v>0</v>
      </c>
      <c r="N64" s="80">
        <f t="shared" si="3"/>
        <v>0</v>
      </c>
      <c r="O64" s="80">
        <f t="shared" si="3"/>
        <v>0</v>
      </c>
      <c r="P64" s="80">
        <f t="shared" si="3"/>
        <v>0</v>
      </c>
      <c r="Q64" s="80">
        <f t="shared" si="3"/>
        <v>0</v>
      </c>
      <c r="R64" s="80">
        <f t="shared" si="3"/>
        <v>0</v>
      </c>
      <c r="S64" s="80">
        <f t="shared" si="3"/>
        <v>0</v>
      </c>
      <c r="T64" s="80">
        <f>SUM(E62:S63)</f>
        <v>0</v>
      </c>
      <c r="U64" s="53"/>
      <c r="V64" s="53"/>
      <c r="W64" s="54"/>
    </row>
    <row r="65" spans="1:24" hidden="1" x14ac:dyDescent="0.35">
      <c r="A65" s="49"/>
      <c r="B65" s="133"/>
      <c r="C65" s="60"/>
      <c r="D65" s="136"/>
      <c r="E65" s="81"/>
      <c r="F65" s="81"/>
      <c r="G65" s="81"/>
      <c r="H65" s="81"/>
      <c r="I65" s="81"/>
      <c r="J65" s="81"/>
      <c r="K65" s="81"/>
      <c r="L65" s="81"/>
      <c r="M65" s="81"/>
      <c r="N65" s="81"/>
      <c r="O65" s="81"/>
      <c r="P65" s="81"/>
      <c r="Q65" s="81"/>
      <c r="R65" s="81"/>
      <c r="S65" s="81"/>
      <c r="T65" s="82"/>
      <c r="U65" s="53"/>
      <c r="V65" s="53"/>
      <c r="W65" s="54"/>
    </row>
    <row r="66" spans="1:24" ht="18" hidden="1" x14ac:dyDescent="0.35">
      <c r="A66" s="1426"/>
      <c r="B66" s="1427" t="s">
        <v>533</v>
      </c>
      <c r="C66" s="1428"/>
      <c r="D66" s="1428"/>
      <c r="E66" s="1428"/>
      <c r="F66" s="1428"/>
      <c r="G66" s="1428"/>
      <c r="H66" s="1428"/>
      <c r="I66" s="1428"/>
      <c r="J66" s="1427"/>
      <c r="K66" s="1428"/>
      <c r="L66" s="1429"/>
      <c r="M66" s="1429"/>
      <c r="N66" s="1429"/>
      <c r="O66" s="1430"/>
      <c r="P66" s="1430"/>
      <c r="Q66" s="1430"/>
      <c r="R66" s="1430"/>
      <c r="S66" s="1430"/>
      <c r="T66" s="1430"/>
      <c r="U66" s="1430"/>
      <c r="V66" s="1430"/>
      <c r="W66" s="1431"/>
    </row>
    <row r="67" spans="1:24" hidden="1" x14ac:dyDescent="0.35">
      <c r="A67" s="49"/>
      <c r="B67" s="9"/>
      <c r="C67" s="9"/>
      <c r="D67" s="136"/>
      <c r="E67" s="9"/>
      <c r="F67" s="9"/>
      <c r="G67" s="9"/>
      <c r="H67" s="9"/>
      <c r="I67" s="9"/>
      <c r="J67" s="9"/>
      <c r="K67" s="9"/>
      <c r="L67" s="9"/>
      <c r="M67" s="9"/>
      <c r="N67" s="9"/>
      <c r="O67" s="9"/>
      <c r="P67" s="9"/>
      <c r="Q67" s="9"/>
      <c r="R67" s="9"/>
      <c r="S67" s="9"/>
      <c r="T67" s="9"/>
      <c r="U67" s="53"/>
      <c r="V67" s="53"/>
      <c r="W67" s="54"/>
    </row>
    <row r="68" spans="1:24" hidden="1" x14ac:dyDescent="0.35">
      <c r="A68" s="49"/>
      <c r="B68" s="50" t="s">
        <v>988</v>
      </c>
      <c r="C68" s="60"/>
      <c r="D68" s="136"/>
      <c r="E68" s="2113" t="s">
        <v>987</v>
      </c>
      <c r="F68" s="2085"/>
      <c r="G68" s="2085"/>
      <c r="H68" s="2085"/>
      <c r="I68" s="2085"/>
      <c r="J68" s="2085"/>
      <c r="K68" s="2085"/>
      <c r="L68" s="2085"/>
      <c r="M68" s="2085"/>
      <c r="N68" s="2085"/>
      <c r="O68" s="2085"/>
      <c r="P68" s="2085"/>
      <c r="Q68" s="2085"/>
      <c r="R68" s="2085"/>
      <c r="S68" s="2085"/>
      <c r="T68" s="2086"/>
      <c r="U68" s="53"/>
      <c r="V68" s="53"/>
      <c r="W68" s="54"/>
    </row>
    <row r="69" spans="1:24" hidden="1" x14ac:dyDescent="0.35">
      <c r="A69" s="49"/>
      <c r="B69" s="55"/>
      <c r="C69" s="60"/>
      <c r="D69" s="136"/>
      <c r="E69" s="56" t="s">
        <v>965</v>
      </c>
      <c r="F69" s="58" t="s">
        <v>966</v>
      </c>
      <c r="G69" s="58" t="s">
        <v>967</v>
      </c>
      <c r="H69" s="58" t="s">
        <v>968</v>
      </c>
      <c r="I69" s="58" t="s">
        <v>969</v>
      </c>
      <c r="J69" s="58" t="s">
        <v>970</v>
      </c>
      <c r="K69" s="58" t="s">
        <v>971</v>
      </c>
      <c r="L69" s="58" t="s">
        <v>972</v>
      </c>
      <c r="M69" s="58" t="s">
        <v>973</v>
      </c>
      <c r="N69" s="58" t="s">
        <v>974</v>
      </c>
      <c r="O69" s="58" t="s">
        <v>975</v>
      </c>
      <c r="P69" s="58" t="s">
        <v>976</v>
      </c>
      <c r="Q69" s="58" t="s">
        <v>977</v>
      </c>
      <c r="R69" s="58" t="s">
        <v>978</v>
      </c>
      <c r="S69" s="58" t="s">
        <v>979</v>
      </c>
      <c r="T69" s="57" t="s">
        <v>1056</v>
      </c>
      <c r="U69" s="53"/>
      <c r="V69" s="53"/>
      <c r="W69" s="54"/>
    </row>
    <row r="70" spans="1:24" hidden="1" x14ac:dyDescent="0.35">
      <c r="A70" s="49"/>
      <c r="B70" s="1040" t="s">
        <v>988</v>
      </c>
      <c r="C70" s="60"/>
      <c r="D70" s="136"/>
      <c r="E70" s="62">
        <v>0</v>
      </c>
      <c r="F70" s="62">
        <v>0</v>
      </c>
      <c r="G70" s="62">
        <v>0</v>
      </c>
      <c r="H70" s="62">
        <v>0</v>
      </c>
      <c r="I70" s="62">
        <v>0</v>
      </c>
      <c r="J70" s="62">
        <v>0</v>
      </c>
      <c r="K70" s="62">
        <v>0</v>
      </c>
      <c r="L70" s="62">
        <v>0</v>
      </c>
      <c r="M70" s="62">
        <v>0</v>
      </c>
      <c r="N70" s="62">
        <v>0</v>
      </c>
      <c r="O70" s="62">
        <v>0</v>
      </c>
      <c r="P70" s="62">
        <v>0</v>
      </c>
      <c r="Q70" s="62">
        <v>0</v>
      </c>
      <c r="R70" s="62">
        <v>0</v>
      </c>
      <c r="S70" s="62">
        <v>0</v>
      </c>
      <c r="T70" s="63">
        <f>SUM(E70:S70)</f>
        <v>0</v>
      </c>
      <c r="U70" s="53"/>
      <c r="V70" s="53"/>
      <c r="W70" s="54"/>
    </row>
    <row r="71" spans="1:24" hidden="1" x14ac:dyDescent="0.35">
      <c r="A71" s="49"/>
      <c r="B71" s="1040" t="s">
        <v>989</v>
      </c>
      <c r="C71" s="60"/>
      <c r="D71" s="136"/>
      <c r="E71" s="62">
        <v>0</v>
      </c>
      <c r="F71" s="62">
        <v>0</v>
      </c>
      <c r="G71" s="62">
        <v>0</v>
      </c>
      <c r="H71" s="62">
        <v>0</v>
      </c>
      <c r="I71" s="62">
        <v>0</v>
      </c>
      <c r="J71" s="62">
        <v>0</v>
      </c>
      <c r="K71" s="62">
        <v>0</v>
      </c>
      <c r="L71" s="62">
        <v>0</v>
      </c>
      <c r="M71" s="62">
        <v>0</v>
      </c>
      <c r="N71" s="62">
        <v>0</v>
      </c>
      <c r="O71" s="62">
        <v>0</v>
      </c>
      <c r="P71" s="62">
        <v>0</v>
      </c>
      <c r="Q71" s="62">
        <v>0</v>
      </c>
      <c r="R71" s="62">
        <v>0</v>
      </c>
      <c r="S71" s="62">
        <v>0</v>
      </c>
      <c r="T71" s="63">
        <f>SUM(E71:S71)</f>
        <v>0</v>
      </c>
      <c r="U71" s="53"/>
      <c r="V71" s="53"/>
      <c r="W71" s="54"/>
    </row>
    <row r="72" spans="1:24" hidden="1" x14ac:dyDescent="0.35">
      <c r="A72" s="49"/>
      <c r="B72" s="1405"/>
      <c r="C72" s="60"/>
      <c r="D72" s="136"/>
      <c r="E72" s="71">
        <f t="shared" ref="E72:S72" si="4">SUM(E70:E71)</f>
        <v>0</v>
      </c>
      <c r="F72" s="71">
        <f t="shared" si="4"/>
        <v>0</v>
      </c>
      <c r="G72" s="71">
        <f t="shared" si="4"/>
        <v>0</v>
      </c>
      <c r="H72" s="71">
        <f t="shared" si="4"/>
        <v>0</v>
      </c>
      <c r="I72" s="71">
        <f t="shared" si="4"/>
        <v>0</v>
      </c>
      <c r="J72" s="71">
        <f t="shared" si="4"/>
        <v>0</v>
      </c>
      <c r="K72" s="71">
        <f t="shared" si="4"/>
        <v>0</v>
      </c>
      <c r="L72" s="71">
        <f t="shared" si="4"/>
        <v>0</v>
      </c>
      <c r="M72" s="71">
        <f t="shared" si="4"/>
        <v>0</v>
      </c>
      <c r="N72" s="71">
        <f t="shared" si="4"/>
        <v>0</v>
      </c>
      <c r="O72" s="71">
        <f t="shared" si="4"/>
        <v>0</v>
      </c>
      <c r="P72" s="71">
        <f t="shared" si="4"/>
        <v>0</v>
      </c>
      <c r="Q72" s="71">
        <f t="shared" si="4"/>
        <v>0</v>
      </c>
      <c r="R72" s="71">
        <f t="shared" si="4"/>
        <v>0</v>
      </c>
      <c r="S72" s="71">
        <f t="shared" si="4"/>
        <v>0</v>
      </c>
      <c r="T72" s="71">
        <f>SUM(E70:S71)</f>
        <v>0</v>
      </c>
      <c r="U72" s="53"/>
      <c r="V72" s="53"/>
      <c r="W72" s="54"/>
    </row>
    <row r="73" spans="1:24" hidden="1" x14ac:dyDescent="0.35">
      <c r="C73" s="136"/>
      <c r="D73" s="136"/>
    </row>
    <row r="74" spans="1:24" hidden="1" x14ac:dyDescent="0.35">
      <c r="C74" s="136"/>
      <c r="D74" s="136"/>
    </row>
    <row r="75" spans="1:24" hidden="1" x14ac:dyDescent="0.35">
      <c r="C75" s="136"/>
      <c r="D75" s="136"/>
      <c r="U75" s="3"/>
      <c r="V75" s="3"/>
      <c r="W75" s="4"/>
      <c r="X75"/>
    </row>
    <row r="76" spans="1:24" hidden="1" x14ac:dyDescent="0.35">
      <c r="C76" s="136"/>
      <c r="D76" s="136"/>
      <c r="U76" s="3"/>
      <c r="W76" s="4"/>
      <c r="X76"/>
    </row>
    <row r="77" spans="1:24" hidden="1" x14ac:dyDescent="0.35">
      <c r="U77" s="3"/>
      <c r="V77" s="3"/>
      <c r="W77" s="4"/>
      <c r="X77"/>
    </row>
    <row r="78" spans="1:24" hidden="1" x14ac:dyDescent="0.35">
      <c r="U78" s="3"/>
      <c r="V78" s="3"/>
      <c r="W78" s="4"/>
      <c r="X78"/>
    </row>
    <row r="79" spans="1:24" hidden="1" x14ac:dyDescent="0.35"/>
    <row r="80" spans="1:24" hidden="1" x14ac:dyDescent="0.35"/>
    <row r="81" spans="1:23" hidden="1" x14ac:dyDescent="0.35"/>
    <row r="82" spans="1:23" hidden="1" x14ac:dyDescent="0.35"/>
    <row r="83" spans="1:23" hidden="1" x14ac:dyDescent="0.35"/>
    <row r="84" spans="1:23" hidden="1" x14ac:dyDescent="0.35"/>
    <row r="85" spans="1:23" hidden="1" x14ac:dyDescent="0.35"/>
    <row r="86" spans="1:23" hidden="1" x14ac:dyDescent="0.35"/>
    <row r="87" spans="1:23" hidden="1" x14ac:dyDescent="0.35"/>
    <row r="88" spans="1:23" hidden="1" x14ac:dyDescent="0.35">
      <c r="A88" s="49"/>
      <c r="B88" s="53"/>
      <c r="C88" s="53"/>
      <c r="D88" s="53"/>
      <c r="E88" s="53"/>
      <c r="F88" s="53"/>
      <c r="G88" s="53"/>
      <c r="H88" s="53"/>
      <c r="I88" s="53"/>
      <c r="J88" s="53"/>
      <c r="K88" s="53"/>
      <c r="L88" s="53"/>
      <c r="M88" s="53"/>
      <c r="N88" s="53"/>
      <c r="O88" s="53"/>
      <c r="P88" s="53"/>
      <c r="Q88" s="53"/>
      <c r="R88" s="53"/>
      <c r="S88" s="53"/>
      <c r="T88" s="53"/>
      <c r="U88" s="53"/>
      <c r="V88" s="53"/>
      <c r="W88" s="54"/>
    </row>
    <row r="89" spans="1:23" hidden="1" x14ac:dyDescent="0.35">
      <c r="A89" s="49"/>
      <c r="B89" s="53"/>
      <c r="C89" s="53"/>
      <c r="D89" s="53"/>
      <c r="E89" s="53"/>
      <c r="F89" s="53"/>
      <c r="G89" s="53"/>
      <c r="H89" s="53"/>
      <c r="I89" s="53"/>
      <c r="J89" s="53"/>
      <c r="K89" s="53"/>
      <c r="L89" s="53"/>
      <c r="M89" s="53"/>
      <c r="N89" s="53"/>
      <c r="O89" s="53"/>
      <c r="P89" s="53"/>
      <c r="Q89" s="53"/>
      <c r="R89" s="53"/>
      <c r="S89" s="53"/>
      <c r="T89" s="53"/>
      <c r="U89" s="53"/>
      <c r="V89" s="53"/>
      <c r="W89" s="54"/>
    </row>
    <row r="90" spans="1:23" hidden="1" x14ac:dyDescent="0.35">
      <c r="A90" s="49"/>
      <c r="B90" s="53"/>
      <c r="C90" s="53"/>
      <c r="D90" s="53"/>
      <c r="E90" s="53"/>
      <c r="F90" s="53"/>
      <c r="G90" s="53"/>
      <c r="H90" s="53"/>
      <c r="I90" s="53"/>
      <c r="J90" s="53"/>
      <c r="K90" s="53"/>
      <c r="L90" s="53"/>
      <c r="M90" s="53"/>
      <c r="N90" s="53"/>
      <c r="O90" s="53"/>
      <c r="P90" s="53"/>
      <c r="Q90" s="53"/>
      <c r="R90" s="53"/>
      <c r="S90" s="53"/>
      <c r="T90" s="53"/>
      <c r="U90" s="53"/>
      <c r="V90" s="53"/>
      <c r="W90" s="54"/>
    </row>
    <row r="91" spans="1:23" hidden="1" x14ac:dyDescent="0.35">
      <c r="A91" s="49"/>
      <c r="B91" s="53"/>
      <c r="C91" s="53"/>
      <c r="D91" s="53"/>
      <c r="E91" s="53"/>
      <c r="F91" s="53"/>
      <c r="G91" s="53"/>
      <c r="H91" s="53"/>
      <c r="I91" s="53"/>
      <c r="J91" s="53"/>
      <c r="K91" s="53"/>
      <c r="L91" s="53"/>
      <c r="M91" s="53"/>
      <c r="N91" s="53"/>
      <c r="O91" s="53"/>
      <c r="P91" s="53"/>
      <c r="Q91" s="53"/>
      <c r="R91" s="53"/>
      <c r="S91" s="53"/>
      <c r="T91" s="53"/>
      <c r="U91" s="53"/>
      <c r="V91" s="53"/>
      <c r="W91" s="54"/>
    </row>
    <row r="92" spans="1:23" hidden="1" x14ac:dyDescent="0.35">
      <c r="A92" s="49"/>
      <c r="B92" s="53"/>
      <c r="C92" s="53"/>
      <c r="D92" s="53"/>
      <c r="E92" s="53"/>
      <c r="F92" s="53"/>
      <c r="G92" s="53"/>
      <c r="H92" s="53"/>
      <c r="I92" s="53"/>
      <c r="J92" s="53"/>
      <c r="K92" s="53"/>
      <c r="L92" s="53"/>
      <c r="M92" s="53"/>
      <c r="N92" s="53"/>
      <c r="O92" s="53"/>
      <c r="P92" s="53"/>
      <c r="Q92" s="53"/>
      <c r="R92" s="53"/>
      <c r="S92" s="53"/>
      <c r="T92" s="53"/>
      <c r="U92" s="53"/>
      <c r="V92" s="53"/>
      <c r="W92" s="54"/>
    </row>
    <row r="93" spans="1:23" hidden="1" x14ac:dyDescent="0.35">
      <c r="A93" s="49"/>
      <c r="B93" s="53"/>
      <c r="C93" s="53"/>
      <c r="D93" s="53"/>
      <c r="E93" s="53"/>
      <c r="F93" s="53"/>
      <c r="G93" s="53"/>
      <c r="H93" s="53"/>
      <c r="I93" s="53"/>
      <c r="J93" s="53"/>
      <c r="K93" s="53"/>
      <c r="L93" s="53"/>
      <c r="M93" s="53"/>
      <c r="N93" s="53"/>
      <c r="O93" s="53"/>
      <c r="P93" s="53"/>
      <c r="Q93" s="53"/>
      <c r="R93" s="53"/>
      <c r="S93" s="53"/>
      <c r="T93" s="53"/>
      <c r="U93" s="53"/>
      <c r="V93" s="53"/>
      <c r="W93" s="54"/>
    </row>
    <row r="94" spans="1:23" hidden="1" x14ac:dyDescent="0.35">
      <c r="A94" s="49"/>
      <c r="B94" s="53"/>
      <c r="C94" s="53"/>
      <c r="D94" s="53"/>
      <c r="E94" s="53"/>
      <c r="F94" s="53"/>
      <c r="G94" s="53"/>
      <c r="H94" s="53"/>
      <c r="I94" s="53"/>
      <c r="J94" s="53"/>
      <c r="K94" s="53"/>
      <c r="L94" s="53"/>
      <c r="M94" s="53"/>
      <c r="N94" s="53"/>
      <c r="O94" s="53"/>
      <c r="P94" s="53"/>
      <c r="Q94" s="53"/>
      <c r="R94" s="53"/>
      <c r="S94" s="53"/>
      <c r="T94" s="53"/>
      <c r="U94" s="53"/>
      <c r="V94" s="53"/>
      <c r="W94" s="54"/>
    </row>
    <row r="95" spans="1:23" hidden="1" x14ac:dyDescent="0.35">
      <c r="A95" s="49"/>
      <c r="B95" s="53"/>
      <c r="C95" s="53"/>
      <c r="D95" s="53"/>
      <c r="E95" s="53"/>
      <c r="F95" s="53"/>
      <c r="G95" s="53"/>
      <c r="H95" s="53"/>
      <c r="I95" s="53"/>
      <c r="J95" s="53"/>
      <c r="K95" s="53"/>
      <c r="L95" s="53"/>
      <c r="M95" s="53"/>
      <c r="N95" s="53"/>
      <c r="O95" s="53"/>
      <c r="P95" s="53"/>
      <c r="Q95" s="53"/>
      <c r="R95" s="53"/>
      <c r="S95" s="53"/>
      <c r="T95" s="53"/>
      <c r="U95" s="53"/>
      <c r="V95" s="53"/>
      <c r="W95" s="54"/>
    </row>
    <row r="96" spans="1:23" hidden="1" x14ac:dyDescent="0.35">
      <c r="W96" s="54"/>
    </row>
    <row r="97" spans="23:23" hidden="1" x14ac:dyDescent="0.35">
      <c r="W97" s="54"/>
    </row>
    <row r="98" spans="23:23" hidden="1" x14ac:dyDescent="0.35">
      <c r="W98" s="105"/>
    </row>
    <row r="99" spans="23:23" hidden="1" x14ac:dyDescent="0.35">
      <c r="W99" s="105"/>
    </row>
    <row r="100" spans="23:23" hidden="1" x14ac:dyDescent="0.35">
      <c r="W100" s="105"/>
    </row>
    <row r="101" spans="23:23" hidden="1" x14ac:dyDescent="0.35">
      <c r="W101" s="105"/>
    </row>
    <row r="102" spans="23:23" hidden="1" x14ac:dyDescent="0.35">
      <c r="W102" s="105"/>
    </row>
    <row r="103" spans="23:23" hidden="1" x14ac:dyDescent="0.35">
      <c r="W103" s="105"/>
    </row>
    <row r="104" spans="23:23" hidden="1" x14ac:dyDescent="0.35">
      <c r="W104" s="105"/>
    </row>
    <row r="105" spans="23:23" hidden="1" x14ac:dyDescent="0.35">
      <c r="W105" s="105"/>
    </row>
    <row r="106" spans="23:23" hidden="1" x14ac:dyDescent="0.35">
      <c r="W106" s="105"/>
    </row>
    <row r="107" spans="23:23" hidden="1" x14ac:dyDescent="0.35">
      <c r="W107" s="105"/>
    </row>
    <row r="108" spans="23:23" hidden="1" x14ac:dyDescent="0.35">
      <c r="W108" s="105"/>
    </row>
    <row r="109" spans="23:23" hidden="1" x14ac:dyDescent="0.35">
      <c r="W109" s="105"/>
    </row>
    <row r="110" spans="23:23" hidden="1" x14ac:dyDescent="0.35"/>
    <row r="111" spans="23:23" hidden="1" x14ac:dyDescent="0.35">
      <c r="W111" s="85"/>
    </row>
    <row r="112" spans="23:23" hidden="1" x14ac:dyDescent="0.35"/>
    <row r="113" hidden="1" x14ac:dyDescent="0.35"/>
    <row r="114" hidden="1" x14ac:dyDescent="0.35"/>
    <row r="115" hidden="1" x14ac:dyDescent="0.35"/>
    <row r="116" hidden="1" x14ac:dyDescent="0.35"/>
    <row r="117" hidden="1" x14ac:dyDescent="0.35"/>
    <row r="118" hidden="1" x14ac:dyDescent="0.35"/>
    <row r="119" hidden="1" x14ac:dyDescent="0.35"/>
    <row r="120" hidden="1" x14ac:dyDescent="0.35"/>
    <row r="121" hidden="1" x14ac:dyDescent="0.35"/>
    <row r="122" hidden="1" x14ac:dyDescent="0.35"/>
    <row r="123" hidden="1" x14ac:dyDescent="0.35"/>
    <row r="124" hidden="1" x14ac:dyDescent="0.35"/>
    <row r="125" hidden="1" x14ac:dyDescent="0.35"/>
    <row r="126" hidden="1" x14ac:dyDescent="0.35"/>
    <row r="127" hidden="1" x14ac:dyDescent="0.35"/>
    <row r="128" hidden="1" x14ac:dyDescent="0.35"/>
    <row r="129" hidden="1" x14ac:dyDescent="0.35"/>
    <row r="130" hidden="1" x14ac:dyDescent="0.35"/>
    <row r="131" hidden="1" x14ac:dyDescent="0.35"/>
    <row r="132" hidden="1" x14ac:dyDescent="0.35"/>
    <row r="133" hidden="1" x14ac:dyDescent="0.35"/>
    <row r="134" hidden="1" x14ac:dyDescent="0.35"/>
    <row r="135" hidden="1" x14ac:dyDescent="0.35"/>
    <row r="136" hidden="1" x14ac:dyDescent="0.35"/>
    <row r="137" hidden="1" x14ac:dyDescent="0.35"/>
    <row r="138" hidden="1" x14ac:dyDescent="0.35"/>
    <row r="139" hidden="1" x14ac:dyDescent="0.35"/>
    <row r="140" hidden="1" x14ac:dyDescent="0.35"/>
  </sheetData>
  <sheetProtection password="813F" sheet="1" objects="1" scenarios="1" selectLockedCells="1"/>
  <customSheetViews>
    <customSheetView guid="{51165254-F18A-4CD1-9981-8F2DE14CC76C}" showGridLines="0" fitToPage="1" hiddenRows="1" hiddenColumns="1" showRuler="0" topLeftCell="A19">
      <selection activeCell="Q30" sqref="Q30"/>
      <pageMargins left="0.78740157480314965" right="0.78740157480314965" top="0.98425196850393704" bottom="0.98425196850393704" header="0.51181102362204722" footer="0.51181102362204722"/>
      <printOptions horizontalCentered="1" verticalCentered="1"/>
      <pageSetup paperSize="9" scale="55" orientation="portrait" r:id="rId1"/>
      <headerFooter alignWithMargins="0">
        <oddHeader>&amp;L&amp;F</oddHeader>
        <oddFooter xml:space="preserve">&amp;LDAF Dealer Business Plan&amp;CPrint date: &amp;D&amp;R&amp;P/&amp;N | DAF Trucks NV    </oddFooter>
      </headerFooter>
    </customSheetView>
  </customSheetViews>
  <mergeCells count="145">
    <mergeCell ref="I51:J51"/>
    <mergeCell ref="I20:J20"/>
    <mergeCell ref="M51:N51"/>
    <mergeCell ref="O51:P51"/>
    <mergeCell ref="Q51:R51"/>
    <mergeCell ref="Q52:R52"/>
    <mergeCell ref="B48:B49"/>
    <mergeCell ref="O9:P9"/>
    <mergeCell ref="G40:H40"/>
    <mergeCell ref="G9:H9"/>
    <mergeCell ref="G10:H10"/>
    <mergeCell ref="G11:H11"/>
    <mergeCell ref="K10:L10"/>
    <mergeCell ref="I9:J9"/>
    <mergeCell ref="I10:J10"/>
    <mergeCell ref="K18:L18"/>
    <mergeCell ref="M9:N9"/>
    <mergeCell ref="M10:N10"/>
    <mergeCell ref="M11:N11"/>
    <mergeCell ref="M12:N12"/>
    <mergeCell ref="K9:L9"/>
    <mergeCell ref="K11:L11"/>
    <mergeCell ref="O10:P10"/>
    <mergeCell ref="O12:P12"/>
    <mergeCell ref="S9:T9"/>
    <mergeCell ref="I21:J21"/>
    <mergeCell ref="Q9:R9"/>
    <mergeCell ref="S10:T10"/>
    <mergeCell ref="S11:T11"/>
    <mergeCell ref="G20:H20"/>
    <mergeCell ref="K20:L20"/>
    <mergeCell ref="E60:T60"/>
    <mergeCell ref="S21:T21"/>
    <mergeCell ref="Q12:R12"/>
    <mergeCell ref="Q11:R11"/>
    <mergeCell ref="Q40:R40"/>
    <mergeCell ref="M21:N21"/>
    <mergeCell ref="M20:N20"/>
    <mergeCell ref="G41:H41"/>
    <mergeCell ref="O40:P40"/>
    <mergeCell ref="I41:J41"/>
    <mergeCell ref="M41:N41"/>
    <mergeCell ref="O41:P41"/>
    <mergeCell ref="K39:T39"/>
    <mergeCell ref="K41:L41"/>
    <mergeCell ref="Q41:R41"/>
    <mergeCell ref="S40:T40"/>
    <mergeCell ref="S41:T41"/>
    <mergeCell ref="E68:T68"/>
    <mergeCell ref="S42:T42"/>
    <mergeCell ref="S43:T43"/>
    <mergeCell ref="E43:F43"/>
    <mergeCell ref="E42:F42"/>
    <mergeCell ref="Q42:R42"/>
    <mergeCell ref="Q43:R43"/>
    <mergeCell ref="Q49:R49"/>
    <mergeCell ref="M43:N43"/>
    <mergeCell ref="B56:G56"/>
    <mergeCell ref="I43:J43"/>
    <mergeCell ref="G42:H42"/>
    <mergeCell ref="I42:J42"/>
    <mergeCell ref="K43:L43"/>
    <mergeCell ref="E51:F51"/>
    <mergeCell ref="G51:H51"/>
    <mergeCell ref="K51:L51"/>
    <mergeCell ref="K42:L42"/>
    <mergeCell ref="O42:P42"/>
    <mergeCell ref="K49:L49"/>
    <mergeCell ref="S52:T52"/>
    <mergeCell ref="E52:F52"/>
    <mergeCell ref="G52:H52"/>
    <mergeCell ref="I52:J52"/>
    <mergeCell ref="E7:T7"/>
    <mergeCell ref="E38:T38"/>
    <mergeCell ref="E9:F9"/>
    <mergeCell ref="G12:H12"/>
    <mergeCell ref="A24:W24"/>
    <mergeCell ref="E8:J8"/>
    <mergeCell ref="K8:T8"/>
    <mergeCell ref="E17:J17"/>
    <mergeCell ref="K17:T17"/>
    <mergeCell ref="E16:T16"/>
    <mergeCell ref="E18:F18"/>
    <mergeCell ref="S18:T18"/>
    <mergeCell ref="M19:N19"/>
    <mergeCell ref="O19:P19"/>
    <mergeCell ref="Q19:R19"/>
    <mergeCell ref="S19:T19"/>
    <mergeCell ref="M18:N18"/>
    <mergeCell ref="S12:T12"/>
    <mergeCell ref="Q10:R10"/>
    <mergeCell ref="O11:P11"/>
    <mergeCell ref="O18:P18"/>
    <mergeCell ref="Q18:R18"/>
    <mergeCell ref="E19:F19"/>
    <mergeCell ref="E10:F10"/>
    <mergeCell ref="M40:N40"/>
    <mergeCell ref="K40:L40"/>
    <mergeCell ref="Q21:R21"/>
    <mergeCell ref="O20:P20"/>
    <mergeCell ref="Q20:R20"/>
    <mergeCell ref="S20:T20"/>
    <mergeCell ref="E47:T47"/>
    <mergeCell ref="K21:L21"/>
    <mergeCell ref="O21:P21"/>
    <mergeCell ref="K52:L52"/>
    <mergeCell ref="M52:N52"/>
    <mergeCell ref="O52:P52"/>
    <mergeCell ref="E41:F41"/>
    <mergeCell ref="G49:H49"/>
    <mergeCell ref="I49:J49"/>
    <mergeCell ref="S49:T49"/>
    <mergeCell ref="O43:P43"/>
    <mergeCell ref="E50:F50"/>
    <mergeCell ref="G50:H50"/>
    <mergeCell ref="I50:J50"/>
    <mergeCell ref="K50:L50"/>
    <mergeCell ref="M42:N42"/>
    <mergeCell ref="M50:N50"/>
    <mergeCell ref="O50:P50"/>
    <mergeCell ref="S51:T51"/>
    <mergeCell ref="O49:P49"/>
    <mergeCell ref="M49:N49"/>
    <mergeCell ref="E49:F49"/>
    <mergeCell ref="G43:H43"/>
    <mergeCell ref="Q50:R50"/>
    <mergeCell ref="S50:T50"/>
    <mergeCell ref="E48:J48"/>
    <mergeCell ref="K48:T48"/>
    <mergeCell ref="E12:F12"/>
    <mergeCell ref="K12:L12"/>
    <mergeCell ref="I12:J12"/>
    <mergeCell ref="E11:F11"/>
    <mergeCell ref="I11:J11"/>
    <mergeCell ref="E40:F40"/>
    <mergeCell ref="I40:J40"/>
    <mergeCell ref="G18:H18"/>
    <mergeCell ref="I18:J18"/>
    <mergeCell ref="E21:F21"/>
    <mergeCell ref="G21:H21"/>
    <mergeCell ref="E39:J39"/>
    <mergeCell ref="G19:H19"/>
    <mergeCell ref="I19:J19"/>
    <mergeCell ref="K19:L19"/>
    <mergeCell ref="E20:F20"/>
  </mergeCells>
  <phoneticPr fontId="11" type="noConversion"/>
  <conditionalFormatting sqref="H56">
    <cfRule type="cellIs" dxfId="2" priority="1" stopIfTrue="1" operator="equal">
      <formula>0</formula>
    </cfRule>
  </conditionalFormatting>
  <dataValidations count="1">
    <dataValidation type="decimal" allowBlank="1" showInputMessage="1" showErrorMessage="1" sqref="E27:S33 E19:T20 H56 E10:T11 E50:T51 E41:T42">
      <formula1>0</formula1>
      <formula2>10000000</formula2>
    </dataValidation>
  </dataValidations>
  <printOptions horizontalCentered="1" verticalCentered="1"/>
  <pageMargins left="0.78740157480314965" right="0.78740157480314965" top="0.98425196850393704" bottom="0.98425196850393704" header="0.51181102362204722" footer="0.51181102362204722"/>
  <pageSetup paperSize="9" scale="55" orientation="portrait" r:id="rId2"/>
  <headerFooter alignWithMargins="0">
    <oddHeader>&amp;L&amp;F</oddHeader>
    <oddFooter xml:space="preserve">&amp;LDAF Dealer Business Plan - Version January 2011&amp;CPrint date: &amp;D&amp;R&amp;P/&amp;N | DAF Trucks NV    </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01377" r:id="rId5" name="Button 1">
              <controlPr defaultSize="0" print="0" autoFill="0" autoPict="0">
                <anchor moveWithCells="1" sizeWithCells="1">
                  <from>
                    <xdr:col>7</xdr:col>
                    <xdr:colOff>91440</xdr:colOff>
                    <xdr:row>8</xdr:row>
                    <xdr:rowOff>91440</xdr:rowOff>
                  </from>
                  <to>
                    <xdr:col>7</xdr:col>
                    <xdr:colOff>358140</xdr:colOff>
                    <xdr:row>8</xdr:row>
                    <xdr:rowOff>91440</xdr:rowOff>
                  </to>
                </anchor>
              </controlPr>
            </control>
          </mc:Choice>
        </mc:AlternateContent>
        <mc:AlternateContent xmlns:mc="http://schemas.openxmlformats.org/markup-compatibility/2006">
          <mc:Choice Requires="x14">
            <control shapeId="101384" r:id="rId6" name="Button 8">
              <controlPr defaultSize="0" print="0" autoFill="0" autoPict="0">
                <anchor moveWithCells="1" sizeWithCells="1">
                  <from>
                    <xdr:col>7</xdr:col>
                    <xdr:colOff>91440</xdr:colOff>
                    <xdr:row>15</xdr:row>
                    <xdr:rowOff>167640</xdr:rowOff>
                  </from>
                  <to>
                    <xdr:col>7</xdr:col>
                    <xdr:colOff>358140</xdr:colOff>
                    <xdr:row>15</xdr:row>
                    <xdr:rowOff>167640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5">
    <tabColor indexed="11"/>
    <pageSetUpPr fitToPage="1"/>
  </sheetPr>
  <dimension ref="A1:Z56"/>
  <sheetViews>
    <sheetView showGridLines="0" topLeftCell="A19" zoomScale="152" zoomScaleNormal="110" workbookViewId="0">
      <selection activeCell="K40" sqref="K40"/>
    </sheetView>
  </sheetViews>
  <sheetFormatPr baseColWidth="10" defaultColWidth="0" defaultRowHeight="13.2" zeroHeight="1" x14ac:dyDescent="0.25"/>
  <cols>
    <col min="1" max="1" width="9.109375" style="2" customWidth="1"/>
    <col min="2" max="3" width="9.109375" style="3" customWidth="1"/>
    <col min="4" max="11" width="13.33203125" style="3" customWidth="1"/>
    <col min="12" max="12" width="2.44140625" style="1572" customWidth="1"/>
    <col min="13" max="26" width="9.109375" style="1553" hidden="1" customWidth="1"/>
    <col min="27" max="16384" width="9.109375" style="3" hidden="1"/>
  </cols>
  <sheetData>
    <row r="1" spans="1:26" s="1" customFormat="1" ht="28.8" x14ac:dyDescent="0.55000000000000004">
      <c r="A1" s="200" t="str">
        <f>'5.0 Economy'!A1</f>
        <v xml:space="preserve">Market Analysis </v>
      </c>
      <c r="B1" s="201"/>
      <c r="C1" s="201"/>
      <c r="D1" s="201"/>
      <c r="E1" s="201"/>
      <c r="F1" s="201"/>
      <c r="G1" s="201"/>
      <c r="H1" s="201"/>
      <c r="I1" s="201"/>
      <c r="J1" s="201"/>
      <c r="K1" s="202" t="s">
        <v>723</v>
      </c>
      <c r="L1" s="1571"/>
      <c r="M1" s="1552"/>
      <c r="N1" s="1552"/>
      <c r="O1" s="1552"/>
      <c r="P1" s="1552"/>
      <c r="Q1" s="1552"/>
      <c r="R1" s="1552"/>
      <c r="S1" s="1552"/>
      <c r="T1" s="1552"/>
      <c r="U1" s="1552"/>
      <c r="V1" s="1552"/>
      <c r="W1" s="1552"/>
      <c r="X1" s="1552"/>
      <c r="Y1" s="1552"/>
      <c r="Z1" s="1552"/>
    </row>
    <row r="2" spans="1:26" x14ac:dyDescent="0.25">
      <c r="A2" s="20"/>
      <c r="B2" s="22"/>
      <c r="C2" s="30"/>
      <c r="D2" s="15"/>
      <c r="E2" s="27"/>
      <c r="H2" s="28"/>
      <c r="I2" s="15"/>
      <c r="J2" s="15"/>
      <c r="K2" s="11"/>
    </row>
    <row r="3" spans="1:26" x14ac:dyDescent="0.25">
      <c r="A3" s="2" t="s">
        <v>1049</v>
      </c>
      <c r="B3" s="22"/>
      <c r="C3" s="13" t="str">
        <f>'Reference sheet'!C12</f>
        <v>TRUCK INTERNATIONAL MOBILITY SA</v>
      </c>
      <c r="D3" s="15"/>
      <c r="E3" s="27"/>
      <c r="G3" s="29" t="s">
        <v>1037</v>
      </c>
      <c r="H3" s="31" t="str">
        <f>'Reference sheet'!C17</f>
        <v>October</v>
      </c>
      <c r="I3" s="924">
        <f>'Reference sheet'!D17</f>
        <v>2018</v>
      </c>
      <c r="J3" s="29" t="s">
        <v>1036</v>
      </c>
      <c r="K3" s="32">
        <f>'Reference sheet'!C15</f>
        <v>2</v>
      </c>
    </row>
    <row r="4" spans="1:26" x14ac:dyDescent="0.25">
      <c r="A4" s="5"/>
      <c r="B4" s="17"/>
      <c r="C4" s="6"/>
      <c r="D4" s="6"/>
      <c r="E4" s="6"/>
      <c r="F4" s="6"/>
      <c r="G4" s="33"/>
      <c r="H4" s="6"/>
      <c r="I4" s="6"/>
      <c r="J4" s="6"/>
      <c r="K4" s="18"/>
    </row>
    <row r="5" spans="1:26" x14ac:dyDescent="0.25"/>
    <row r="6" spans="1:26" s="1554" customFormat="1" ht="13.2" customHeight="1" x14ac:dyDescent="0.35">
      <c r="A6" s="1025" t="s">
        <v>1053</v>
      </c>
      <c r="B6" s="1026"/>
      <c r="C6" s="1026"/>
      <c r="D6" s="2129" t="s">
        <v>238</v>
      </c>
      <c r="E6" s="2112"/>
      <c r="F6" s="2070"/>
      <c r="G6" s="2130" t="s">
        <v>239</v>
      </c>
      <c r="H6" s="2131"/>
      <c r="I6" s="2131"/>
      <c r="J6" s="2131"/>
      <c r="K6" s="2132"/>
      <c r="L6" s="1572"/>
    </row>
    <row r="7" spans="1:26" x14ac:dyDescent="0.25">
      <c r="D7" s="19">
        <f>F7-2</f>
        <v>2016</v>
      </c>
      <c r="E7" s="19">
        <f>G7-2</f>
        <v>2017</v>
      </c>
      <c r="F7" s="19">
        <f>+G7-1</f>
        <v>2018</v>
      </c>
      <c r="G7" s="35">
        <f>'Reference sheet'!C18</f>
        <v>2019</v>
      </c>
      <c r="H7" s="24">
        <f>G7+1</f>
        <v>2020</v>
      </c>
      <c r="I7" s="24">
        <f>H7+1</f>
        <v>2021</v>
      </c>
      <c r="J7" s="24">
        <f>I7+1</f>
        <v>2022</v>
      </c>
      <c r="K7" s="24">
        <f>J7+1</f>
        <v>2023</v>
      </c>
    </row>
    <row r="8" spans="1:26" x14ac:dyDescent="0.25">
      <c r="A8" s="25" t="s">
        <v>1054</v>
      </c>
      <c r="B8" s="36"/>
      <c r="C8" s="1"/>
      <c r="D8" s="1771">
        <f>'5.1 DAF Vehicle Parc Input'!E10</f>
        <v>607</v>
      </c>
      <c r="E8" s="1771">
        <f>'5.1 DAF Vehicle Parc Input'!G10</f>
        <v>820</v>
      </c>
      <c r="F8" s="1771">
        <f>'5.1 DAF Vehicle Parc Input'!I10</f>
        <v>600</v>
      </c>
      <c r="G8" s="1993">
        <f>'5.1 DAF Vehicle Parc Input'!K10</f>
        <v>420</v>
      </c>
      <c r="H8" s="1993">
        <f>'5.1 DAF Vehicle Parc Input'!M10</f>
        <v>500</v>
      </c>
      <c r="I8" s="1993">
        <f>'5.1 DAF Vehicle Parc Input'!O10</f>
        <v>600</v>
      </c>
      <c r="J8" s="1993">
        <f>'5.1 DAF Vehicle Parc Input'!Q10</f>
        <v>700</v>
      </c>
      <c r="K8" s="1993">
        <f>'5.1 DAF Vehicle Parc Input'!S10</f>
        <v>800</v>
      </c>
    </row>
    <row r="9" spans="1:26" x14ac:dyDescent="0.25">
      <c r="A9" s="20" t="s">
        <v>1055</v>
      </c>
      <c r="D9" s="1771">
        <f>'5.1 DAF Vehicle Parc Input'!E11</f>
        <v>1325</v>
      </c>
      <c r="E9" s="1771">
        <f>'5.1 DAF Vehicle Parc Input'!G11</f>
        <v>1772</v>
      </c>
      <c r="F9" s="1771">
        <f>'5.1 DAF Vehicle Parc Input'!I11</f>
        <v>900</v>
      </c>
      <c r="G9" s="1993">
        <f>'5.1 DAF Vehicle Parc Input'!K11</f>
        <v>730</v>
      </c>
      <c r="H9" s="1993">
        <f>'5.1 DAF Vehicle Parc Input'!M11</f>
        <v>910</v>
      </c>
      <c r="I9" s="1993">
        <f>'5.1 DAF Vehicle Parc Input'!O11</f>
        <v>1250</v>
      </c>
      <c r="J9" s="1993">
        <f>'5.1 DAF Vehicle Parc Input'!Q11</f>
        <v>1400</v>
      </c>
      <c r="K9" s="1993">
        <f>'5.1 DAF Vehicle Parc Input'!S11</f>
        <v>1535</v>
      </c>
    </row>
    <row r="10" spans="1:26" x14ac:dyDescent="0.25">
      <c r="A10" s="37" t="s">
        <v>1056</v>
      </c>
      <c r="B10" s="14"/>
      <c r="C10" s="8"/>
      <c r="D10" s="39">
        <f t="shared" ref="D10:K10" si="0">SUM(D8:D9)</f>
        <v>1932</v>
      </c>
      <c r="E10" s="39">
        <f t="shared" si="0"/>
        <v>2592</v>
      </c>
      <c r="F10" s="40">
        <f t="shared" si="0"/>
        <v>1500</v>
      </c>
      <c r="G10" s="40">
        <f t="shared" si="0"/>
        <v>1150</v>
      </c>
      <c r="H10" s="40">
        <f t="shared" si="0"/>
        <v>1410</v>
      </c>
      <c r="I10" s="40">
        <f t="shared" si="0"/>
        <v>1850</v>
      </c>
      <c r="J10" s="40">
        <f t="shared" si="0"/>
        <v>2100</v>
      </c>
      <c r="K10" s="40">
        <f t="shared" si="0"/>
        <v>2335</v>
      </c>
    </row>
    <row r="11" spans="1:26" x14ac:dyDescent="0.25"/>
    <row r="12" spans="1:26" x14ac:dyDescent="0.25"/>
    <row r="13" spans="1:26" x14ac:dyDescent="0.25"/>
    <row r="14" spans="1:26" x14ac:dyDescent="0.25"/>
    <row r="15" spans="1:26" x14ac:dyDescent="0.25"/>
    <row r="16" spans="1:26" x14ac:dyDescent="0.25"/>
    <row r="17" spans="1:12" x14ac:dyDescent="0.25"/>
    <row r="18" spans="1:12" x14ac:dyDescent="0.25"/>
    <row r="19" spans="1:12" x14ac:dyDescent="0.25"/>
    <row r="20" spans="1:12" x14ac:dyDescent="0.25"/>
    <row r="21" spans="1:12" x14ac:dyDescent="0.25"/>
    <row r="22" spans="1:12" x14ac:dyDescent="0.25"/>
    <row r="23" spans="1:12" x14ac:dyDescent="0.25"/>
    <row r="24" spans="1:12" x14ac:dyDescent="0.25"/>
    <row r="25" spans="1:12" x14ac:dyDescent="0.25"/>
    <row r="26" spans="1:12" x14ac:dyDescent="0.25"/>
    <row r="27" spans="1:12" x14ac:dyDescent="0.25"/>
    <row r="28" spans="1:12" x14ac:dyDescent="0.25"/>
    <row r="29" spans="1:12" x14ac:dyDescent="0.25"/>
    <row r="30" spans="1:12" x14ac:dyDescent="0.25">
      <c r="A30" s="3"/>
    </row>
    <row r="31" spans="1:12" x14ac:dyDescent="0.25">
      <c r="A31" s="6"/>
      <c r="K31" s="8"/>
    </row>
    <row r="32" spans="1:12" s="1554" customFormat="1" x14ac:dyDescent="0.25">
      <c r="A32" s="1025" t="s">
        <v>1057</v>
      </c>
      <c r="B32" s="1028"/>
      <c r="C32" s="1028"/>
      <c r="D32" s="1028"/>
      <c r="E32" s="1028"/>
      <c r="F32" s="1028"/>
      <c r="G32" s="1028"/>
      <c r="H32" s="1028"/>
      <c r="I32" s="1028"/>
      <c r="J32" s="1028"/>
      <c r="K32" s="1029"/>
      <c r="L32" s="1572"/>
    </row>
    <row r="33" spans="1:12" x14ac:dyDescent="0.25">
      <c r="A33" s="1016"/>
      <c r="B33" s="1017"/>
      <c r="C33" s="1017"/>
      <c r="D33" s="1017"/>
      <c r="E33" s="1017"/>
      <c r="F33" s="1017"/>
      <c r="G33" s="1017"/>
      <c r="H33" s="1017"/>
      <c r="I33" s="1017"/>
      <c r="J33" s="1017"/>
      <c r="K33" s="1018"/>
    </row>
    <row r="34" spans="1:12" x14ac:dyDescent="0.25">
      <c r="A34" s="1019"/>
      <c r="B34" s="1020"/>
      <c r="C34" s="1020"/>
      <c r="D34" s="1020"/>
      <c r="E34" s="1020"/>
      <c r="F34" s="1020"/>
      <c r="G34" s="1020"/>
      <c r="H34" s="1020"/>
      <c r="I34" s="1020"/>
      <c r="J34" s="1020"/>
      <c r="K34" s="1021"/>
    </row>
    <row r="35" spans="1:12" x14ac:dyDescent="0.25">
      <c r="A35" s="1019" t="s">
        <v>1317</v>
      </c>
      <c r="B35" s="1020"/>
      <c r="C35" s="1020"/>
      <c r="D35" s="1020"/>
      <c r="E35" s="1020"/>
      <c r="F35" s="1020"/>
      <c r="G35" s="1020"/>
      <c r="H35" s="1020"/>
      <c r="I35" s="1020"/>
      <c r="J35" s="1020"/>
      <c r="K35" s="1021"/>
    </row>
    <row r="36" spans="1:12" x14ac:dyDescent="0.25">
      <c r="A36" s="1019" t="s">
        <v>1317</v>
      </c>
      <c r="B36" s="1020"/>
      <c r="C36" s="1020"/>
      <c r="D36" s="1020"/>
      <c r="E36" s="1020"/>
      <c r="F36" s="1020"/>
      <c r="G36" s="1020"/>
      <c r="H36" s="1020"/>
      <c r="I36" s="1020"/>
      <c r="J36" s="1020"/>
      <c r="K36" s="1021"/>
    </row>
    <row r="37" spans="1:12" x14ac:dyDescent="0.25">
      <c r="A37" s="1019"/>
      <c r="B37" s="1020" t="s">
        <v>1317</v>
      </c>
      <c r="C37" s="1020"/>
      <c r="D37" s="1020"/>
      <c r="E37" s="1020"/>
      <c r="F37" s="1020"/>
      <c r="G37" s="1020"/>
      <c r="H37" s="1020"/>
      <c r="I37" s="1020"/>
      <c r="J37" s="1020"/>
      <c r="K37" s="1021"/>
    </row>
    <row r="38" spans="1:12" x14ac:dyDescent="0.25">
      <c r="A38" s="1019"/>
      <c r="B38" s="1020"/>
      <c r="C38" s="1020"/>
      <c r="D38" s="1020"/>
      <c r="E38" s="1020"/>
      <c r="F38" s="1020"/>
      <c r="G38" s="1020"/>
      <c r="H38" s="1020"/>
      <c r="I38" s="1020"/>
      <c r="J38" s="1020"/>
      <c r="K38" s="1021"/>
    </row>
    <row r="39" spans="1:12" x14ac:dyDescent="0.25">
      <c r="A39" s="1019"/>
      <c r="B39" s="1020"/>
      <c r="C39" s="1020"/>
      <c r="D39" s="1020"/>
      <c r="E39" s="1020"/>
      <c r="F39" s="1020"/>
      <c r="G39" s="1020"/>
      <c r="H39" s="1020"/>
      <c r="I39" s="1020"/>
      <c r="J39" s="1020"/>
      <c r="K39" s="1021"/>
    </row>
    <row r="40" spans="1:12" x14ac:dyDescent="0.25">
      <c r="A40" s="1022"/>
      <c r="B40" s="1023"/>
      <c r="C40" s="1023"/>
      <c r="D40" s="1023"/>
      <c r="E40" s="1023"/>
      <c r="F40" s="1023"/>
      <c r="G40" s="1023"/>
      <c r="H40" s="1023"/>
      <c r="I40" s="1023"/>
      <c r="J40" s="1023"/>
      <c r="K40" s="1024"/>
    </row>
    <row r="41" spans="1:12" x14ac:dyDescent="0.25">
      <c r="A41" s="8"/>
    </row>
    <row r="42" spans="1:12" s="1554" customFormat="1" x14ac:dyDescent="0.25">
      <c r="A42" s="1025" t="s">
        <v>763</v>
      </c>
      <c r="B42" s="1028"/>
      <c r="C42" s="1028"/>
      <c r="D42" s="1028"/>
      <c r="E42" s="1028"/>
      <c r="F42" s="1028"/>
      <c r="G42" s="1028"/>
      <c r="H42" s="1028"/>
      <c r="I42" s="1028"/>
      <c r="J42" s="1028"/>
      <c r="K42" s="1029"/>
      <c r="L42" s="1572"/>
    </row>
    <row r="43" spans="1:12" x14ac:dyDescent="0.25">
      <c r="A43" s="1016"/>
      <c r="B43" s="1017"/>
      <c r="C43" s="1017"/>
      <c r="D43" s="1017"/>
      <c r="E43" s="1017"/>
      <c r="F43" s="1017"/>
      <c r="G43" s="1017"/>
      <c r="H43" s="1017"/>
      <c r="I43" s="1017"/>
      <c r="J43" s="1017"/>
      <c r="K43" s="1018"/>
    </row>
    <row r="44" spans="1:12" x14ac:dyDescent="0.25">
      <c r="A44" s="1019"/>
      <c r="B44" s="1020"/>
      <c r="C44" s="1020"/>
      <c r="D44" s="1020"/>
      <c r="E44" s="1020"/>
      <c r="F44" s="1020"/>
      <c r="G44" s="1020"/>
      <c r="H44" s="1020"/>
      <c r="I44" s="1020"/>
      <c r="J44" s="1020"/>
      <c r="K44" s="1021"/>
    </row>
    <row r="45" spans="1:12" x14ac:dyDescent="0.25">
      <c r="A45" s="1019"/>
      <c r="B45" s="1020"/>
      <c r="C45" s="1020"/>
      <c r="D45" s="1020"/>
      <c r="E45" s="1020"/>
      <c r="F45" s="1020"/>
      <c r="G45" s="1020"/>
      <c r="H45" s="1020"/>
      <c r="I45" s="1020"/>
      <c r="J45" s="1020"/>
      <c r="K45" s="1021"/>
    </row>
    <row r="46" spans="1:12" x14ac:dyDescent="0.25">
      <c r="A46" s="1019"/>
      <c r="B46" s="1020"/>
      <c r="C46" s="1020"/>
      <c r="D46" s="1020"/>
      <c r="E46" s="1020"/>
      <c r="F46" s="1020"/>
      <c r="G46" s="1020"/>
      <c r="H46" s="1020"/>
      <c r="I46" s="1020"/>
      <c r="J46" s="1020"/>
      <c r="K46" s="1021"/>
    </row>
    <row r="47" spans="1:12" x14ac:dyDescent="0.25">
      <c r="A47" s="1019"/>
      <c r="B47" s="1020"/>
      <c r="C47" s="1020"/>
      <c r="D47" s="1020"/>
      <c r="E47" s="1020"/>
      <c r="F47" s="1020"/>
      <c r="G47" s="1020"/>
      <c r="H47" s="1020"/>
      <c r="I47" s="1020"/>
      <c r="J47" s="1020"/>
      <c r="K47" s="1021"/>
    </row>
    <row r="48" spans="1:12" x14ac:dyDescent="0.25">
      <c r="A48" s="1022"/>
      <c r="B48" s="1023"/>
      <c r="C48" s="1023"/>
      <c r="D48" s="1023"/>
      <c r="E48" s="1023"/>
      <c r="F48" s="1023"/>
      <c r="G48" s="1023"/>
      <c r="H48" s="1023"/>
      <c r="I48" s="1023"/>
      <c r="J48" s="1023"/>
      <c r="K48" s="1024"/>
    </row>
    <row r="49" spans="1:12" x14ac:dyDescent="0.25">
      <c r="A49" s="8"/>
    </row>
    <row r="50" spans="1:12" s="1554" customFormat="1" x14ac:dyDescent="0.25">
      <c r="A50" s="1025" t="s">
        <v>764</v>
      </c>
      <c r="B50" s="1028"/>
      <c r="C50" s="1028"/>
      <c r="D50" s="1028"/>
      <c r="E50" s="1028"/>
      <c r="F50" s="1028"/>
      <c r="G50" s="1028"/>
      <c r="H50" s="1028"/>
      <c r="I50" s="1028"/>
      <c r="J50" s="1028"/>
      <c r="K50" s="1029"/>
      <c r="L50" s="1572"/>
    </row>
    <row r="51" spans="1:12" x14ac:dyDescent="0.25">
      <c r="A51" s="1016"/>
      <c r="B51" s="1017"/>
      <c r="C51" s="1017"/>
      <c r="D51" s="1017"/>
      <c r="E51" s="1017"/>
      <c r="F51" s="1017"/>
      <c r="G51" s="1017"/>
      <c r="H51" s="1017"/>
      <c r="I51" s="1017"/>
      <c r="J51" s="1017"/>
      <c r="K51" s="1018"/>
    </row>
    <row r="52" spans="1:12" x14ac:dyDescent="0.25">
      <c r="A52" s="1019"/>
      <c r="B52" s="1020"/>
      <c r="C52" s="1020"/>
      <c r="D52" s="1020"/>
      <c r="E52" s="1020"/>
      <c r="F52" s="1020"/>
      <c r="G52" s="1020"/>
      <c r="H52" s="1020"/>
      <c r="I52" s="1020"/>
      <c r="J52" s="1020"/>
      <c r="K52" s="1021"/>
    </row>
    <row r="53" spans="1:12" x14ac:dyDescent="0.25">
      <c r="A53" s="1019"/>
      <c r="B53" s="1020"/>
      <c r="C53" s="1020"/>
      <c r="D53" s="1020"/>
      <c r="E53" s="1020"/>
      <c r="F53" s="1020"/>
      <c r="G53" s="1020"/>
      <c r="H53" s="1020"/>
      <c r="I53" s="1020"/>
      <c r="J53" s="1020"/>
      <c r="K53" s="1021"/>
    </row>
    <row r="54" spans="1:12" x14ac:dyDescent="0.25">
      <c r="A54" s="1019"/>
      <c r="B54" s="1020"/>
      <c r="C54" s="1020"/>
      <c r="D54" s="1020"/>
      <c r="E54" s="1020"/>
      <c r="F54" s="1020"/>
      <c r="G54" s="1020"/>
      <c r="H54" s="1020"/>
      <c r="I54" s="1020"/>
      <c r="J54" s="1020"/>
      <c r="K54" s="1021"/>
    </row>
    <row r="55" spans="1:12" x14ac:dyDescent="0.25">
      <c r="A55" s="1019"/>
      <c r="B55" s="1020"/>
      <c r="C55" s="1020"/>
      <c r="D55" s="1020"/>
      <c r="E55" s="1020"/>
      <c r="F55" s="1020"/>
      <c r="G55" s="1020"/>
      <c r="H55" s="1020"/>
      <c r="I55" s="1020"/>
      <c r="J55" s="1020"/>
      <c r="K55" s="1021"/>
    </row>
    <row r="56" spans="1:12" x14ac:dyDescent="0.25">
      <c r="A56" s="1022"/>
      <c r="B56" s="1023"/>
      <c r="C56" s="1023"/>
      <c r="D56" s="1023"/>
      <c r="E56" s="1023"/>
      <c r="F56" s="1023"/>
      <c r="G56" s="1023"/>
      <c r="H56" s="1023"/>
      <c r="I56" s="1023"/>
      <c r="J56" s="1023"/>
      <c r="K56" s="1024"/>
    </row>
  </sheetData>
  <sheetProtection password="813F" sheet="1" objects="1" scenarios="1" selectLockedCells="1"/>
  <customSheetViews>
    <customSheetView guid="{51165254-F18A-4CD1-9981-8F2DE14CC76C}" showGridLines="0" fitToPage="1" hiddenRows="1" hiddenColumns="1" showRuler="0">
      <selection activeCell="D9" sqref="D9:F9"/>
      <pageMargins left="0.78740157480314965" right="0.78740157480314965" top="0.98425196850393704" bottom="0.98425196850393704" header="0.51181102362204722" footer="0.51181102362204722"/>
      <printOptions horizontalCentered="1" verticalCentered="1"/>
      <pageSetup paperSize="9" scale="65" orientation="portrait" r:id="rId1"/>
      <headerFooter alignWithMargins="0">
        <oddHeader>&amp;L&amp;F</oddHeader>
        <oddFooter xml:space="preserve">&amp;LDAF Dealer Business Plan&amp;CPrint date: &amp;D&amp;R&amp;P/&amp;N | DAF Trucks NV    </oddFooter>
      </headerFooter>
    </customSheetView>
  </customSheetViews>
  <mergeCells count="2">
    <mergeCell ref="D6:F6"/>
    <mergeCell ref="G6:K6"/>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65" orientation="portrait" r:id="rId2"/>
  <headerFooter alignWithMargins="0">
    <oddHeader>&amp;L&amp;F</oddHeader>
    <oddFooter xml:space="preserve">&amp;LDAF Dealer Business Plan - Version January 2011&amp;CPrint date: &amp;D&amp;R&amp;P/&amp;N | DAF Trucks NV    </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4100" r:id="rId5" name="Button 4">
              <controlPr defaultSize="0" print="0" autoFill="0" autoPict="0">
                <anchor moveWithCells="1">
                  <from>
                    <xdr:col>7</xdr:col>
                    <xdr:colOff>518160</xdr:colOff>
                    <xdr:row>10</xdr:row>
                    <xdr:rowOff>129540</xdr:rowOff>
                  </from>
                  <to>
                    <xdr:col>7</xdr:col>
                    <xdr:colOff>518160</xdr:colOff>
                    <xdr:row>11</xdr:row>
                    <xdr:rowOff>152400</xdr:rowOff>
                  </to>
                </anchor>
              </controlPr>
            </control>
          </mc:Choice>
        </mc:AlternateContent>
        <mc:AlternateContent xmlns:mc="http://schemas.openxmlformats.org/markup-compatibility/2006">
          <mc:Choice Requires="x14">
            <control shapeId="4101" r:id="rId6" name="Button 5">
              <controlPr defaultSize="0" print="0" autoFill="0" autoPict="0">
                <anchor moveWithCells="1">
                  <from>
                    <xdr:col>7</xdr:col>
                    <xdr:colOff>518160</xdr:colOff>
                    <xdr:row>10</xdr:row>
                    <xdr:rowOff>129540</xdr:rowOff>
                  </from>
                  <to>
                    <xdr:col>7</xdr:col>
                    <xdr:colOff>518160</xdr:colOff>
                    <xdr:row>11</xdr:row>
                    <xdr:rowOff>152400</xdr:rowOff>
                  </to>
                </anchor>
              </controlPr>
            </control>
          </mc:Choice>
        </mc:AlternateContent>
        <mc:AlternateContent xmlns:mc="http://schemas.openxmlformats.org/markup-compatibility/2006">
          <mc:Choice Requires="x14">
            <control shapeId="4102" r:id="rId7" name="Button 6">
              <controlPr defaultSize="0" print="0" autoFill="0" autoPict="0">
                <anchor moveWithCells="1">
                  <from>
                    <xdr:col>7</xdr:col>
                    <xdr:colOff>518160</xdr:colOff>
                    <xdr:row>8</xdr:row>
                    <xdr:rowOff>129540</xdr:rowOff>
                  </from>
                  <to>
                    <xdr:col>7</xdr:col>
                    <xdr:colOff>518160</xdr:colOff>
                    <xdr:row>9</xdr:row>
                    <xdr:rowOff>152400</xdr:rowOff>
                  </to>
                </anchor>
              </controlPr>
            </control>
          </mc:Choice>
        </mc:AlternateContent>
        <mc:AlternateContent xmlns:mc="http://schemas.openxmlformats.org/markup-compatibility/2006">
          <mc:Choice Requires="x14">
            <control shapeId="4104" r:id="rId8" name="Button 8">
              <controlPr defaultSize="0" print="0" autoFill="0" autoPict="0">
                <anchor moveWithCells="1">
                  <from>
                    <xdr:col>7</xdr:col>
                    <xdr:colOff>518160</xdr:colOff>
                    <xdr:row>35</xdr:row>
                    <xdr:rowOff>167640</xdr:rowOff>
                  </from>
                  <to>
                    <xdr:col>7</xdr:col>
                    <xdr:colOff>518160</xdr:colOff>
                    <xdr:row>36</xdr:row>
                    <xdr:rowOff>0</xdr:rowOff>
                  </to>
                </anchor>
              </controlPr>
            </control>
          </mc:Choice>
        </mc:AlternateContent>
        <mc:AlternateContent xmlns:mc="http://schemas.openxmlformats.org/markup-compatibility/2006">
          <mc:Choice Requires="x14">
            <control shapeId="4105" r:id="rId9" name="Button 9">
              <controlPr defaultSize="0" print="0" autoFill="0" autoPict="0">
                <anchor moveWithCells="1">
                  <from>
                    <xdr:col>7</xdr:col>
                    <xdr:colOff>518160</xdr:colOff>
                    <xdr:row>35</xdr:row>
                    <xdr:rowOff>167640</xdr:rowOff>
                  </from>
                  <to>
                    <xdr:col>7</xdr:col>
                    <xdr:colOff>518160</xdr:colOff>
                    <xdr:row>36</xdr:row>
                    <xdr:rowOff>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tabColor indexed="11"/>
    <pageSetUpPr fitToPage="1"/>
  </sheetPr>
  <dimension ref="A1:W105"/>
  <sheetViews>
    <sheetView showGridLines="0" topLeftCell="A34" zoomScale="125" zoomScaleNormal="90" workbookViewId="0">
      <selection activeCell="B11" sqref="B11"/>
    </sheetView>
  </sheetViews>
  <sheetFormatPr baseColWidth="10" defaultColWidth="0" defaultRowHeight="14.4" zeroHeight="1" x14ac:dyDescent="0.35"/>
  <cols>
    <col min="1" max="2" width="9.109375" style="45" customWidth="1"/>
    <col min="3" max="3" width="10.44140625" style="45" customWidth="1"/>
    <col min="4" max="11" width="15.109375" style="45" customWidth="1"/>
    <col min="12" max="12" width="1.77734375" style="44" customWidth="1"/>
    <col min="13" max="23" width="9.109375" style="168" hidden="1" customWidth="1"/>
    <col min="24" max="16384" width="9.109375" style="45" hidden="1"/>
  </cols>
  <sheetData>
    <row r="1" spans="1:12" ht="28.8" x14ac:dyDescent="0.55000000000000004">
      <c r="A1" s="200" t="str">
        <f>'5.1.1 NewTruck market-Country'!A1</f>
        <v xml:space="preserve">Market Analysis </v>
      </c>
      <c r="B1" s="201"/>
      <c r="C1" s="201"/>
      <c r="D1" s="201"/>
      <c r="E1" s="201"/>
      <c r="F1" s="201"/>
      <c r="G1" s="201"/>
      <c r="H1" s="201"/>
      <c r="I1" s="201"/>
      <c r="J1" s="201"/>
      <c r="K1" s="202" t="s">
        <v>724</v>
      </c>
    </row>
    <row r="2" spans="1:12" x14ac:dyDescent="0.35">
      <c r="A2" s="135"/>
      <c r="B2" s="169"/>
      <c r="C2" s="170"/>
      <c r="D2" s="171"/>
      <c r="E2" s="172"/>
      <c r="F2" s="136"/>
      <c r="G2" s="136"/>
      <c r="H2" s="173"/>
      <c r="I2" s="171"/>
      <c r="J2" s="171"/>
      <c r="K2" s="174"/>
    </row>
    <row r="3" spans="1:12" x14ac:dyDescent="0.35">
      <c r="A3" s="135" t="s">
        <v>1049</v>
      </c>
      <c r="B3" s="169"/>
      <c r="C3" s="164" t="str">
        <f>'Reference sheet'!C12</f>
        <v>TRUCK INTERNATIONAL MOBILITY SA</v>
      </c>
      <c r="D3" s="171"/>
      <c r="E3" s="172"/>
      <c r="F3" s="136"/>
      <c r="G3" s="175" t="s">
        <v>1037</v>
      </c>
      <c r="H3" s="176" t="str">
        <f>'Reference sheet'!C17</f>
        <v>October</v>
      </c>
      <c r="I3" s="863">
        <f>'Reference sheet'!D17</f>
        <v>2018</v>
      </c>
      <c r="J3" s="175" t="s">
        <v>1036</v>
      </c>
      <c r="K3" s="177">
        <f>'Reference sheet'!C15</f>
        <v>2</v>
      </c>
    </row>
    <row r="4" spans="1:12" ht="15" customHeight="1" x14ac:dyDescent="0.35">
      <c r="A4" s="145"/>
      <c r="B4" s="178"/>
      <c r="C4" s="146"/>
      <c r="D4" s="146"/>
      <c r="E4" s="146"/>
      <c r="F4" s="146"/>
      <c r="G4" s="179"/>
      <c r="H4" s="146"/>
      <c r="I4" s="146"/>
      <c r="J4" s="146"/>
      <c r="K4" s="180"/>
    </row>
    <row r="5" spans="1:12" ht="15" customHeight="1" x14ac:dyDescent="0.35">
      <c r="A5" s="184"/>
      <c r="B5" s="136"/>
      <c r="C5" s="136"/>
      <c r="D5" s="136"/>
      <c r="E5" s="136"/>
      <c r="F5" s="136"/>
      <c r="G5" s="136"/>
      <c r="H5" s="136"/>
      <c r="I5" s="136"/>
      <c r="J5" s="136"/>
      <c r="K5" s="184"/>
    </row>
    <row r="6" spans="1:12" s="167" customFormat="1" ht="13.2" customHeight="1" x14ac:dyDescent="0.35">
      <c r="A6" s="832" t="s">
        <v>1058</v>
      </c>
      <c r="B6" s="1030"/>
      <c r="C6" s="1030"/>
      <c r="D6" s="2135" t="s">
        <v>238</v>
      </c>
      <c r="E6" s="2103"/>
      <c r="F6" s="2104"/>
      <c r="G6" s="2111" t="s">
        <v>239</v>
      </c>
      <c r="H6" s="2133"/>
      <c r="I6" s="2133"/>
      <c r="J6" s="2133"/>
      <c r="K6" s="2134"/>
      <c r="L6" s="1573"/>
    </row>
    <row r="7" spans="1:12" ht="13.2" customHeight="1" x14ac:dyDescent="0.35">
      <c r="A7" s="2"/>
      <c r="B7" s="3"/>
      <c r="C7" s="3"/>
      <c r="D7" s="19">
        <f>F7-2</f>
        <v>2016</v>
      </c>
      <c r="E7" s="19">
        <f>G7-2</f>
        <v>2017</v>
      </c>
      <c r="F7" s="1408">
        <f>G7-1</f>
        <v>2018</v>
      </c>
      <c r="G7" s="1988">
        <f>'Reference sheet'!C18</f>
        <v>2019</v>
      </c>
      <c r="H7" s="1408">
        <f>G7+1</f>
        <v>2020</v>
      </c>
      <c r="I7" s="1408">
        <f>H7+1</f>
        <v>2021</v>
      </c>
      <c r="J7" s="1408">
        <f>I7+1</f>
        <v>2022</v>
      </c>
      <c r="K7" s="1408">
        <f>J7+1</f>
        <v>2023</v>
      </c>
      <c r="L7" s="1574"/>
    </row>
    <row r="8" spans="1:12" ht="13.2" customHeight="1" x14ac:dyDescent="0.35">
      <c r="A8" s="25" t="s">
        <v>1054</v>
      </c>
      <c r="B8" s="36"/>
      <c r="C8" s="1"/>
      <c r="D8" s="1771">
        <f>'5.1 DAF Vehicle Parc Input'!E19</f>
        <v>607</v>
      </c>
      <c r="E8" s="1772">
        <f>'5.1 DAF Vehicle Parc Input'!G19</f>
        <v>820</v>
      </c>
      <c r="F8" s="1772">
        <f>'5.1 DAF Vehicle Parc Input'!I19</f>
        <v>600</v>
      </c>
      <c r="G8" s="1999">
        <f>'5.1 DAF Vehicle Parc Input'!K19</f>
        <v>420</v>
      </c>
      <c r="H8" s="1999">
        <f>'5.1 DAF Vehicle Parc Input'!M19</f>
        <v>500</v>
      </c>
      <c r="I8" s="1999">
        <f>'5.1 DAF Vehicle Parc Input'!O19</f>
        <v>600</v>
      </c>
      <c r="J8" s="1999">
        <f>'5.1 DAF Vehicle Parc Input'!Q19</f>
        <v>700</v>
      </c>
      <c r="K8" s="1999">
        <f>'5.1 DAF Vehicle Parc Input'!S19</f>
        <v>800</v>
      </c>
      <c r="L8" s="1575"/>
    </row>
    <row r="9" spans="1:12" ht="13.2" customHeight="1" x14ac:dyDescent="0.35">
      <c r="A9" s="23" t="s">
        <v>1055</v>
      </c>
      <c r="B9" s="6"/>
      <c r="C9" s="6"/>
      <c r="D9" s="1771">
        <f>'5.1 DAF Vehicle Parc Input'!E20</f>
        <v>1325</v>
      </c>
      <c r="E9" s="1772">
        <f>'5.1 DAF Vehicle Parc Input'!G20</f>
        <v>1772</v>
      </c>
      <c r="F9" s="1772">
        <f>'5.1 DAF Vehicle Parc Input'!I20</f>
        <v>900</v>
      </c>
      <c r="G9" s="1999">
        <f>'5.1 DAF Vehicle Parc Input'!K20</f>
        <v>730</v>
      </c>
      <c r="H9" s="1999">
        <f>'5.1 DAF Vehicle Parc Input'!M20</f>
        <v>910</v>
      </c>
      <c r="I9" s="1999">
        <f>'5.1 DAF Vehicle Parc Input'!O20</f>
        <v>1250</v>
      </c>
      <c r="J9" s="1999">
        <f>'5.1 DAF Vehicle Parc Input'!Q20</f>
        <v>1400</v>
      </c>
      <c r="K9" s="1999">
        <f>'5.1 DAF Vehicle Parc Input'!S20</f>
        <v>1535</v>
      </c>
      <c r="L9" s="1575"/>
    </row>
    <row r="10" spans="1:12" ht="13.2" customHeight="1" x14ac:dyDescent="0.35">
      <c r="A10" s="34" t="s">
        <v>1056</v>
      </c>
      <c r="B10" s="8"/>
      <c r="C10" s="8"/>
      <c r="D10" s="1410">
        <f>SUM(D8:D9)</f>
        <v>1932</v>
      </c>
      <c r="E10" s="1409">
        <f>SUM(E8:E9)</f>
        <v>2592</v>
      </c>
      <c r="F10" s="1410">
        <f>SUM(F8:F9)</f>
        <v>1500</v>
      </c>
      <c r="G10" s="1410">
        <f>+G8+G9</f>
        <v>1150</v>
      </c>
      <c r="H10" s="1410">
        <f>(H8+H9)</f>
        <v>1410</v>
      </c>
      <c r="I10" s="1410">
        <f>(I8+I9)</f>
        <v>1850</v>
      </c>
      <c r="J10" s="1410">
        <f>(J8+J9)</f>
        <v>2100</v>
      </c>
      <c r="K10" s="1410">
        <f>(K8+K9)</f>
        <v>2335</v>
      </c>
      <c r="L10" s="1576"/>
    </row>
    <row r="11" spans="1:12" ht="13.2" customHeight="1" x14ac:dyDescent="0.35">
      <c r="A11" s="856"/>
      <c r="B11" s="852"/>
      <c r="C11" s="852"/>
      <c r="D11" s="852"/>
      <c r="E11" s="852"/>
      <c r="F11" s="852"/>
      <c r="G11" s="852"/>
      <c r="H11" s="852"/>
      <c r="I11" s="852"/>
      <c r="J11" s="852"/>
      <c r="K11" s="857"/>
      <c r="L11" s="1576"/>
    </row>
    <row r="12" spans="1:12" ht="13.2" customHeight="1" x14ac:dyDescent="0.35">
      <c r="A12" s="856"/>
      <c r="B12" s="852"/>
      <c r="C12" s="852"/>
      <c r="D12" s="852"/>
      <c r="E12" s="852"/>
      <c r="F12" s="852"/>
      <c r="G12" s="852"/>
      <c r="H12" s="852"/>
      <c r="I12" s="852"/>
      <c r="J12" s="852"/>
      <c r="K12" s="857"/>
      <c r="L12" s="1576"/>
    </row>
    <row r="13" spans="1:12" ht="13.2" customHeight="1" x14ac:dyDescent="0.35">
      <c r="A13" s="856"/>
      <c r="B13" s="852"/>
      <c r="C13" s="852"/>
      <c r="D13" s="852"/>
      <c r="E13" s="852"/>
      <c r="F13" s="852"/>
      <c r="G13" s="852"/>
      <c r="H13" s="852"/>
      <c r="I13" s="852"/>
      <c r="J13" s="852"/>
      <c r="K13" s="857"/>
      <c r="L13" s="1576"/>
    </row>
    <row r="14" spans="1:12" ht="13.2" customHeight="1" x14ac:dyDescent="0.35">
      <c r="A14" s="858"/>
      <c r="B14" s="859"/>
      <c r="C14" s="859"/>
      <c r="D14" s="859"/>
      <c r="E14" s="859"/>
      <c r="F14" s="859"/>
      <c r="G14" s="859"/>
      <c r="H14" s="859"/>
      <c r="I14" s="859"/>
      <c r="J14" s="859"/>
      <c r="K14" s="860"/>
      <c r="L14" s="1576"/>
    </row>
    <row r="15" spans="1:12" ht="13.2" customHeight="1" x14ac:dyDescent="0.35">
      <c r="A15" s="856"/>
      <c r="B15" s="852"/>
      <c r="C15" s="852"/>
      <c r="D15" s="852"/>
      <c r="E15" s="852"/>
      <c r="F15" s="852"/>
      <c r="G15" s="852"/>
      <c r="H15" s="852"/>
      <c r="I15" s="852"/>
      <c r="J15" s="852"/>
      <c r="K15" s="857"/>
      <c r="L15" s="1576"/>
    </row>
    <row r="16" spans="1:12" ht="13.2" customHeight="1" x14ac:dyDescent="0.35">
      <c r="A16" s="856"/>
      <c r="B16" s="852"/>
      <c r="C16" s="852"/>
      <c r="D16" s="852"/>
      <c r="E16" s="852"/>
      <c r="F16" s="852"/>
      <c r="G16" s="852"/>
      <c r="H16" s="852"/>
      <c r="I16" s="852"/>
      <c r="J16" s="852"/>
      <c r="K16" s="857"/>
      <c r="L16" s="1576"/>
    </row>
    <row r="17" spans="1:12" ht="13.2" customHeight="1" x14ac:dyDescent="0.35">
      <c r="A17" s="856"/>
      <c r="B17" s="852"/>
      <c r="C17" s="852"/>
      <c r="D17" s="852"/>
      <c r="E17" s="852"/>
      <c r="F17" s="852"/>
      <c r="G17" s="852"/>
      <c r="H17" s="852"/>
      <c r="I17" s="852"/>
      <c r="J17" s="852"/>
      <c r="K17" s="857"/>
      <c r="L17" s="1576"/>
    </row>
    <row r="18" spans="1:12" ht="13.2" customHeight="1" x14ac:dyDescent="0.35">
      <c r="A18" s="856"/>
      <c r="B18" s="852"/>
      <c r="C18" s="852"/>
      <c r="D18" s="852"/>
      <c r="E18" s="852"/>
      <c r="F18" s="852"/>
      <c r="G18" s="852"/>
      <c r="H18" s="852"/>
      <c r="I18" s="852"/>
      <c r="J18" s="852"/>
      <c r="K18" s="857"/>
      <c r="L18" s="1576"/>
    </row>
    <row r="19" spans="1:12" ht="13.2" customHeight="1" x14ac:dyDescent="0.35">
      <c r="A19" s="856"/>
      <c r="B19" s="852"/>
      <c r="C19" s="852"/>
      <c r="D19" s="852"/>
      <c r="E19" s="852"/>
      <c r="F19" s="852"/>
      <c r="G19" s="852"/>
      <c r="H19" s="852"/>
      <c r="I19" s="852"/>
      <c r="J19" s="852"/>
      <c r="K19" s="857"/>
      <c r="L19" s="1576"/>
    </row>
    <row r="20" spans="1:12" ht="13.2" customHeight="1" x14ac:dyDescent="0.35">
      <c r="A20" s="856"/>
      <c r="B20" s="852"/>
      <c r="C20" s="852"/>
      <c r="D20" s="852"/>
      <c r="E20" s="852"/>
      <c r="F20" s="852"/>
      <c r="G20" s="852"/>
      <c r="H20" s="852"/>
      <c r="I20" s="852"/>
      <c r="J20" s="852"/>
      <c r="K20" s="857"/>
      <c r="L20" s="1576"/>
    </row>
    <row r="21" spans="1:12" ht="13.2" customHeight="1" x14ac:dyDescent="0.35">
      <c r="A21" s="856"/>
      <c r="B21" s="852"/>
      <c r="C21" s="852"/>
      <c r="D21" s="852"/>
      <c r="E21" s="852"/>
      <c r="F21" s="852"/>
      <c r="G21" s="852"/>
      <c r="H21" s="852"/>
      <c r="I21" s="852"/>
      <c r="J21" s="852"/>
      <c r="K21" s="857"/>
      <c r="L21" s="1576"/>
    </row>
    <row r="22" spans="1:12" ht="13.2" customHeight="1" x14ac:dyDescent="0.35">
      <c r="A22" s="856"/>
      <c r="B22" s="852"/>
      <c r="C22" s="852"/>
      <c r="D22" s="852"/>
      <c r="E22" s="852"/>
      <c r="F22" s="852"/>
      <c r="G22" s="852"/>
      <c r="H22" s="852"/>
      <c r="I22" s="852"/>
      <c r="J22" s="852"/>
      <c r="K22" s="857"/>
      <c r="L22" s="1576"/>
    </row>
    <row r="23" spans="1:12" ht="13.2" customHeight="1" x14ac:dyDescent="0.35">
      <c r="A23" s="856"/>
      <c r="B23" s="852"/>
      <c r="C23" s="852"/>
      <c r="D23" s="852"/>
      <c r="E23" s="852"/>
      <c r="F23" s="852"/>
      <c r="G23" s="852"/>
      <c r="H23" s="852"/>
      <c r="I23" s="852"/>
      <c r="J23" s="852"/>
      <c r="K23" s="857"/>
      <c r="L23" s="1576"/>
    </row>
    <row r="24" spans="1:12" ht="13.2" customHeight="1" x14ac:dyDescent="0.35">
      <c r="A24" s="856"/>
      <c r="B24" s="852"/>
      <c r="C24" s="852"/>
      <c r="D24" s="852"/>
      <c r="E24" s="852"/>
      <c r="F24" s="852"/>
      <c r="G24" s="852"/>
      <c r="H24" s="852"/>
      <c r="I24" s="852"/>
      <c r="J24" s="852"/>
      <c r="K24" s="857"/>
      <c r="L24" s="1576"/>
    </row>
    <row r="25" spans="1:12" ht="13.2" customHeight="1" x14ac:dyDescent="0.35">
      <c r="A25" s="856"/>
      <c r="B25" s="852"/>
      <c r="C25" s="852"/>
      <c r="D25" s="852"/>
      <c r="E25" s="852"/>
      <c r="F25" s="852"/>
      <c r="G25" s="852"/>
      <c r="H25" s="852"/>
      <c r="I25" s="852"/>
      <c r="J25" s="852"/>
      <c r="K25" s="857"/>
      <c r="L25" s="1576"/>
    </row>
    <row r="26" spans="1:12" ht="13.2" customHeight="1" x14ac:dyDescent="0.35">
      <c r="A26" s="856"/>
      <c r="B26" s="852"/>
      <c r="C26" s="852"/>
      <c r="D26" s="852"/>
      <c r="E26" s="852"/>
      <c r="F26" s="852"/>
      <c r="G26" s="852"/>
      <c r="H26" s="852"/>
      <c r="I26" s="852"/>
      <c r="J26" s="852"/>
      <c r="K26" s="857"/>
      <c r="L26" s="1576"/>
    </row>
    <row r="27" spans="1:12" ht="13.2" customHeight="1" x14ac:dyDescent="0.35">
      <c r="A27" s="856"/>
      <c r="B27" s="852"/>
      <c r="C27" s="852"/>
      <c r="D27" s="852"/>
      <c r="E27" s="852"/>
      <c r="F27" s="852"/>
      <c r="G27" s="852"/>
      <c r="H27" s="852"/>
      <c r="I27" s="852"/>
      <c r="J27" s="852"/>
      <c r="K27" s="857"/>
      <c r="L27" s="1576"/>
    </row>
    <row r="28" spans="1:12" ht="13.2" customHeight="1" x14ac:dyDescent="0.35">
      <c r="A28" s="856"/>
      <c r="B28" s="852"/>
      <c r="C28" s="852"/>
      <c r="D28" s="852"/>
      <c r="E28" s="852"/>
      <c r="F28" s="852"/>
      <c r="G28" s="852"/>
      <c r="H28" s="852"/>
      <c r="I28" s="852"/>
      <c r="J28" s="852"/>
      <c r="K28" s="857"/>
      <c r="L28" s="1576"/>
    </row>
    <row r="29" spans="1:12" ht="13.2" customHeight="1" x14ac:dyDescent="0.35">
      <c r="A29" s="856"/>
      <c r="B29" s="852"/>
      <c r="C29" s="852"/>
      <c r="D29" s="852"/>
      <c r="E29" s="852"/>
      <c r="F29" s="852"/>
      <c r="G29" s="852"/>
      <c r="H29" s="852"/>
      <c r="I29" s="852"/>
      <c r="J29" s="852"/>
      <c r="K29" s="857"/>
      <c r="L29" s="1576"/>
    </row>
    <row r="30" spans="1:12" ht="13.2" customHeight="1" x14ac:dyDescent="0.35">
      <c r="A30" s="856"/>
      <c r="B30" s="852"/>
      <c r="C30" s="852"/>
      <c r="D30" s="852"/>
      <c r="E30" s="852"/>
      <c r="F30" s="852"/>
      <c r="G30" s="852"/>
      <c r="H30" s="852"/>
      <c r="I30" s="852"/>
      <c r="J30" s="852"/>
      <c r="K30" s="857"/>
      <c r="L30" s="1576"/>
    </row>
    <row r="31" spans="1:12" ht="18" customHeight="1" x14ac:dyDescent="0.35">
      <c r="A31" s="859"/>
      <c r="B31" s="852"/>
      <c r="C31" s="852"/>
      <c r="D31" s="852"/>
      <c r="E31" s="852"/>
      <c r="F31" s="852"/>
      <c r="G31" s="852"/>
      <c r="H31" s="852"/>
      <c r="I31" s="852"/>
      <c r="J31" s="859"/>
      <c r="K31" s="859"/>
      <c r="L31" s="1576"/>
    </row>
    <row r="32" spans="1:12" s="167" customFormat="1" ht="13.2" customHeight="1" x14ac:dyDescent="0.35">
      <c r="A32" s="832" t="s">
        <v>1059</v>
      </c>
      <c r="B32" s="833"/>
      <c r="C32" s="833"/>
      <c r="D32" s="833"/>
      <c r="E32" s="833"/>
      <c r="F32" s="833"/>
      <c r="G32" s="833"/>
      <c r="H32" s="833"/>
      <c r="I32" s="833"/>
      <c r="J32" s="1078"/>
      <c r="K32" s="834"/>
      <c r="L32" s="44"/>
    </row>
    <row r="33" spans="1:12" ht="13.2" customHeight="1" x14ac:dyDescent="0.35">
      <c r="A33" s="853"/>
      <c r="B33" s="854"/>
      <c r="C33" s="854"/>
      <c r="D33" s="854"/>
      <c r="E33" s="854"/>
      <c r="F33" s="854"/>
      <c r="G33" s="854"/>
      <c r="H33" s="854"/>
      <c r="I33" s="854"/>
      <c r="J33" s="854"/>
      <c r="K33" s="855"/>
      <c r="L33" s="1573"/>
    </row>
    <row r="34" spans="1:12" ht="13.2" customHeight="1" x14ac:dyDescent="0.35">
      <c r="A34" s="856"/>
      <c r="B34" s="852"/>
      <c r="C34" s="852"/>
      <c r="D34" s="852"/>
      <c r="E34" s="852"/>
      <c r="F34" s="852"/>
      <c r="G34" s="852"/>
      <c r="H34" s="852"/>
      <c r="I34" s="852"/>
      <c r="J34" s="852"/>
      <c r="K34" s="857"/>
    </row>
    <row r="35" spans="1:12" ht="13.2" customHeight="1" x14ac:dyDescent="0.35">
      <c r="A35" s="856"/>
      <c r="B35" s="852"/>
      <c r="C35" s="852"/>
      <c r="D35" s="852"/>
      <c r="E35" s="852"/>
      <c r="F35" s="852"/>
      <c r="G35" s="852"/>
      <c r="H35" s="852"/>
      <c r="I35" s="852"/>
      <c r="J35" s="852"/>
      <c r="K35" s="857"/>
    </row>
    <row r="36" spans="1:12" ht="13.2" customHeight="1" x14ac:dyDescent="0.35">
      <c r="A36" s="856"/>
      <c r="B36" s="852"/>
      <c r="C36" s="852"/>
      <c r="D36" s="852"/>
      <c r="E36" s="852"/>
      <c r="F36" s="852"/>
      <c r="G36" s="852"/>
      <c r="H36" s="852"/>
      <c r="I36" s="852"/>
      <c r="J36" s="852"/>
      <c r="K36" s="857"/>
    </row>
    <row r="37" spans="1:12" ht="13.2" customHeight="1" x14ac:dyDescent="0.35">
      <c r="A37" s="856"/>
      <c r="B37" s="852"/>
      <c r="C37" s="852"/>
      <c r="D37" s="852"/>
      <c r="E37" s="852"/>
      <c r="F37" s="852"/>
      <c r="G37" s="852"/>
      <c r="H37" s="852"/>
      <c r="I37" s="852"/>
      <c r="J37" s="852"/>
      <c r="K37" s="857"/>
    </row>
    <row r="38" spans="1:12" ht="13.2" customHeight="1" x14ac:dyDescent="0.35">
      <c r="A38" s="856"/>
      <c r="B38" s="852"/>
      <c r="C38" s="852"/>
      <c r="D38" s="852"/>
      <c r="E38" s="852"/>
      <c r="F38" s="852"/>
      <c r="G38" s="852"/>
      <c r="H38" s="852"/>
      <c r="I38" s="852"/>
      <c r="J38" s="852"/>
      <c r="K38" s="857"/>
    </row>
    <row r="39" spans="1:12" ht="13.2" customHeight="1" x14ac:dyDescent="0.35">
      <c r="A39" s="856"/>
      <c r="B39" s="852"/>
      <c r="C39" s="852"/>
      <c r="D39" s="852"/>
      <c r="E39" s="852"/>
      <c r="F39" s="852"/>
      <c r="G39" s="852"/>
      <c r="H39" s="852"/>
      <c r="I39" s="852"/>
      <c r="J39" s="852"/>
      <c r="K39" s="857"/>
    </row>
    <row r="40" spans="1:12" ht="13.2" customHeight="1" x14ac:dyDescent="0.35">
      <c r="A40" s="856"/>
      <c r="B40" s="852"/>
      <c r="C40" s="852"/>
      <c r="D40" s="852"/>
      <c r="E40" s="852"/>
      <c r="F40" s="852"/>
      <c r="G40" s="852"/>
      <c r="H40" s="852"/>
      <c r="I40" s="852"/>
      <c r="J40" s="852"/>
      <c r="K40" s="857"/>
    </row>
    <row r="41" spans="1:12" ht="13.2" customHeight="1" x14ac:dyDescent="0.35">
      <c r="A41" s="858"/>
      <c r="B41" s="859"/>
      <c r="C41" s="859"/>
      <c r="D41" s="859"/>
      <c r="E41" s="859"/>
      <c r="F41" s="859"/>
      <c r="G41" s="859"/>
      <c r="H41" s="859"/>
      <c r="I41" s="859"/>
      <c r="J41" s="859"/>
      <c r="K41" s="860"/>
    </row>
    <row r="42" spans="1:12" ht="13.2" customHeight="1" x14ac:dyDescent="0.35">
      <c r="A42" s="184"/>
      <c r="B42" s="136"/>
      <c r="C42" s="136"/>
      <c r="D42" s="136"/>
      <c r="E42" s="136"/>
      <c r="F42" s="136"/>
      <c r="G42" s="136"/>
      <c r="H42" s="136"/>
      <c r="I42" s="136"/>
      <c r="J42" s="136"/>
      <c r="K42" s="184"/>
    </row>
    <row r="43" spans="1:12" s="167" customFormat="1" ht="13.2" customHeight="1" x14ac:dyDescent="0.35">
      <c r="A43" s="832" t="s">
        <v>1051</v>
      </c>
      <c r="B43" s="833"/>
      <c r="C43" s="833"/>
      <c r="D43" s="833"/>
      <c r="E43" s="833"/>
      <c r="F43" s="833"/>
      <c r="G43" s="833"/>
      <c r="H43" s="833"/>
      <c r="I43" s="833"/>
      <c r="J43" s="833"/>
      <c r="K43" s="834"/>
      <c r="L43" s="44"/>
    </row>
    <row r="44" spans="1:12" ht="13.2" customHeight="1" x14ac:dyDescent="0.35">
      <c r="A44" s="853"/>
      <c r="B44" s="854"/>
      <c r="C44" s="854"/>
      <c r="D44" s="854"/>
      <c r="E44" s="854"/>
      <c r="F44" s="854"/>
      <c r="G44" s="854"/>
      <c r="H44" s="854"/>
      <c r="I44" s="854"/>
      <c r="J44" s="854"/>
      <c r="K44" s="855"/>
    </row>
    <row r="45" spans="1:12" ht="13.2" customHeight="1" x14ac:dyDescent="0.35">
      <c r="A45" s="856"/>
      <c r="B45" s="852"/>
      <c r="C45" s="852"/>
      <c r="D45" s="852"/>
      <c r="E45" s="852"/>
      <c r="F45" s="852"/>
      <c r="G45" s="852"/>
      <c r="H45" s="852"/>
      <c r="I45" s="852"/>
      <c r="J45" s="852"/>
      <c r="K45" s="857"/>
    </row>
    <row r="46" spans="1:12" ht="13.2" customHeight="1" x14ac:dyDescent="0.35">
      <c r="A46" s="856"/>
      <c r="B46" s="852"/>
      <c r="C46" s="852"/>
      <c r="D46" s="852"/>
      <c r="E46" s="852"/>
      <c r="F46" s="852"/>
      <c r="G46" s="852"/>
      <c r="H46" s="852"/>
      <c r="I46" s="852"/>
      <c r="J46" s="852"/>
      <c r="K46" s="857"/>
    </row>
    <row r="47" spans="1:12" ht="13.2" customHeight="1" x14ac:dyDescent="0.35">
      <c r="A47" s="856"/>
      <c r="B47" s="852"/>
      <c r="C47" s="852"/>
      <c r="D47" s="852"/>
      <c r="E47" s="852"/>
      <c r="F47" s="852"/>
      <c r="G47" s="852"/>
      <c r="H47" s="852"/>
      <c r="I47" s="852"/>
      <c r="J47" s="852"/>
      <c r="K47" s="857"/>
    </row>
    <row r="48" spans="1:12" ht="13.2" customHeight="1" x14ac:dyDescent="0.35">
      <c r="A48" s="856"/>
      <c r="B48" s="852"/>
      <c r="C48" s="852"/>
      <c r="D48" s="852"/>
      <c r="E48" s="852"/>
      <c r="F48" s="852"/>
      <c r="G48" s="852"/>
      <c r="H48" s="852"/>
      <c r="I48" s="852"/>
      <c r="J48" s="852"/>
      <c r="K48" s="857"/>
    </row>
    <row r="49" spans="1:12" ht="13.2" customHeight="1" x14ac:dyDescent="0.35">
      <c r="A49" s="858"/>
      <c r="B49" s="859"/>
      <c r="C49" s="859"/>
      <c r="D49" s="859"/>
      <c r="E49" s="859"/>
      <c r="F49" s="859"/>
      <c r="G49" s="859"/>
      <c r="H49" s="859"/>
      <c r="I49" s="859"/>
      <c r="J49" s="859"/>
      <c r="K49" s="860"/>
    </row>
    <row r="50" spans="1:12" ht="13.2" customHeight="1" x14ac:dyDescent="0.35">
      <c r="A50" s="184"/>
      <c r="B50" s="136"/>
      <c r="C50" s="136"/>
      <c r="D50" s="136"/>
      <c r="E50" s="136"/>
      <c r="F50" s="136"/>
      <c r="G50" s="136"/>
      <c r="H50" s="136"/>
      <c r="I50" s="136"/>
      <c r="J50" s="136"/>
      <c r="K50" s="184"/>
    </row>
    <row r="51" spans="1:12" s="167" customFormat="1" ht="13.2" customHeight="1" x14ac:dyDescent="0.35">
      <c r="A51" s="832" t="s">
        <v>1052</v>
      </c>
      <c r="B51" s="833"/>
      <c r="C51" s="833"/>
      <c r="D51" s="833"/>
      <c r="E51" s="833"/>
      <c r="F51" s="833"/>
      <c r="G51" s="833"/>
      <c r="H51" s="833"/>
      <c r="I51" s="833"/>
      <c r="J51" s="833"/>
      <c r="K51" s="834"/>
      <c r="L51" s="44"/>
    </row>
    <row r="52" spans="1:12" ht="13.2" customHeight="1" x14ac:dyDescent="0.35">
      <c r="A52" s="853"/>
      <c r="B52" s="854"/>
      <c r="C52" s="854"/>
      <c r="D52" s="854"/>
      <c r="E52" s="854"/>
      <c r="F52" s="854"/>
      <c r="G52" s="854"/>
      <c r="H52" s="854"/>
      <c r="I52" s="854"/>
      <c r="J52" s="854"/>
      <c r="K52" s="855"/>
    </row>
    <row r="53" spans="1:12" ht="13.2" customHeight="1" x14ac:dyDescent="0.35">
      <c r="A53" s="856"/>
      <c r="B53" s="852"/>
      <c r="C53" s="852"/>
      <c r="D53" s="852"/>
      <c r="E53" s="852"/>
      <c r="F53" s="852"/>
      <c r="G53" s="852"/>
      <c r="H53" s="852"/>
      <c r="I53" s="852"/>
      <c r="J53" s="852"/>
      <c r="K53" s="857"/>
    </row>
    <row r="54" spans="1:12" ht="13.2" customHeight="1" x14ac:dyDescent="0.35">
      <c r="A54" s="856"/>
      <c r="B54" s="852"/>
      <c r="C54" s="852"/>
      <c r="D54" s="852"/>
      <c r="E54" s="852"/>
      <c r="F54" s="852"/>
      <c r="G54" s="852"/>
      <c r="H54" s="852"/>
      <c r="I54" s="852"/>
      <c r="J54" s="852"/>
      <c r="K54" s="857"/>
    </row>
    <row r="55" spans="1:12" ht="13.2" customHeight="1" x14ac:dyDescent="0.35">
      <c r="A55" s="856"/>
      <c r="B55" s="852"/>
      <c r="C55" s="852"/>
      <c r="D55" s="852"/>
      <c r="E55" s="852"/>
      <c r="F55" s="852"/>
      <c r="G55" s="852"/>
      <c r="H55" s="852"/>
      <c r="I55" s="852"/>
      <c r="J55" s="852"/>
      <c r="K55" s="857"/>
    </row>
    <row r="56" spans="1:12" ht="13.2" customHeight="1" x14ac:dyDescent="0.35">
      <c r="A56" s="856"/>
      <c r="B56" s="852"/>
      <c r="C56" s="852"/>
      <c r="D56" s="852"/>
      <c r="E56" s="852"/>
      <c r="F56" s="852"/>
      <c r="G56" s="852"/>
      <c r="H56" s="852"/>
      <c r="I56" s="852"/>
      <c r="J56" s="852"/>
      <c r="K56" s="857"/>
    </row>
    <row r="57" spans="1:12" ht="13.2" customHeight="1" x14ac:dyDescent="0.35">
      <c r="A57" s="858"/>
      <c r="B57" s="859"/>
      <c r="C57" s="859"/>
      <c r="D57" s="859"/>
      <c r="E57" s="859"/>
      <c r="F57" s="859"/>
      <c r="G57" s="859"/>
      <c r="H57" s="859"/>
      <c r="I57" s="859"/>
      <c r="J57" s="859"/>
      <c r="K57" s="860"/>
    </row>
    <row r="58" spans="1:12" ht="13.2" hidden="1" customHeight="1" x14ac:dyDescent="0.35"/>
    <row r="59" spans="1:12" ht="13.2" hidden="1" customHeight="1" x14ac:dyDescent="0.35"/>
    <row r="60" spans="1:12" ht="13.2" hidden="1" customHeight="1" x14ac:dyDescent="0.35"/>
    <row r="61" spans="1:12" ht="13.2" hidden="1" customHeight="1" x14ac:dyDescent="0.35"/>
    <row r="62" spans="1:12" ht="13.2" hidden="1" customHeight="1" x14ac:dyDescent="0.35"/>
    <row r="63" spans="1:12" ht="13.2" hidden="1" customHeight="1" x14ac:dyDescent="0.35"/>
    <row r="64" spans="1:12" ht="13.2" hidden="1" customHeight="1" x14ac:dyDescent="0.35"/>
    <row r="65" ht="13.2" hidden="1" customHeight="1" x14ac:dyDescent="0.35"/>
    <row r="66" ht="13.2" hidden="1" customHeight="1" x14ac:dyDescent="0.35"/>
    <row r="67" ht="13.2" hidden="1" customHeight="1" x14ac:dyDescent="0.35"/>
    <row r="68" ht="13.2" hidden="1" customHeight="1" x14ac:dyDescent="0.35"/>
    <row r="69" ht="13.2" hidden="1" customHeight="1" x14ac:dyDescent="0.35"/>
    <row r="70" ht="13.2" hidden="1" customHeight="1" x14ac:dyDescent="0.35"/>
    <row r="71" ht="13.2" hidden="1" customHeight="1" x14ac:dyDescent="0.35"/>
    <row r="72" ht="13.2" hidden="1" customHeight="1" x14ac:dyDescent="0.35"/>
    <row r="73" ht="13.2" hidden="1" customHeight="1" x14ac:dyDescent="0.35"/>
    <row r="74" ht="13.2" hidden="1" customHeight="1" x14ac:dyDescent="0.35"/>
    <row r="75" ht="13.2" hidden="1" customHeight="1" x14ac:dyDescent="0.35"/>
    <row r="76" ht="13.2" hidden="1" customHeight="1" x14ac:dyDescent="0.35"/>
    <row r="77" ht="13.2" hidden="1" customHeight="1" x14ac:dyDescent="0.35"/>
    <row r="78" ht="13.2" hidden="1" customHeight="1" x14ac:dyDescent="0.35"/>
    <row r="79" ht="13.2" hidden="1" customHeight="1" x14ac:dyDescent="0.35"/>
    <row r="80" ht="13.2" hidden="1" customHeight="1" x14ac:dyDescent="0.35"/>
    <row r="81" ht="13.2" hidden="1" customHeight="1" x14ac:dyDescent="0.35"/>
    <row r="82" ht="13.2" hidden="1" customHeight="1" x14ac:dyDescent="0.35"/>
    <row r="83" ht="13.2" hidden="1" customHeight="1" x14ac:dyDescent="0.35"/>
    <row r="84" ht="13.2" hidden="1" customHeight="1" x14ac:dyDescent="0.35"/>
    <row r="85" ht="13.2" hidden="1" customHeight="1" x14ac:dyDescent="0.35"/>
    <row r="86" hidden="1" x14ac:dyDescent="0.35"/>
    <row r="87" hidden="1" x14ac:dyDescent="0.35"/>
    <row r="88" hidden="1" x14ac:dyDescent="0.35"/>
    <row r="89" hidden="1" x14ac:dyDescent="0.35"/>
    <row r="90" hidden="1" x14ac:dyDescent="0.35"/>
    <row r="91" hidden="1" x14ac:dyDescent="0.35"/>
    <row r="92" hidden="1" x14ac:dyDescent="0.35"/>
    <row r="93" hidden="1" x14ac:dyDescent="0.35"/>
    <row r="94" hidden="1" x14ac:dyDescent="0.35"/>
    <row r="95" hidden="1" x14ac:dyDescent="0.35"/>
    <row r="96" hidden="1" x14ac:dyDescent="0.35"/>
    <row r="97" hidden="1" x14ac:dyDescent="0.35"/>
    <row r="98" hidden="1" x14ac:dyDescent="0.35"/>
    <row r="99" hidden="1" x14ac:dyDescent="0.35"/>
    <row r="100" hidden="1" x14ac:dyDescent="0.35"/>
    <row r="101" hidden="1" x14ac:dyDescent="0.35"/>
    <row r="102" hidden="1" x14ac:dyDescent="0.35"/>
    <row r="103" hidden="1" x14ac:dyDescent="0.35"/>
    <row r="104" hidden="1" x14ac:dyDescent="0.35"/>
    <row r="105" x14ac:dyDescent="0.35"/>
  </sheetData>
  <sheetProtection password="813F" sheet="1" objects="1" scenarios="1" selectLockedCells="1"/>
  <customSheetViews>
    <customSheetView guid="{51165254-F18A-4CD1-9981-8F2DE14CC76C}" showGridLines="0" fitToPage="1" hiddenRows="1" hiddenColumns="1" showRuler="0">
      <selection activeCell="A11" sqref="A11"/>
      <pageMargins left="0.78740157480314965" right="0.78740157480314965" top="0.98425196850393704" bottom="0.98425196850393704" header="0.51181102362204722" footer="0.51181102362204722"/>
      <printOptions horizontalCentered="1" verticalCentered="1"/>
      <pageSetup paperSize="9" scale="58" orientation="portrait" r:id="rId1"/>
      <headerFooter alignWithMargins="0">
        <oddHeader>&amp;L&amp;F</oddHeader>
        <oddFooter xml:space="preserve">&amp;LDAF Dealer Business Plan&amp;CPrint date: &amp;D&amp;R&amp;P/&amp;N | DAF Trucks NV    </oddFooter>
      </headerFooter>
    </customSheetView>
  </customSheetViews>
  <mergeCells count="2">
    <mergeCell ref="G6:K6"/>
    <mergeCell ref="D6:F6"/>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58"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tabColor indexed="11"/>
    <pageSetUpPr fitToPage="1"/>
  </sheetPr>
  <dimension ref="A1:W142"/>
  <sheetViews>
    <sheetView showGridLines="0" zoomScale="150" zoomScaleSheetLayoutView="80" workbookViewId="0">
      <selection activeCell="A28" sqref="A28"/>
    </sheetView>
  </sheetViews>
  <sheetFormatPr baseColWidth="10" defaultColWidth="0" defaultRowHeight="15.75" customHeight="1" zeroHeight="1" x14ac:dyDescent="0.35"/>
  <cols>
    <col min="1" max="10" width="14.77734375" style="45" customWidth="1"/>
    <col min="11" max="11" width="13.6640625" style="45" customWidth="1"/>
    <col min="12" max="12" width="2.33203125" style="44" customWidth="1"/>
    <col min="13" max="23" width="9.109375" style="168" hidden="1" customWidth="1"/>
    <col min="24" max="16384" width="9.109375" style="45" hidden="1"/>
  </cols>
  <sheetData>
    <row r="1" spans="1:23" s="184" customFormat="1" ht="28.8" x14ac:dyDescent="0.55000000000000004">
      <c r="A1" s="205" t="str">
        <f>'5.1.2 NT market-Dealer area'!A1</f>
        <v xml:space="preserve">Market Analysis </v>
      </c>
      <c r="B1" s="206"/>
      <c r="C1" s="206"/>
      <c r="D1" s="206"/>
      <c r="E1" s="206"/>
      <c r="F1" s="206"/>
      <c r="G1" s="206"/>
      <c r="H1" s="206"/>
      <c r="I1" s="206"/>
      <c r="J1" s="206"/>
      <c r="K1" s="1740" t="s">
        <v>725</v>
      </c>
      <c r="L1" s="1411"/>
      <c r="M1" s="1002"/>
      <c r="N1" s="1002"/>
      <c r="O1" s="1002"/>
      <c r="P1" s="1002"/>
      <c r="Q1" s="1002"/>
      <c r="R1" s="1002"/>
      <c r="S1" s="1002"/>
      <c r="T1" s="1002"/>
      <c r="U1" s="1002"/>
      <c r="V1" s="1002"/>
      <c r="W1" s="1002"/>
    </row>
    <row r="2" spans="1:23" ht="15.75" customHeight="1" x14ac:dyDescent="0.35">
      <c r="A2" s="135"/>
      <c r="B2" s="169"/>
      <c r="C2" s="170"/>
      <c r="D2" s="171"/>
      <c r="E2" s="172"/>
      <c r="F2" s="136"/>
      <c r="G2" s="136"/>
      <c r="H2" s="173"/>
      <c r="I2" s="171"/>
      <c r="J2" s="171"/>
      <c r="K2" s="174"/>
    </row>
    <row r="3" spans="1:23" ht="15.75" customHeight="1" x14ac:dyDescent="0.35">
      <c r="A3" s="135" t="s">
        <v>1049</v>
      </c>
      <c r="B3" s="169"/>
      <c r="C3" s="164" t="str">
        <f>'Reference sheet'!C12</f>
        <v>TRUCK INTERNATIONAL MOBILITY SA</v>
      </c>
      <c r="D3" s="171"/>
      <c r="E3" s="172"/>
      <c r="F3" s="136"/>
      <c r="G3" s="175" t="s">
        <v>1037</v>
      </c>
      <c r="H3" s="176" t="str">
        <f>'Reference sheet'!C17</f>
        <v>October</v>
      </c>
      <c r="I3" s="863">
        <f>'Reference sheet'!D17</f>
        <v>2018</v>
      </c>
      <c r="J3" s="175" t="s">
        <v>1036</v>
      </c>
      <c r="K3" s="177">
        <f>'Reference sheet'!C15</f>
        <v>2</v>
      </c>
    </row>
    <row r="4" spans="1:23" ht="15.75" customHeight="1" x14ac:dyDescent="0.35">
      <c r="A4" s="145"/>
      <c r="B4" s="178"/>
      <c r="C4" s="146"/>
      <c r="D4" s="146"/>
      <c r="E4" s="146"/>
      <c r="F4" s="146"/>
      <c r="G4" s="179"/>
      <c r="H4" s="146"/>
      <c r="I4" s="146"/>
      <c r="J4" s="146"/>
      <c r="K4" s="180"/>
    </row>
    <row r="5" spans="1:23" ht="15.75" customHeight="1" x14ac:dyDescent="0.35">
      <c r="A5" s="184"/>
      <c r="K5" s="184"/>
    </row>
    <row r="6" spans="1:23" s="1032" customFormat="1" ht="15.75" customHeight="1" x14ac:dyDescent="0.35">
      <c r="A6" s="832" t="s">
        <v>1060</v>
      </c>
      <c r="B6" s="1030"/>
      <c r="C6" s="1030"/>
      <c r="D6" s="2138" t="s">
        <v>238</v>
      </c>
      <c r="E6" s="2139"/>
      <c r="F6" s="2140"/>
      <c r="G6" s="2124" t="s">
        <v>239</v>
      </c>
      <c r="H6" s="2136"/>
      <c r="I6" s="2136"/>
      <c r="J6" s="2136"/>
      <c r="K6" s="2137"/>
      <c r="L6" s="1573"/>
    </row>
    <row r="7" spans="1:23" ht="15.75" customHeight="1" x14ac:dyDescent="0.35">
      <c r="A7" s="135"/>
      <c r="B7" s="136"/>
      <c r="D7" s="1994">
        <f>G7-3</f>
        <v>2016</v>
      </c>
      <c r="E7" s="1994">
        <f>'5.1.1 NewTruck market-Country'!E7</f>
        <v>2017</v>
      </c>
      <c r="F7" s="1995">
        <f>E7+1</f>
        <v>2018</v>
      </c>
      <c r="G7" s="1995">
        <f>F7+1</f>
        <v>2019</v>
      </c>
      <c r="H7" s="1995">
        <f>G7+1</f>
        <v>2020</v>
      </c>
      <c r="I7" s="1994">
        <f>'5.1.1 NewTruck market-Country'!I7</f>
        <v>2021</v>
      </c>
      <c r="J7" s="1995">
        <f>I7+1</f>
        <v>2022</v>
      </c>
      <c r="K7" s="1995">
        <f>J7+1</f>
        <v>2023</v>
      </c>
    </row>
    <row r="8" spans="1:23" ht="15.75" customHeight="1" x14ac:dyDescent="0.35">
      <c r="A8" s="147" t="s">
        <v>1054</v>
      </c>
      <c r="B8" s="248"/>
      <c r="C8" s="148"/>
      <c r="D8" s="1996">
        <f>'5.1 DAF Vehicle Parc Input'!E41</f>
        <v>0</v>
      </c>
      <c r="E8" s="1996">
        <f>'5.1 DAF Vehicle Parc Input'!G41</f>
        <v>0</v>
      </c>
      <c r="F8" s="1996">
        <f>'5.1 DAF Vehicle Parc Input'!I41</f>
        <v>0</v>
      </c>
      <c r="G8" s="1997">
        <f>'5.1 DAF Vehicle Parc Input'!K41</f>
        <v>0</v>
      </c>
      <c r="H8" s="1997">
        <f>'5.1 DAF Vehicle Parc Input'!M41</f>
        <v>0</v>
      </c>
      <c r="I8" s="1997">
        <f>'5.1 DAF Vehicle Parc Input'!O41</f>
        <v>0</v>
      </c>
      <c r="J8" s="1997">
        <f>'5.1 DAF Vehicle Parc Input'!Q41</f>
        <v>0</v>
      </c>
      <c r="K8" s="1997">
        <f>'5.1 DAF Vehicle Parc Input'!S41</f>
        <v>0</v>
      </c>
    </row>
    <row r="9" spans="1:23" ht="15.75" customHeight="1" x14ac:dyDescent="0.35">
      <c r="A9" s="145" t="s">
        <v>1055</v>
      </c>
      <c r="B9" s="146"/>
      <c r="C9" s="146"/>
      <c r="D9" s="1996">
        <f>'5.1 DAF Vehicle Parc Input'!E42</f>
        <v>0</v>
      </c>
      <c r="E9" s="1996">
        <f>'5.1 DAF Vehicle Parc Input'!G42</f>
        <v>0</v>
      </c>
      <c r="F9" s="1996">
        <f>'5.1 DAF Vehicle Parc Input'!I42</f>
        <v>0</v>
      </c>
      <c r="G9" s="1997">
        <f>'5.1 DAF Vehicle Parc Input'!K42</f>
        <v>0</v>
      </c>
      <c r="H9" s="1997">
        <f>'5.1 DAF Vehicle Parc Input'!M42</f>
        <v>0</v>
      </c>
      <c r="I9" s="1997">
        <f>'5.1 DAF Vehicle Parc Input'!O42</f>
        <v>0</v>
      </c>
      <c r="J9" s="1997">
        <f>'5.1 DAF Vehicle Parc Input'!Q42</f>
        <v>0</v>
      </c>
      <c r="K9" s="1997">
        <f>'5.1 DAF Vehicle Parc Input'!S42</f>
        <v>0</v>
      </c>
    </row>
    <row r="10" spans="1:23" ht="15.75" customHeight="1" x14ac:dyDescent="0.35">
      <c r="A10" s="183" t="s">
        <v>1056</v>
      </c>
      <c r="B10" s="184"/>
      <c r="C10" s="184"/>
      <c r="D10" s="1998">
        <f>SUM(D8:D9)</f>
        <v>0</v>
      </c>
      <c r="E10" s="1998">
        <f>SUM(E8:E9)</f>
        <v>0</v>
      </c>
      <c r="F10" s="1998">
        <f>SUM(F8:F9)</f>
        <v>0</v>
      </c>
      <c r="G10" s="1998">
        <f>+G8+G9</f>
        <v>0</v>
      </c>
      <c r="H10" s="1998">
        <f>(H8+H9)</f>
        <v>0</v>
      </c>
      <c r="I10" s="1998">
        <f>(I8+I9)</f>
        <v>0</v>
      </c>
      <c r="J10" s="1998">
        <f>(J8+J9)</f>
        <v>0</v>
      </c>
      <c r="K10" s="1998">
        <f>(K8+K9)</f>
        <v>0</v>
      </c>
    </row>
    <row r="11" spans="1:23" ht="15.75" customHeight="1" x14ac:dyDescent="0.35">
      <c r="A11" s="222"/>
      <c r="B11" s="222"/>
      <c r="C11" s="222"/>
      <c r="D11" s="222"/>
      <c r="E11" s="222"/>
      <c r="F11" s="222"/>
      <c r="G11" s="260"/>
      <c r="H11" s="222"/>
      <c r="I11" s="260"/>
      <c r="J11" s="261"/>
      <c r="K11" s="79"/>
      <c r="L11" s="1576"/>
    </row>
    <row r="12" spans="1:23" ht="15.75" customHeight="1" x14ac:dyDescent="0.35">
      <c r="K12" s="79"/>
    </row>
    <row r="13" spans="1:23" ht="15.75" customHeight="1" x14ac:dyDescent="0.35">
      <c r="K13" s="79"/>
    </row>
    <row r="14" spans="1:23" ht="15.75" customHeight="1" x14ac:dyDescent="0.35">
      <c r="K14" s="79"/>
    </row>
    <row r="15" spans="1:23" ht="15.75" customHeight="1" x14ac:dyDescent="0.35">
      <c r="K15" s="79"/>
    </row>
    <row r="16" spans="1:23" ht="15.75" customHeight="1" x14ac:dyDescent="0.35">
      <c r="K16" s="79"/>
    </row>
    <row r="17" spans="1:12" ht="15.75" customHeight="1" x14ac:dyDescent="0.35">
      <c r="K17" s="79"/>
    </row>
    <row r="18" spans="1:12" ht="15.75" customHeight="1" x14ac:dyDescent="0.35">
      <c r="K18" s="79"/>
    </row>
    <row r="19" spans="1:12" ht="15.75" customHeight="1" x14ac:dyDescent="0.35">
      <c r="K19" s="79"/>
    </row>
    <row r="20" spans="1:12" ht="15.75" customHeight="1" x14ac:dyDescent="0.35">
      <c r="K20" s="79"/>
    </row>
    <row r="21" spans="1:12" ht="15.75" customHeight="1" x14ac:dyDescent="0.35">
      <c r="K21" s="79"/>
    </row>
    <row r="22" spans="1:12" ht="15.75" customHeight="1" x14ac:dyDescent="0.35">
      <c r="K22" s="79"/>
    </row>
    <row r="23" spans="1:12" ht="15.75" customHeight="1" x14ac:dyDescent="0.35">
      <c r="K23" s="79"/>
    </row>
    <row r="24" spans="1:12" ht="15.75" customHeight="1" x14ac:dyDescent="0.35">
      <c r="K24" s="79"/>
    </row>
    <row r="25" spans="1:12" ht="15.75" customHeight="1" x14ac:dyDescent="0.35">
      <c r="K25" s="79"/>
    </row>
    <row r="26" spans="1:12" ht="15.75" customHeight="1" x14ac:dyDescent="0.35">
      <c r="K26" s="185"/>
    </row>
    <row r="27" spans="1:12" s="167" customFormat="1" ht="15.75" customHeight="1" x14ac:dyDescent="0.35">
      <c r="A27" s="832" t="s">
        <v>893</v>
      </c>
      <c r="B27" s="833"/>
      <c r="C27" s="833"/>
      <c r="D27" s="833"/>
      <c r="E27" s="833"/>
      <c r="F27" s="833"/>
      <c r="G27" s="833"/>
      <c r="H27" s="833"/>
      <c r="I27" s="833"/>
      <c r="J27" s="833"/>
      <c r="K27" s="166"/>
      <c r="L27" s="44"/>
    </row>
    <row r="28" spans="1:12" ht="15.75" customHeight="1" x14ac:dyDescent="0.35">
      <c r="A28" s="853"/>
      <c r="B28" s="854"/>
      <c r="C28" s="854"/>
      <c r="D28" s="854"/>
      <c r="E28" s="854"/>
      <c r="F28" s="854"/>
      <c r="G28" s="854"/>
      <c r="H28" s="854"/>
      <c r="I28" s="854"/>
      <c r="J28" s="854"/>
      <c r="K28" s="855"/>
    </row>
    <row r="29" spans="1:12" ht="15.75" customHeight="1" x14ac:dyDescent="0.35">
      <c r="A29" s="856"/>
      <c r="B29" s="852"/>
      <c r="C29" s="852"/>
      <c r="D29" s="852"/>
      <c r="E29" s="852"/>
      <c r="F29" s="852"/>
      <c r="G29" s="852"/>
      <c r="H29" s="852"/>
      <c r="I29" s="852"/>
      <c r="J29" s="852"/>
      <c r="K29" s="857"/>
    </row>
    <row r="30" spans="1:12" ht="15.75" customHeight="1" x14ac:dyDescent="0.35">
      <c r="A30" s="856"/>
      <c r="B30" s="852"/>
      <c r="C30" s="852"/>
      <c r="D30" s="852"/>
      <c r="E30" s="852"/>
      <c r="F30" s="852"/>
      <c r="G30" s="852"/>
      <c r="H30" s="852"/>
      <c r="I30" s="852"/>
      <c r="J30" s="852"/>
      <c r="K30" s="857"/>
    </row>
    <row r="31" spans="1:12" ht="15.75" customHeight="1" x14ac:dyDescent="0.35">
      <c r="A31" s="856"/>
      <c r="B31" s="852"/>
      <c r="C31" s="852"/>
      <c r="D31" s="852"/>
      <c r="E31" s="852"/>
      <c r="F31" s="852"/>
      <c r="G31" s="852"/>
      <c r="H31" s="852"/>
      <c r="I31" s="852"/>
      <c r="J31" s="852"/>
      <c r="K31" s="857"/>
    </row>
    <row r="32" spans="1:12" ht="15.75" customHeight="1" x14ac:dyDescent="0.35">
      <c r="A32" s="856"/>
      <c r="B32" s="852"/>
      <c r="C32" s="852"/>
      <c r="D32" s="852"/>
      <c r="E32" s="852"/>
      <c r="F32" s="852"/>
      <c r="G32" s="852"/>
      <c r="H32" s="852"/>
      <c r="I32" s="852"/>
      <c r="J32" s="852"/>
      <c r="K32" s="857"/>
    </row>
    <row r="33" spans="1:12" ht="15.75" customHeight="1" x14ac:dyDescent="0.35">
      <c r="A33" s="856"/>
      <c r="B33" s="852"/>
      <c r="C33" s="852"/>
      <c r="D33" s="852"/>
      <c r="E33" s="852"/>
      <c r="F33" s="852"/>
      <c r="G33" s="852"/>
      <c r="H33" s="852"/>
      <c r="I33" s="852"/>
      <c r="J33" s="852"/>
      <c r="K33" s="857"/>
    </row>
    <row r="34" spans="1:12" ht="15.75" customHeight="1" x14ac:dyDescent="0.35">
      <c r="A34" s="856"/>
      <c r="B34" s="852"/>
      <c r="C34" s="852"/>
      <c r="D34" s="852"/>
      <c r="E34" s="852"/>
      <c r="F34" s="852"/>
      <c r="G34" s="852"/>
      <c r="H34" s="852"/>
      <c r="I34" s="852"/>
      <c r="J34" s="852"/>
      <c r="K34" s="857"/>
    </row>
    <row r="35" spans="1:12" ht="15.75" customHeight="1" x14ac:dyDescent="0.35">
      <c r="A35" s="856"/>
      <c r="B35" s="852"/>
      <c r="C35" s="852"/>
      <c r="D35" s="852"/>
      <c r="E35" s="852"/>
      <c r="F35" s="852"/>
      <c r="G35" s="852"/>
      <c r="H35" s="852"/>
      <c r="I35" s="852"/>
      <c r="J35" s="852"/>
      <c r="K35" s="857"/>
    </row>
    <row r="36" spans="1:12" ht="15.75" customHeight="1" x14ac:dyDescent="0.35">
      <c r="A36" s="856"/>
      <c r="B36" s="852"/>
      <c r="C36" s="852"/>
      <c r="D36" s="852"/>
      <c r="E36" s="852"/>
      <c r="F36" s="852"/>
      <c r="G36" s="852"/>
      <c r="H36" s="852"/>
      <c r="I36" s="852"/>
      <c r="J36" s="852"/>
      <c r="K36" s="857"/>
    </row>
    <row r="37" spans="1:12" ht="15.75" customHeight="1" x14ac:dyDescent="0.35">
      <c r="A37" s="856"/>
      <c r="B37" s="852"/>
      <c r="C37" s="852"/>
      <c r="D37" s="852"/>
      <c r="E37" s="852"/>
      <c r="F37" s="852"/>
      <c r="G37" s="852"/>
      <c r="H37" s="852"/>
      <c r="I37" s="852"/>
      <c r="J37" s="852"/>
      <c r="K37" s="857"/>
    </row>
    <row r="38" spans="1:12" ht="15.75" customHeight="1" x14ac:dyDescent="0.35">
      <c r="A38" s="856"/>
      <c r="B38" s="852"/>
      <c r="C38" s="852"/>
      <c r="D38" s="852"/>
      <c r="E38" s="852"/>
      <c r="F38" s="852"/>
      <c r="G38" s="852"/>
      <c r="H38" s="852"/>
      <c r="I38" s="852"/>
      <c r="J38" s="852"/>
      <c r="K38" s="857"/>
    </row>
    <row r="39" spans="1:12" ht="15.75" customHeight="1" x14ac:dyDescent="0.35">
      <c r="A39" s="858"/>
      <c r="B39" s="859"/>
      <c r="C39" s="859"/>
      <c r="D39" s="859"/>
      <c r="E39" s="859"/>
      <c r="F39" s="859"/>
      <c r="G39" s="859"/>
      <c r="H39" s="859"/>
      <c r="I39" s="859"/>
      <c r="J39" s="859"/>
      <c r="K39" s="860"/>
    </row>
    <row r="40" spans="1:12" ht="15.75" customHeight="1" x14ac:dyDescent="0.35">
      <c r="A40" s="184"/>
      <c r="K40" s="184"/>
    </row>
    <row r="41" spans="1:12" s="167" customFormat="1" ht="15.75" customHeight="1" x14ac:dyDescent="0.35">
      <c r="A41" s="832" t="s">
        <v>1051</v>
      </c>
      <c r="B41" s="833"/>
      <c r="C41" s="833"/>
      <c r="D41" s="833"/>
      <c r="E41" s="833"/>
      <c r="F41" s="833"/>
      <c r="G41" s="833"/>
      <c r="H41" s="833"/>
      <c r="I41" s="833"/>
      <c r="J41" s="833"/>
      <c r="K41" s="834"/>
      <c r="L41" s="44"/>
    </row>
    <row r="42" spans="1:12" ht="15.75" customHeight="1" x14ac:dyDescent="0.35">
      <c r="A42" s="853"/>
      <c r="B42" s="854"/>
      <c r="C42" s="854"/>
      <c r="D42" s="854"/>
      <c r="E42" s="854"/>
      <c r="F42" s="854"/>
      <c r="G42" s="854"/>
      <c r="H42" s="854"/>
      <c r="I42" s="854"/>
      <c r="J42" s="854"/>
      <c r="K42" s="855"/>
    </row>
    <row r="43" spans="1:12" ht="15.75" customHeight="1" x14ac:dyDescent="0.35">
      <c r="A43" s="856"/>
      <c r="B43" s="852"/>
      <c r="C43" s="852"/>
      <c r="D43" s="852"/>
      <c r="E43" s="852"/>
      <c r="F43" s="852"/>
      <c r="G43" s="852"/>
      <c r="H43" s="852"/>
      <c r="I43" s="852"/>
      <c r="J43" s="852"/>
      <c r="K43" s="857"/>
    </row>
    <row r="44" spans="1:12" ht="15.75" customHeight="1" x14ac:dyDescent="0.35">
      <c r="A44" s="856"/>
      <c r="B44" s="852"/>
      <c r="C44" s="852"/>
      <c r="D44" s="852"/>
      <c r="E44" s="852"/>
      <c r="F44" s="852"/>
      <c r="G44" s="852"/>
      <c r="H44" s="852"/>
      <c r="I44" s="852"/>
      <c r="J44" s="852"/>
      <c r="K44" s="857"/>
    </row>
    <row r="45" spans="1:12" ht="15.75" customHeight="1" x14ac:dyDescent="0.35">
      <c r="A45" s="856"/>
      <c r="B45" s="852"/>
      <c r="C45" s="852"/>
      <c r="D45" s="852"/>
      <c r="E45" s="852"/>
      <c r="F45" s="852"/>
      <c r="G45" s="852"/>
      <c r="H45" s="852"/>
      <c r="I45" s="852"/>
      <c r="J45" s="852"/>
      <c r="K45" s="857"/>
    </row>
    <row r="46" spans="1:12" ht="15.75" customHeight="1" x14ac:dyDescent="0.35">
      <c r="A46" s="856"/>
      <c r="B46" s="852"/>
      <c r="C46" s="852"/>
      <c r="D46" s="852"/>
      <c r="E46" s="852"/>
      <c r="F46" s="852"/>
      <c r="G46" s="852"/>
      <c r="H46" s="852"/>
      <c r="I46" s="852"/>
      <c r="J46" s="852"/>
      <c r="K46" s="857"/>
    </row>
    <row r="47" spans="1:12" ht="15.75" customHeight="1" x14ac:dyDescent="0.35">
      <c r="A47" s="858"/>
      <c r="B47" s="859"/>
      <c r="C47" s="859"/>
      <c r="D47" s="859"/>
      <c r="E47" s="859"/>
      <c r="F47" s="859"/>
      <c r="G47" s="859"/>
      <c r="H47" s="859"/>
      <c r="I47" s="859"/>
      <c r="J47" s="859"/>
      <c r="K47" s="860"/>
    </row>
    <row r="48" spans="1:12" ht="15.75" customHeight="1" x14ac:dyDescent="0.35">
      <c r="A48" s="1597"/>
      <c r="B48" s="262"/>
      <c r="C48" s="262"/>
      <c r="D48" s="262"/>
      <c r="E48" s="262"/>
      <c r="F48" s="262"/>
      <c r="G48" s="262"/>
      <c r="H48" s="262"/>
      <c r="I48" s="262"/>
      <c r="J48" s="262"/>
      <c r="K48" s="1597"/>
    </row>
    <row r="49" spans="1:12" s="167" customFormat="1" ht="15.75" customHeight="1" x14ac:dyDescent="0.35">
      <c r="A49" s="832" t="s">
        <v>1052</v>
      </c>
      <c r="B49" s="833"/>
      <c r="C49" s="833"/>
      <c r="D49" s="833"/>
      <c r="E49" s="833"/>
      <c r="F49" s="833"/>
      <c r="G49" s="833"/>
      <c r="H49" s="833"/>
      <c r="I49" s="833"/>
      <c r="J49" s="833"/>
      <c r="K49" s="834"/>
      <c r="L49" s="44"/>
    </row>
    <row r="50" spans="1:12" ht="15.75" customHeight="1" x14ac:dyDescent="0.35">
      <c r="A50" s="853"/>
      <c r="B50" s="854"/>
      <c r="C50" s="854"/>
      <c r="D50" s="854"/>
      <c r="E50" s="854"/>
      <c r="F50" s="854"/>
      <c r="G50" s="854"/>
      <c r="H50" s="854"/>
      <c r="I50" s="854"/>
      <c r="J50" s="854"/>
      <c r="K50" s="855"/>
    </row>
    <row r="51" spans="1:12" ht="15.75" customHeight="1" x14ac:dyDescent="0.35">
      <c r="A51" s="856"/>
      <c r="B51" s="852"/>
      <c r="C51" s="852"/>
      <c r="D51" s="852"/>
      <c r="E51" s="852"/>
      <c r="F51" s="852"/>
      <c r="G51" s="852"/>
      <c r="H51" s="852"/>
      <c r="I51" s="852"/>
      <c r="J51" s="852"/>
      <c r="K51" s="857"/>
    </row>
    <row r="52" spans="1:12" ht="15.75" customHeight="1" x14ac:dyDescent="0.35">
      <c r="A52" s="856"/>
      <c r="B52" s="852"/>
      <c r="C52" s="852"/>
      <c r="D52" s="852"/>
      <c r="E52" s="852"/>
      <c r="F52" s="852"/>
      <c r="G52" s="852"/>
      <c r="H52" s="852"/>
      <c r="I52" s="852"/>
      <c r="J52" s="852"/>
      <c r="K52" s="857"/>
    </row>
    <row r="53" spans="1:12" ht="15.75" customHeight="1" x14ac:dyDescent="0.35">
      <c r="A53" s="856"/>
      <c r="B53" s="852"/>
      <c r="C53" s="852"/>
      <c r="D53" s="852"/>
      <c r="E53" s="852"/>
      <c r="F53" s="852"/>
      <c r="G53" s="852"/>
      <c r="H53" s="852"/>
      <c r="I53" s="852"/>
      <c r="J53" s="852"/>
      <c r="K53" s="857"/>
    </row>
    <row r="54" spans="1:12" ht="15.75" customHeight="1" x14ac:dyDescent="0.35">
      <c r="A54" s="856"/>
      <c r="B54" s="852"/>
      <c r="C54" s="852"/>
      <c r="D54" s="852"/>
      <c r="E54" s="852"/>
      <c r="F54" s="852"/>
      <c r="G54" s="852"/>
      <c r="H54" s="852"/>
      <c r="I54" s="852"/>
      <c r="J54" s="852"/>
      <c r="K54" s="857"/>
    </row>
    <row r="55" spans="1:12" ht="15.75" customHeight="1" x14ac:dyDescent="0.35">
      <c r="A55" s="858"/>
      <c r="B55" s="859"/>
      <c r="C55" s="859"/>
      <c r="D55" s="859"/>
      <c r="E55" s="859"/>
      <c r="F55" s="859"/>
      <c r="G55" s="859"/>
      <c r="H55" s="859"/>
      <c r="I55" s="859"/>
      <c r="J55" s="859"/>
      <c r="K55" s="860"/>
    </row>
    <row r="56" spans="1:12" ht="15.75" customHeight="1" x14ac:dyDescent="0.35"/>
    <row r="57" spans="1:12" ht="15.75" hidden="1" customHeight="1" x14ac:dyDescent="0.35"/>
    <row r="58" spans="1:12" ht="15.75" hidden="1" customHeight="1" x14ac:dyDescent="0.35"/>
    <row r="59" spans="1:12" ht="15.75" hidden="1" customHeight="1" x14ac:dyDescent="0.35"/>
    <row r="60" spans="1:12" ht="15.75" hidden="1" customHeight="1" x14ac:dyDescent="0.35"/>
    <row r="61" spans="1:12" ht="15.75" hidden="1" customHeight="1" x14ac:dyDescent="0.35"/>
    <row r="62" spans="1:12" ht="15.75" hidden="1" customHeight="1" x14ac:dyDescent="0.35"/>
    <row r="63" spans="1:12" ht="15.75" hidden="1" customHeight="1" x14ac:dyDescent="0.35"/>
    <row r="64" spans="1:12" ht="15.75" hidden="1" customHeight="1" x14ac:dyDescent="0.35"/>
    <row r="65" ht="15.75" hidden="1" customHeight="1" x14ac:dyDescent="0.35"/>
    <row r="66" ht="15.75" hidden="1" customHeight="1" x14ac:dyDescent="0.35"/>
    <row r="67" ht="15.75" hidden="1" customHeight="1" x14ac:dyDescent="0.35"/>
    <row r="68" ht="15.75" hidden="1" customHeight="1" x14ac:dyDescent="0.35"/>
    <row r="69" ht="15.75" hidden="1" customHeight="1" x14ac:dyDescent="0.35"/>
    <row r="70" ht="15.75" hidden="1" customHeight="1" x14ac:dyDescent="0.35"/>
    <row r="71" ht="15.75" hidden="1" customHeight="1" x14ac:dyDescent="0.35"/>
    <row r="72" ht="15.75" hidden="1" customHeight="1" x14ac:dyDescent="0.35"/>
    <row r="73" ht="15.75" hidden="1" customHeight="1" x14ac:dyDescent="0.35"/>
    <row r="74" ht="15.75" hidden="1" customHeight="1" x14ac:dyDescent="0.35"/>
    <row r="75" ht="15.75" hidden="1" customHeight="1" x14ac:dyDescent="0.35"/>
    <row r="76" ht="15.75" hidden="1" customHeight="1" x14ac:dyDescent="0.35"/>
    <row r="77" ht="15.75" hidden="1" customHeight="1" x14ac:dyDescent="0.35"/>
    <row r="78" ht="15.75" hidden="1" customHeight="1" x14ac:dyDescent="0.35"/>
    <row r="79" ht="15.75" hidden="1" customHeight="1" x14ac:dyDescent="0.35"/>
    <row r="80" ht="15.75" hidden="1" customHeight="1" x14ac:dyDescent="0.35"/>
    <row r="81" ht="15.75" hidden="1" customHeight="1" x14ac:dyDescent="0.35"/>
    <row r="82" ht="15.75" hidden="1" customHeight="1" x14ac:dyDescent="0.35"/>
    <row r="83" ht="15.75" hidden="1" customHeight="1" x14ac:dyDescent="0.35"/>
    <row r="84" ht="15.75" hidden="1" customHeight="1" x14ac:dyDescent="0.35"/>
    <row r="85" ht="15.75" hidden="1" customHeight="1" x14ac:dyDescent="0.35"/>
    <row r="86" ht="15.75" hidden="1" customHeight="1" x14ac:dyDescent="0.35"/>
    <row r="87" ht="15.75" hidden="1" customHeight="1" x14ac:dyDescent="0.35"/>
    <row r="88" ht="15.75" hidden="1" customHeight="1" x14ac:dyDescent="0.35"/>
    <row r="89" ht="15.75" hidden="1" customHeight="1" x14ac:dyDescent="0.35"/>
    <row r="90" ht="15.75" hidden="1" customHeight="1" x14ac:dyDescent="0.35"/>
    <row r="91" ht="15.75" hidden="1" customHeight="1" x14ac:dyDescent="0.35"/>
    <row r="92" ht="15.75" hidden="1" customHeight="1" x14ac:dyDescent="0.35"/>
    <row r="93" ht="15.75" hidden="1" customHeight="1" x14ac:dyDescent="0.35"/>
    <row r="94" ht="15.75" hidden="1" customHeight="1" x14ac:dyDescent="0.35"/>
    <row r="95" ht="15.75" hidden="1" customHeight="1" x14ac:dyDescent="0.35"/>
    <row r="96" ht="15.75" hidden="1" customHeight="1" x14ac:dyDescent="0.35"/>
    <row r="97" ht="15.75" hidden="1" customHeight="1" x14ac:dyDescent="0.35"/>
    <row r="98" ht="15.75" hidden="1" customHeight="1" x14ac:dyDescent="0.35"/>
    <row r="99" ht="15.75" hidden="1" customHeight="1" x14ac:dyDescent="0.35"/>
    <row r="100" ht="15.75" hidden="1" customHeight="1" x14ac:dyDescent="0.35"/>
    <row r="101" ht="15.75" hidden="1" customHeight="1" x14ac:dyDescent="0.35"/>
    <row r="102" ht="15.75" hidden="1" customHeight="1" x14ac:dyDescent="0.35"/>
    <row r="103" ht="15.75" hidden="1" customHeight="1" x14ac:dyDescent="0.35"/>
    <row r="104" ht="15.75" hidden="1" customHeight="1" x14ac:dyDescent="0.35"/>
    <row r="105" ht="15.75" hidden="1" customHeight="1" x14ac:dyDescent="0.35"/>
    <row r="106" ht="15.75" hidden="1" customHeight="1" x14ac:dyDescent="0.35"/>
    <row r="107" ht="15.75" hidden="1" customHeight="1" x14ac:dyDescent="0.35"/>
    <row r="108" ht="15.75" hidden="1" customHeight="1" x14ac:dyDescent="0.35"/>
    <row r="109" ht="15.75" hidden="1" customHeight="1" x14ac:dyDescent="0.35"/>
    <row r="110" ht="15.75" hidden="1" customHeight="1" x14ac:dyDescent="0.35"/>
    <row r="111" ht="15.75" hidden="1" customHeight="1" x14ac:dyDescent="0.35"/>
    <row r="112" ht="15.75" hidden="1" customHeight="1" x14ac:dyDescent="0.35"/>
    <row r="113" ht="15.75" hidden="1" customHeight="1" x14ac:dyDescent="0.35"/>
    <row r="114" ht="15.75" hidden="1" customHeight="1" x14ac:dyDescent="0.35"/>
    <row r="115" ht="15.75" hidden="1" customHeight="1" x14ac:dyDescent="0.35"/>
    <row r="116" ht="15.75" hidden="1" customHeight="1" x14ac:dyDescent="0.35"/>
    <row r="117" ht="15.75" hidden="1" customHeight="1" x14ac:dyDescent="0.35"/>
    <row r="118" ht="15.75" hidden="1" customHeight="1" x14ac:dyDescent="0.35"/>
    <row r="119" ht="15.75" hidden="1" customHeight="1" x14ac:dyDescent="0.35"/>
    <row r="120" ht="15.75" hidden="1" customHeight="1" x14ac:dyDescent="0.35"/>
    <row r="121" ht="15.75" hidden="1" customHeight="1" x14ac:dyDescent="0.35"/>
    <row r="122" ht="15.75" hidden="1" customHeight="1" x14ac:dyDescent="0.35"/>
    <row r="123" ht="15.75" hidden="1" customHeight="1" x14ac:dyDescent="0.35"/>
    <row r="124" ht="15.75" hidden="1" customHeight="1" x14ac:dyDescent="0.35"/>
    <row r="125" ht="15.75" hidden="1" customHeight="1" x14ac:dyDescent="0.35"/>
    <row r="126" ht="15.75" hidden="1" customHeight="1" x14ac:dyDescent="0.35"/>
    <row r="127" ht="15.75" hidden="1" customHeight="1" x14ac:dyDescent="0.35"/>
    <row r="128" ht="15.75" hidden="1" customHeight="1" x14ac:dyDescent="0.35"/>
    <row r="129" ht="15.75" hidden="1" customHeight="1" x14ac:dyDescent="0.35"/>
    <row r="130" ht="15.75" hidden="1" customHeight="1" x14ac:dyDescent="0.35"/>
    <row r="131" ht="15.75" hidden="1" customHeight="1" x14ac:dyDescent="0.35"/>
    <row r="132" ht="15.75" hidden="1" customHeight="1" x14ac:dyDescent="0.35"/>
    <row r="133" ht="15.75" hidden="1" customHeight="1" x14ac:dyDescent="0.35"/>
    <row r="134" ht="15.75" hidden="1" customHeight="1" x14ac:dyDescent="0.35"/>
    <row r="135" ht="15.75" hidden="1" customHeight="1" x14ac:dyDescent="0.35"/>
    <row r="136" ht="15.75" hidden="1" customHeight="1" x14ac:dyDescent="0.35"/>
    <row r="137" ht="15.75" hidden="1" customHeight="1" x14ac:dyDescent="0.35"/>
    <row r="138" ht="15.75" hidden="1" customHeight="1" x14ac:dyDescent="0.35"/>
    <row r="139" ht="15.75" hidden="1" customHeight="1" x14ac:dyDescent="0.35"/>
    <row r="140" ht="15.75" hidden="1" customHeight="1" x14ac:dyDescent="0.35"/>
    <row r="141" ht="15.75" hidden="1" customHeight="1" x14ac:dyDescent="0.35"/>
    <row r="142" ht="15.75" hidden="1" customHeight="1" x14ac:dyDescent="0.35"/>
  </sheetData>
  <sheetProtection password="813F" sheet="1" objects="1" scenarios="1" selectLockedCells="1"/>
  <customSheetViews>
    <customSheetView guid="{51165254-F18A-4CD1-9981-8F2DE14CC76C}" showGridLines="0" fitToPage="1" hiddenRows="1" hiddenColumns="1" showRuler="0">
      <selection activeCell="D9" sqref="D9:F9"/>
      <pageMargins left="0.78740157480314965" right="0.78740157480314965" top="0.98425196850393704" bottom="0.98425196850393704" header="0.51181102362204722" footer="0.51181102362204722"/>
      <printOptions horizontalCentered="1" verticalCentered="1"/>
      <pageSetup paperSize="9" scale="53" orientation="portrait" r:id="rId1"/>
      <headerFooter alignWithMargins="0">
        <oddHeader>&amp;L&amp;F</oddHeader>
        <oddFooter xml:space="preserve">&amp;LDAF Dealer Business Plan&amp;CPrint date: &amp;D&amp;R&amp;P/&amp;N | DAF Trucks NV    </oddFooter>
      </headerFooter>
    </customSheetView>
  </customSheetViews>
  <mergeCells count="2">
    <mergeCell ref="G6:K6"/>
    <mergeCell ref="D6:F6"/>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53"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indexed="14"/>
    <pageSetUpPr fitToPage="1"/>
  </sheetPr>
  <dimension ref="A1:M173"/>
  <sheetViews>
    <sheetView showGridLines="0" workbookViewId="0">
      <selection activeCell="C14" sqref="C14"/>
    </sheetView>
  </sheetViews>
  <sheetFormatPr baseColWidth="10" defaultColWidth="0" defaultRowHeight="14.4" zeroHeight="1" x14ac:dyDescent="0.35"/>
  <cols>
    <col min="1" max="1" width="18.109375" style="135" customWidth="1"/>
    <col min="2" max="2" width="12" style="1556" customWidth="1"/>
    <col min="3" max="3" width="9.109375" style="1556" customWidth="1"/>
    <col min="4" max="4" width="10.6640625" style="1556" customWidth="1"/>
    <col min="5" max="5" width="14" style="1556" customWidth="1"/>
    <col min="6" max="6" width="34.109375" style="1556" customWidth="1"/>
    <col min="7" max="7" width="9.109375" style="1556" customWidth="1"/>
    <col min="8" max="8" width="3.6640625" style="1556" customWidth="1"/>
    <col min="9" max="9" width="2.77734375" style="1556" customWidth="1"/>
    <col min="10" max="10" width="13.77734375" style="1556" customWidth="1"/>
    <col min="11" max="11" width="13.77734375" style="79" customWidth="1"/>
    <col min="12" max="12" width="1.44140625" style="45" customWidth="1"/>
    <col min="13" max="16384" width="9.109375" style="45" hidden="1"/>
  </cols>
  <sheetData>
    <row r="1" spans="1:12" s="150" customFormat="1" ht="28.8" x14ac:dyDescent="0.55000000000000004">
      <c r="A1" s="2056" t="str">
        <f>"Business Plan "&amp;'Reference sheet'!K5</f>
        <v xml:space="preserve">Business Plan </v>
      </c>
      <c r="B1" s="2057"/>
      <c r="C1" s="2057"/>
      <c r="D1" s="2057"/>
      <c r="E1" s="2057"/>
      <c r="F1" s="2057"/>
      <c r="G1" s="2057"/>
      <c r="H1" s="2057"/>
      <c r="I1" s="2057"/>
      <c r="J1" s="2057"/>
      <c r="K1" s="2058"/>
      <c r="L1" s="149"/>
    </row>
    <row r="2" spans="1:12" s="150" customFormat="1" ht="28.8" x14ac:dyDescent="0.55000000000000004">
      <c r="A2" s="151"/>
      <c r="B2" s="152"/>
      <c r="C2" s="152"/>
      <c r="D2" s="152"/>
      <c r="E2" s="152"/>
      <c r="F2" s="152"/>
      <c r="G2" s="152"/>
      <c r="H2" s="152"/>
      <c r="I2" s="152"/>
      <c r="J2" s="152"/>
      <c r="K2" s="1560"/>
      <c r="L2" s="153"/>
    </row>
    <row r="3" spans="1:12" x14ac:dyDescent="0.35">
      <c r="B3" s="136"/>
      <c r="C3" s="136"/>
      <c r="D3" s="136"/>
      <c r="E3" s="136"/>
      <c r="F3" s="136"/>
      <c r="G3" s="136"/>
      <c r="H3" s="136"/>
      <c r="I3" s="136"/>
      <c r="J3" s="136"/>
      <c r="L3" s="79"/>
    </row>
    <row r="4" spans="1:12" s="150" customFormat="1" ht="28.8" x14ac:dyDescent="0.55000000000000004">
      <c r="A4" s="154" t="str">
        <f>IF('Reference sheet'!C12="","Dealer name",'Reference sheet'!C12)</f>
        <v>TRUCK INTERNATIONAL MOBILITY SA</v>
      </c>
      <c r="B4" s="155"/>
      <c r="C4" s="155"/>
      <c r="D4" s="155"/>
      <c r="E4" s="155"/>
      <c r="F4" s="155"/>
      <c r="G4" s="155"/>
      <c r="H4" s="155"/>
      <c r="I4" s="155"/>
      <c r="J4" s="155"/>
      <c r="K4" s="149"/>
      <c r="L4" s="149"/>
    </row>
    <row r="5" spans="1:12" x14ac:dyDescent="0.35">
      <c r="B5" s="136"/>
      <c r="C5" s="136"/>
      <c r="D5" s="136"/>
      <c r="E5" s="136"/>
      <c r="F5" s="136"/>
      <c r="G5" s="136"/>
      <c r="H5" s="136"/>
      <c r="I5" s="136"/>
      <c r="J5" s="136"/>
      <c r="L5" s="79"/>
    </row>
    <row r="6" spans="1:12" ht="22.2" x14ac:dyDescent="0.45">
      <c r="A6" s="156" t="str">
        <f>IF('Reference sheet'!C13="","Dealer residence",'Reference sheet'!C13)</f>
        <v>Sousse</v>
      </c>
      <c r="B6" s="157"/>
      <c r="C6" s="157"/>
      <c r="D6" s="157"/>
      <c r="E6" s="157"/>
      <c r="F6" s="157"/>
      <c r="G6" s="157"/>
      <c r="H6" s="157"/>
      <c r="I6" s="157"/>
      <c r="J6" s="157"/>
      <c r="K6" s="158"/>
      <c r="L6" s="158"/>
    </row>
    <row r="7" spans="1:12" x14ac:dyDescent="0.35">
      <c r="B7" s="136"/>
      <c r="C7" s="136"/>
      <c r="D7" s="136"/>
      <c r="E7" s="136"/>
      <c r="F7" s="136"/>
      <c r="G7" s="136"/>
      <c r="H7" s="136"/>
      <c r="I7" s="136"/>
      <c r="J7" s="136"/>
      <c r="L7" s="79"/>
    </row>
    <row r="8" spans="1:12" x14ac:dyDescent="0.35">
      <c r="B8" s="136"/>
      <c r="C8" s="136"/>
      <c r="D8" s="136"/>
      <c r="E8" s="136"/>
      <c r="F8" s="136"/>
      <c r="G8" s="136"/>
      <c r="H8" s="136"/>
      <c r="I8" s="136"/>
      <c r="J8" s="136"/>
      <c r="L8" s="79"/>
    </row>
    <row r="9" spans="1:12" ht="22.2" x14ac:dyDescent="0.45">
      <c r="A9" s="159" t="str">
        <f>"Version "&amp;'Reference sheet'!C15</f>
        <v>Version 2</v>
      </c>
      <c r="B9" s="160"/>
      <c r="C9" s="160"/>
      <c r="D9" s="160"/>
      <c r="E9" s="160"/>
      <c r="F9" s="160"/>
      <c r="G9" s="160"/>
      <c r="H9" s="160"/>
      <c r="I9" s="160"/>
      <c r="J9" s="160"/>
      <c r="K9" s="161"/>
      <c r="L9" s="161"/>
    </row>
    <row r="10" spans="1:12" x14ac:dyDescent="0.35">
      <c r="B10" s="136"/>
      <c r="C10" s="136"/>
      <c r="D10" s="136"/>
      <c r="E10" s="136"/>
      <c r="F10" s="136"/>
      <c r="G10" s="136"/>
      <c r="H10" s="136"/>
      <c r="I10" s="136"/>
      <c r="J10" s="136"/>
      <c r="L10" s="79"/>
    </row>
    <row r="11" spans="1:12" x14ac:dyDescent="0.35">
      <c r="B11" s="136"/>
      <c r="C11" s="136"/>
      <c r="D11" s="136"/>
      <c r="E11" s="136"/>
      <c r="F11" s="136"/>
      <c r="G11" s="136"/>
      <c r="H11" s="136"/>
      <c r="I11" s="136"/>
      <c r="J11" s="136"/>
      <c r="L11" s="79"/>
    </row>
    <row r="12" spans="1:12" ht="22.2" x14ac:dyDescent="0.45">
      <c r="B12" s="162" t="s">
        <v>1042</v>
      </c>
      <c r="C12" s="139"/>
      <c r="D12" s="139"/>
      <c r="E12" s="139"/>
      <c r="F12" s="136"/>
      <c r="G12" s="139"/>
      <c r="H12" s="139"/>
      <c r="I12" s="136"/>
      <c r="J12" s="136"/>
      <c r="L12" s="79"/>
    </row>
    <row r="13" spans="1:12" ht="16.2" x14ac:dyDescent="0.35">
      <c r="B13" s="163"/>
      <c r="C13" s="164"/>
      <c r="D13" s="139"/>
      <c r="E13" s="139"/>
      <c r="F13" s="136"/>
      <c r="G13" s="139"/>
      <c r="H13" s="139"/>
      <c r="I13" s="136"/>
      <c r="J13" s="136"/>
      <c r="L13" s="79"/>
    </row>
    <row r="14" spans="1:12" ht="16.2" x14ac:dyDescent="0.35">
      <c r="B14" s="1753" t="s">
        <v>482</v>
      </c>
      <c r="C14" s="1754"/>
      <c r="D14" s="842"/>
      <c r="E14" s="842"/>
      <c r="F14" s="839"/>
      <c r="G14" s="842"/>
      <c r="H14" s="842"/>
      <c r="I14" s="839"/>
      <c r="J14" s="839"/>
      <c r="L14" s="79"/>
    </row>
    <row r="15" spans="1:12" ht="16.2" x14ac:dyDescent="0.35">
      <c r="B15" s="1753" t="s">
        <v>548</v>
      </c>
      <c r="C15" s="1755"/>
      <c r="D15" s="842"/>
      <c r="E15" s="842"/>
      <c r="F15" s="852"/>
      <c r="G15" s="842"/>
      <c r="H15" s="842"/>
      <c r="I15" s="839"/>
      <c r="J15" s="839"/>
      <c r="L15" s="79"/>
    </row>
    <row r="16" spans="1:12" ht="16.2" x14ac:dyDescent="0.35">
      <c r="B16" s="845" t="s">
        <v>1043</v>
      </c>
      <c r="C16" s="845" t="s">
        <v>673</v>
      </c>
      <c r="D16" s="839"/>
      <c r="E16" s="839"/>
      <c r="F16" s="1749" t="s">
        <v>688</v>
      </c>
      <c r="G16" s="842"/>
      <c r="H16" s="847"/>
      <c r="I16" s="839"/>
      <c r="J16" s="839"/>
      <c r="L16" s="79"/>
    </row>
    <row r="17" spans="2:12" ht="16.2" x14ac:dyDescent="0.35">
      <c r="B17" s="845"/>
      <c r="C17" s="845"/>
      <c r="D17" s="839"/>
      <c r="E17" s="839"/>
      <c r="F17" s="1750" t="str">
        <f>'1.1 Mission &amp; Objectives'!K1</f>
        <v>1.1 Mission &amp; Objectives</v>
      </c>
      <c r="G17" s="842"/>
      <c r="H17" s="847"/>
      <c r="I17" s="839"/>
      <c r="J17" s="839"/>
      <c r="L17" s="79"/>
    </row>
    <row r="18" spans="2:12" ht="16.2" x14ac:dyDescent="0.35">
      <c r="B18" s="845"/>
      <c r="C18" s="845"/>
      <c r="D18" s="839"/>
      <c r="E18" s="839"/>
      <c r="F18" s="852"/>
      <c r="G18" s="842"/>
      <c r="H18" s="847"/>
      <c r="I18" s="839"/>
      <c r="J18" s="839"/>
      <c r="L18" s="79"/>
    </row>
    <row r="19" spans="2:12" ht="16.2" x14ac:dyDescent="0.35">
      <c r="B19" s="845" t="s">
        <v>708</v>
      </c>
      <c r="C19" s="845" t="str">
        <f>'2.0 Company Profile'!A1</f>
        <v>Company Summary</v>
      </c>
      <c r="D19" s="839"/>
      <c r="E19" s="839"/>
      <c r="F19" s="1750" t="str">
        <f>'2.0 Company Profile'!K1</f>
        <v>2.0 Company Profile</v>
      </c>
      <c r="G19" s="842"/>
      <c r="H19" s="842"/>
      <c r="I19" s="839"/>
      <c r="J19" s="839"/>
      <c r="L19" s="79"/>
    </row>
    <row r="20" spans="2:12" ht="16.2" x14ac:dyDescent="0.35">
      <c r="B20" s="845"/>
      <c r="C20" s="845"/>
      <c r="D20" s="839"/>
      <c r="E20" s="839"/>
      <c r="F20" s="1749" t="str">
        <f>'2.1 Company Organisation'!K1</f>
        <v>2.1 Company Organisation</v>
      </c>
      <c r="G20" s="842"/>
      <c r="H20" s="842"/>
      <c r="I20" s="839"/>
      <c r="J20" s="839"/>
      <c r="L20" s="79"/>
    </row>
    <row r="21" spans="2:12" ht="16.2" x14ac:dyDescent="0.35">
      <c r="B21" s="845"/>
      <c r="C21" s="845"/>
      <c r="D21" s="839"/>
      <c r="E21" s="839"/>
      <c r="F21" s="1750" t="str">
        <f>'2.2 Location &amp; Facilities'!K1</f>
        <v>2.2 Location &amp; Facilities</v>
      </c>
      <c r="G21" s="842"/>
      <c r="H21" s="842"/>
      <c r="I21" s="839"/>
      <c r="J21" s="839"/>
      <c r="L21" s="79"/>
    </row>
    <row r="22" spans="2:12" x14ac:dyDescent="0.35">
      <c r="B22" s="839"/>
      <c r="C22" s="839"/>
      <c r="D22" s="839"/>
      <c r="E22" s="839"/>
      <c r="F22" s="852"/>
      <c r="G22" s="839"/>
      <c r="H22" s="839"/>
      <c r="I22" s="839"/>
      <c r="J22" s="839"/>
      <c r="L22" s="79"/>
    </row>
    <row r="23" spans="2:12" ht="16.2" x14ac:dyDescent="0.35">
      <c r="B23" s="845" t="s">
        <v>1044</v>
      </c>
      <c r="C23" s="845" t="str">
        <f>'3.0 Products &amp; Services'!A1</f>
        <v>Products &amp; Services</v>
      </c>
      <c r="D23" s="839"/>
      <c r="E23" s="839"/>
      <c r="F23" s="1749" t="str">
        <f>'3.0 Products &amp; Services'!K1</f>
        <v>3.0 Products &amp; Services</v>
      </c>
      <c r="G23" s="842"/>
      <c r="H23" s="842"/>
      <c r="I23" s="839"/>
      <c r="J23" s="839"/>
      <c r="L23" s="79"/>
    </row>
    <row r="24" spans="2:12" ht="16.2" x14ac:dyDescent="0.35">
      <c r="B24" s="845"/>
      <c r="C24" s="845"/>
      <c r="D24" s="839"/>
      <c r="E24" s="839"/>
      <c r="F24" s="1749" t="str">
        <f>'3.1 Financing &amp; Insurance'!K1</f>
        <v>3.1 Financing &amp; Insurance</v>
      </c>
      <c r="G24" s="842"/>
      <c r="H24" s="842"/>
      <c r="I24" s="839"/>
      <c r="J24" s="839"/>
      <c r="L24" s="79"/>
    </row>
    <row r="25" spans="2:12" ht="16.2" x14ac:dyDescent="0.35">
      <c r="B25" s="845"/>
      <c r="C25" s="845"/>
      <c r="D25" s="839"/>
      <c r="E25" s="839"/>
      <c r="F25" s="1749" t="str">
        <f>'3.2 Funding'!K1</f>
        <v>3.2 Funding</v>
      </c>
      <c r="G25" s="842"/>
      <c r="H25" s="842"/>
      <c r="I25" s="839"/>
      <c r="J25" s="839"/>
      <c r="L25" s="79"/>
    </row>
    <row r="26" spans="2:12" x14ac:dyDescent="0.35">
      <c r="B26" s="845"/>
      <c r="C26" s="845"/>
      <c r="D26" s="839"/>
      <c r="E26" s="839"/>
      <c r="F26" s="852"/>
      <c r="G26" s="839"/>
      <c r="H26" s="839"/>
      <c r="I26" s="839"/>
      <c r="J26" s="839"/>
      <c r="L26" s="79"/>
    </row>
    <row r="27" spans="2:12" ht="16.2" x14ac:dyDescent="0.35">
      <c r="B27" s="845" t="s">
        <v>1045</v>
      </c>
      <c r="C27" s="845" t="str">
        <f>'4.0 Organisation &amp; HR'!A1</f>
        <v>Management Summary</v>
      </c>
      <c r="D27" s="839"/>
      <c r="E27" s="839"/>
      <c r="F27" s="1749" t="str">
        <f>'4.0 Organisation &amp; HR'!K1</f>
        <v>4.0 Organisation &amp; HR</v>
      </c>
      <c r="G27" s="842"/>
      <c r="H27" s="842"/>
      <c r="I27" s="839"/>
      <c r="J27" s="839"/>
      <c r="L27" s="79"/>
    </row>
    <row r="28" spans="2:12" x14ac:dyDescent="0.35">
      <c r="B28" s="845"/>
      <c r="C28" s="845"/>
      <c r="D28" s="839"/>
      <c r="E28" s="839"/>
      <c r="F28" s="1750" t="str">
        <f>'4.1.1 Management team'!K1</f>
        <v>4.1.1 Management team</v>
      </c>
      <c r="G28" s="839"/>
      <c r="H28" s="839"/>
      <c r="I28" s="839"/>
      <c r="J28" s="839"/>
      <c r="L28" s="79"/>
    </row>
    <row r="29" spans="2:12" x14ac:dyDescent="0.35">
      <c r="B29" s="845"/>
      <c r="C29" s="845"/>
      <c r="D29" s="839"/>
      <c r="E29" s="839"/>
      <c r="F29" s="1750" t="str">
        <f>'4.1.2 Management team'!K1</f>
        <v>4.1.2 Management team (other)</v>
      </c>
      <c r="G29" s="839"/>
      <c r="H29" s="839"/>
      <c r="I29" s="839"/>
      <c r="J29" s="839"/>
      <c r="L29" s="79"/>
    </row>
    <row r="30" spans="2:12" x14ac:dyDescent="0.35">
      <c r="B30" s="845"/>
      <c r="C30" s="845"/>
      <c r="D30" s="839"/>
      <c r="E30" s="839"/>
      <c r="F30" s="852"/>
      <c r="G30" s="839"/>
      <c r="H30" s="839"/>
      <c r="I30" s="839"/>
      <c r="J30" s="839"/>
      <c r="L30" s="79"/>
    </row>
    <row r="31" spans="2:12" ht="16.2" x14ac:dyDescent="0.35">
      <c r="B31" s="845" t="s">
        <v>1046</v>
      </c>
      <c r="C31" s="845" t="str">
        <f>'5.0 Economy'!A1</f>
        <v xml:space="preserve">Market Analysis </v>
      </c>
      <c r="D31" s="839"/>
      <c r="E31" s="839"/>
      <c r="F31" s="1751" t="str">
        <f>'5.0 Economy'!K1</f>
        <v>5.0 Economy</v>
      </c>
      <c r="G31" s="842"/>
      <c r="H31" s="839"/>
      <c r="I31" s="839"/>
      <c r="J31" s="839"/>
      <c r="L31" s="79"/>
    </row>
    <row r="32" spans="2:12" ht="16.2" x14ac:dyDescent="0.35">
      <c r="B32" s="845"/>
      <c r="C32" s="845"/>
      <c r="D32" s="839"/>
      <c r="E32" s="839"/>
      <c r="F32" s="1751" t="s">
        <v>546</v>
      </c>
      <c r="G32" s="842"/>
      <c r="H32" s="839"/>
      <c r="I32" s="839"/>
      <c r="J32" s="839"/>
      <c r="L32" s="79"/>
    </row>
    <row r="33" spans="2:13" ht="16.2" x14ac:dyDescent="0.35">
      <c r="B33" s="845"/>
      <c r="C33" s="845"/>
      <c r="D33" s="839"/>
      <c r="E33" s="839"/>
      <c r="F33" s="1749" t="str">
        <f>'5.1.1 NewTruck market-Country'!K1</f>
        <v>5.1.1 New Truck Market - Country</v>
      </c>
      <c r="G33" s="842"/>
      <c r="H33" s="839"/>
      <c r="I33" s="839"/>
      <c r="J33" s="839"/>
      <c r="L33" s="79"/>
    </row>
    <row r="34" spans="2:13" ht="16.2" x14ac:dyDescent="0.35">
      <c r="B34" s="839"/>
      <c r="C34" s="839"/>
      <c r="D34" s="839"/>
      <c r="E34" s="839"/>
      <c r="F34" s="1751" t="str">
        <f>'5.1.2 NT market-Dealer area'!K1</f>
        <v>5.1.2 New Truck Market - Dealer Area</v>
      </c>
      <c r="G34" s="842"/>
      <c r="H34" s="839"/>
      <c r="I34" s="839"/>
      <c r="J34" s="839"/>
      <c r="K34" s="1561"/>
      <c r="L34" s="79"/>
      <c r="M34" s="136"/>
    </row>
    <row r="35" spans="2:13" ht="16.2" x14ac:dyDescent="0.35">
      <c r="B35" s="845"/>
      <c r="C35" s="845"/>
      <c r="D35" s="839"/>
      <c r="E35" s="839"/>
      <c r="F35" s="1749" t="str">
        <f>'5.2 UT market-Dealer area'!K1</f>
        <v>5.2 Used Truck Market - Dealer Area</v>
      </c>
      <c r="G35" s="842"/>
      <c r="H35" s="839"/>
      <c r="I35" s="839"/>
      <c r="J35" s="839"/>
      <c r="K35" s="1561"/>
      <c r="L35" s="79"/>
      <c r="M35" s="136"/>
    </row>
    <row r="36" spans="2:13" ht="16.2" x14ac:dyDescent="0.35">
      <c r="B36" s="845"/>
      <c r="C36" s="845"/>
      <c r="D36" s="839"/>
      <c r="E36" s="839"/>
      <c r="F36" s="1749" t="str">
        <f>'5.3 Running Parc - Dealer Area'!M1</f>
        <v>5.3 Running Parc - Dealer Area</v>
      </c>
      <c r="G36" s="842"/>
      <c r="H36" s="839"/>
      <c r="I36" s="839"/>
      <c r="J36" s="839"/>
      <c r="K36" s="1561"/>
      <c r="L36" s="79"/>
      <c r="M36" s="136"/>
    </row>
    <row r="37" spans="2:13" ht="16.2" x14ac:dyDescent="0.35">
      <c r="B37" s="845"/>
      <c r="C37" s="845"/>
      <c r="D37" s="839"/>
      <c r="E37" s="839"/>
      <c r="F37" s="1749" t="str">
        <f>'5.4.1 Competition in Area'!K1</f>
        <v>5.4.1 Competition in Area</v>
      </c>
      <c r="G37" s="842"/>
      <c r="H37" s="839"/>
      <c r="I37" s="839"/>
      <c r="J37" s="839"/>
      <c r="K37" s="1561"/>
      <c r="L37" s="79"/>
      <c r="M37" s="136"/>
    </row>
    <row r="38" spans="2:13" ht="16.2" x14ac:dyDescent="0.35">
      <c r="B38" s="845"/>
      <c r="C38" s="845"/>
      <c r="D38" s="839"/>
      <c r="E38" s="839"/>
      <c r="F38" s="1749" t="str">
        <f>'5.4.2 Comp. Analysis Table'!K1</f>
        <v>5.4.2 Competitive Analysis Table</v>
      </c>
      <c r="G38" s="842"/>
      <c r="H38" s="839"/>
      <c r="I38" s="839"/>
      <c r="J38" s="839"/>
      <c r="K38" s="1561"/>
      <c r="L38" s="79"/>
      <c r="M38" s="136"/>
    </row>
    <row r="39" spans="2:13" ht="16.2" x14ac:dyDescent="0.35">
      <c r="B39" s="845"/>
      <c r="C39" s="845"/>
      <c r="D39" s="839"/>
      <c r="E39" s="839"/>
      <c r="F39" s="1749" t="str">
        <f>'5.4.3 Comp.  Analysis SWOT'!K1</f>
        <v>5.4.3 Competitive Analysis SWOT</v>
      </c>
      <c r="G39" s="842"/>
      <c r="H39" s="839"/>
      <c r="I39" s="839"/>
      <c r="J39" s="839"/>
      <c r="K39" s="1561"/>
      <c r="L39" s="79"/>
      <c r="M39" s="136"/>
    </row>
    <row r="40" spans="2:13" ht="16.2" x14ac:dyDescent="0.35">
      <c r="B40" s="845"/>
      <c r="C40" s="845"/>
      <c r="D40" s="839"/>
      <c r="E40" s="839"/>
      <c r="F40" s="1749" t="str">
        <f>'5.5 Customers'!M1</f>
        <v>5.5 Customers</v>
      </c>
      <c r="G40" s="842"/>
      <c r="H40" s="839"/>
      <c r="I40" s="839"/>
      <c r="J40" s="839"/>
      <c r="K40" s="1561"/>
      <c r="L40" s="79"/>
      <c r="M40" s="136"/>
    </row>
    <row r="41" spans="2:13" ht="16.2" x14ac:dyDescent="0.35">
      <c r="B41" s="845"/>
      <c r="C41" s="845"/>
      <c r="D41" s="839"/>
      <c r="E41" s="839"/>
      <c r="F41" s="1752"/>
      <c r="G41" s="842"/>
      <c r="H41" s="839"/>
      <c r="I41" s="839"/>
      <c r="J41" s="839"/>
      <c r="K41" s="1561"/>
      <c r="L41" s="79"/>
      <c r="M41" s="136"/>
    </row>
    <row r="42" spans="2:13" ht="16.2" x14ac:dyDescent="0.35">
      <c r="B42" s="845" t="s">
        <v>1047</v>
      </c>
      <c r="C42" s="845" t="str">
        <f>'6.0 New Truck Sales'!A1</f>
        <v>Strategy and Implementation</v>
      </c>
      <c r="D42" s="839"/>
      <c r="E42" s="839"/>
      <c r="F42" s="1749" t="str">
        <f>'6.0 New Truck Sales'!K1</f>
        <v>6.0 New Truck Sales</v>
      </c>
      <c r="G42" s="839"/>
      <c r="H42" s="839"/>
      <c r="I42" s="839"/>
      <c r="J42" s="839"/>
      <c r="K42" s="1561"/>
      <c r="L42" s="79"/>
      <c r="M42" s="136"/>
    </row>
    <row r="43" spans="2:13" ht="16.2" x14ac:dyDescent="0.35">
      <c r="B43" s="845"/>
      <c r="C43" s="845"/>
      <c r="D43" s="839"/>
      <c r="E43" s="839"/>
      <c r="F43" s="1749" t="str">
        <f>'6.1 Used Trucks'!K1</f>
        <v>6.1 Used Trucks</v>
      </c>
      <c r="G43" s="842"/>
      <c r="H43" s="839"/>
      <c r="I43" s="839"/>
      <c r="J43" s="839"/>
      <c r="K43" s="335"/>
      <c r="L43" s="79"/>
    </row>
    <row r="44" spans="2:13" ht="16.2" x14ac:dyDescent="0.35">
      <c r="B44" s="839"/>
      <c r="C44" s="839"/>
      <c r="D44" s="839"/>
      <c r="E44" s="839"/>
      <c r="F44" s="1749" t="str">
        <f>'6.2 After Sales - Parts'!K1</f>
        <v>6.2 After Sales - Parts</v>
      </c>
      <c r="G44" s="842"/>
      <c r="H44" s="842"/>
      <c r="I44" s="839"/>
      <c r="J44" s="839"/>
      <c r="K44" s="335"/>
      <c r="L44" s="79"/>
    </row>
    <row r="45" spans="2:13" x14ac:dyDescent="0.35">
      <c r="B45" s="845"/>
      <c r="C45" s="845"/>
      <c r="D45" s="839"/>
      <c r="E45" s="839"/>
      <c r="F45" s="1749" t="str">
        <f>'6.3 After Sales - Service'!K1</f>
        <v>6.3 After Sales - Service</v>
      </c>
      <c r="G45" s="839"/>
      <c r="H45" s="839"/>
      <c r="I45" s="839"/>
      <c r="J45" s="839"/>
      <c r="K45" s="335"/>
      <c r="L45" s="79"/>
    </row>
    <row r="46" spans="2:13" x14ac:dyDescent="0.35">
      <c r="B46" s="839"/>
      <c r="C46" s="839"/>
      <c r="D46" s="839"/>
      <c r="E46" s="839"/>
      <c r="F46" s="1749" t="str">
        <f>'6.4 SWOT &amp; Action Plan'!K1</f>
        <v>6.4 SWOT Analysis &amp; Action Plan</v>
      </c>
      <c r="G46" s="839"/>
      <c r="H46" s="839"/>
      <c r="I46" s="839"/>
      <c r="J46" s="839"/>
      <c r="L46" s="79"/>
    </row>
    <row r="47" spans="2:13" x14ac:dyDescent="0.35">
      <c r="B47" s="839"/>
      <c r="C47" s="839"/>
      <c r="D47" s="839"/>
      <c r="E47" s="839"/>
      <c r="F47" s="852"/>
      <c r="G47" s="839"/>
      <c r="H47" s="839"/>
      <c r="I47" s="839"/>
      <c r="J47" s="839"/>
      <c r="L47" s="79"/>
    </row>
    <row r="48" spans="2:13" x14ac:dyDescent="0.35">
      <c r="B48" s="845" t="s">
        <v>1048</v>
      </c>
      <c r="C48" s="845" t="str">
        <f>'7.1 Dealer area'!$A$1</f>
        <v>Financial Business Plan</v>
      </c>
      <c r="D48" s="839"/>
      <c r="E48" s="839"/>
      <c r="F48" s="1749" t="str">
        <f>'7.1 Dealer area'!K1</f>
        <v>7.1 Dealer Area Analysis</v>
      </c>
      <c r="G48" s="839"/>
      <c r="H48" s="839"/>
      <c r="I48" s="839"/>
      <c r="J48" s="839"/>
      <c r="L48" s="79"/>
    </row>
    <row r="49" spans="2:12" x14ac:dyDescent="0.35">
      <c r="B49" s="839"/>
      <c r="C49" s="839"/>
      <c r="D49" s="839"/>
      <c r="E49" s="839"/>
      <c r="F49" s="1749" t="str">
        <f>'7.2.1 Turnover Vehicles'!K1</f>
        <v>7.2.1 Turnover Vehicles</v>
      </c>
      <c r="G49" s="839"/>
      <c r="H49" s="839"/>
      <c r="I49" s="839"/>
      <c r="J49" s="839"/>
      <c r="L49" s="79"/>
    </row>
    <row r="50" spans="2:12" x14ac:dyDescent="0.35">
      <c r="B50" s="839"/>
      <c r="C50" s="839"/>
      <c r="D50" s="839"/>
      <c r="E50" s="839"/>
      <c r="F50" s="1749" t="str">
        <f>'7.2.2 Turnover Parts'!K1</f>
        <v>7.2.2 Turnover Parts</v>
      </c>
      <c r="G50" s="839"/>
      <c r="H50" s="839"/>
      <c r="I50" s="839"/>
      <c r="J50" s="839"/>
      <c r="L50" s="79"/>
    </row>
    <row r="51" spans="2:12" ht="16.2" x14ac:dyDescent="0.35">
      <c r="B51" s="842"/>
      <c r="C51" s="842"/>
      <c r="D51" s="842"/>
      <c r="E51" s="839"/>
      <c r="F51" s="1749" t="str">
        <f>'7.2.3 Turnover Service &amp; Body'!K1</f>
        <v>7.2.3 Turnover Service &amp; Bodyshop</v>
      </c>
      <c r="G51" s="839"/>
      <c r="H51" s="839"/>
      <c r="I51" s="839"/>
      <c r="J51" s="839"/>
      <c r="L51" s="79"/>
    </row>
    <row r="52" spans="2:12" ht="16.2" x14ac:dyDescent="0.35">
      <c r="B52" s="842"/>
      <c r="C52" s="842"/>
      <c r="D52" s="842"/>
      <c r="E52" s="839"/>
      <c r="F52" s="1749" t="str">
        <f>'7.3 Cost of sales'!K1</f>
        <v>7.3 Cost of Sales</v>
      </c>
      <c r="G52" s="839"/>
      <c r="H52" s="839"/>
      <c r="I52" s="839"/>
      <c r="J52" s="839"/>
      <c r="L52" s="79"/>
    </row>
    <row r="53" spans="2:12" ht="16.2" x14ac:dyDescent="0.35">
      <c r="B53" s="842"/>
      <c r="C53" s="842"/>
      <c r="D53" s="842"/>
      <c r="E53" s="839"/>
      <c r="F53" s="1749" t="str">
        <f>'7.4.1 Salaries &amp; Wages'!K1</f>
        <v>7.4.1 Salaries &amp; wages</v>
      </c>
      <c r="G53" s="839"/>
      <c r="H53" s="839"/>
      <c r="I53" s="839"/>
      <c r="J53" s="839"/>
      <c r="L53" s="79"/>
    </row>
    <row r="54" spans="2:12" ht="16.2" x14ac:dyDescent="0.35">
      <c r="B54" s="842"/>
      <c r="C54" s="842"/>
      <c r="D54" s="842"/>
      <c r="E54" s="839"/>
      <c r="F54" s="1749" t="str">
        <f>'7.4.2 Selling &amp; Oper. expenses'!K1</f>
        <v>7.4.2 Selling &amp; Operating Expenses</v>
      </c>
      <c r="G54" s="839"/>
      <c r="H54" s="839"/>
      <c r="I54" s="839"/>
      <c r="J54" s="839"/>
      <c r="L54" s="79"/>
    </row>
    <row r="55" spans="2:12" x14ac:dyDescent="0.35">
      <c r="B55" s="839"/>
      <c r="C55" s="839"/>
      <c r="D55" s="839"/>
      <c r="E55" s="839"/>
      <c r="F55" s="1749" t="str">
        <f>'7.4.3 Inv. &amp; Depr.'!L1</f>
        <v>7.4.3 Investments, Depreciations and Provisions</v>
      </c>
      <c r="G55" s="839"/>
      <c r="H55" s="839"/>
      <c r="I55" s="839"/>
      <c r="J55" s="839"/>
      <c r="L55" s="79"/>
    </row>
    <row r="56" spans="2:12" x14ac:dyDescent="0.35">
      <c r="B56" s="839"/>
      <c r="C56" s="839"/>
      <c r="D56" s="839"/>
      <c r="E56" s="839"/>
      <c r="F56" s="1749" t="str">
        <f>'7.5.1 Financial Requirements'!L1</f>
        <v>7.5.1 Financial Income: Requirements</v>
      </c>
      <c r="G56" s="839"/>
      <c r="H56" s="839"/>
      <c r="I56" s="839"/>
      <c r="J56" s="839"/>
      <c r="L56" s="79"/>
    </row>
    <row r="57" spans="2:12" x14ac:dyDescent="0.35">
      <c r="B57" s="839"/>
      <c r="C57" s="839"/>
      <c r="D57" s="839"/>
      <c r="E57" s="839"/>
      <c r="F57" s="1749" t="str">
        <f>'7.5.2 Fin. Income &amp; Expenses '!M1</f>
        <v>7.5.2 Financial Income &amp; Expenses</v>
      </c>
      <c r="G57" s="839"/>
      <c r="H57" s="839"/>
      <c r="I57" s="839"/>
      <c r="J57" s="839"/>
      <c r="L57" s="79"/>
    </row>
    <row r="58" spans="2:12" x14ac:dyDescent="0.35">
      <c r="B58" s="839"/>
      <c r="C58" s="839"/>
      <c r="D58" s="839"/>
      <c r="E58" s="839"/>
      <c r="F58" s="1749" t="str">
        <f>'7.5.3 VAT'!K1</f>
        <v>7.5.3 VAT</v>
      </c>
      <c r="G58" s="839"/>
      <c r="H58" s="839"/>
      <c r="I58" s="839"/>
      <c r="J58" s="839"/>
      <c r="L58" s="79"/>
    </row>
    <row r="59" spans="2:12" x14ac:dyDescent="0.35">
      <c r="B59" s="839"/>
      <c r="C59" s="839"/>
      <c r="D59" s="839"/>
      <c r="E59" s="839"/>
      <c r="F59" s="1749" t="str">
        <f>'7.6.1 Activity contribution'!I1</f>
        <v>7.6.1 Activity Contribution</v>
      </c>
      <c r="G59" s="839"/>
      <c r="H59" s="839"/>
      <c r="I59" s="839"/>
      <c r="J59" s="839"/>
      <c r="L59" s="79"/>
    </row>
    <row r="60" spans="2:12" x14ac:dyDescent="0.35">
      <c r="B60" s="839"/>
      <c r="C60" s="839"/>
      <c r="D60" s="839"/>
      <c r="E60" s="839"/>
      <c r="F60" s="1749" t="str">
        <f>'7.6.2 Activity analysis'!P1</f>
        <v>7.6.2 Activity Analysis</v>
      </c>
      <c r="G60" s="839"/>
      <c r="H60" s="839"/>
      <c r="I60" s="839"/>
      <c r="J60" s="839"/>
      <c r="L60" s="79"/>
    </row>
    <row r="61" spans="2:12" x14ac:dyDescent="0.35">
      <c r="B61" s="839"/>
      <c r="C61" s="839"/>
      <c r="D61" s="839"/>
      <c r="E61" s="839"/>
      <c r="F61" s="1749" t="str">
        <f>'7.7 P&amp;L'!K1</f>
        <v>7.7 Profit &amp; Loss Account</v>
      </c>
      <c r="G61" s="839"/>
      <c r="H61" s="839"/>
      <c r="I61" s="839"/>
      <c r="J61" s="839"/>
      <c r="L61" s="79"/>
    </row>
    <row r="62" spans="2:12" x14ac:dyDescent="0.35">
      <c r="B62" s="839"/>
      <c r="C62" s="839"/>
      <c r="D62" s="839"/>
      <c r="E62" s="839"/>
      <c r="F62" s="1749" t="str">
        <f>'7.8 Dealer Benchmark'!K1</f>
        <v>7.8 Dealer Benchmark</v>
      </c>
      <c r="G62" s="839"/>
      <c r="H62" s="839"/>
      <c r="I62" s="839"/>
      <c r="J62" s="839"/>
      <c r="L62" s="79"/>
    </row>
    <row r="63" spans="2:12" x14ac:dyDescent="0.35">
      <c r="B63" s="839"/>
      <c r="C63" s="839"/>
      <c r="D63" s="839"/>
      <c r="E63" s="839"/>
      <c r="F63" s="1749" t="str">
        <f>'7.9.1 Balance Assets'!K1</f>
        <v>7.9.1 Balance Sheet - Assets</v>
      </c>
      <c r="G63" s="839"/>
      <c r="H63" s="839"/>
      <c r="I63" s="839"/>
      <c r="J63" s="839"/>
      <c r="L63" s="79"/>
    </row>
    <row r="64" spans="2:12" x14ac:dyDescent="0.35">
      <c r="B64" s="839"/>
      <c r="C64" s="839"/>
      <c r="D64" s="839"/>
      <c r="E64" s="839"/>
      <c r="F64" s="1749" t="str">
        <f>'7.9.2 Balance Liabilities'!K1</f>
        <v>7.9.2 Balance Sheet - Liabilities</v>
      </c>
      <c r="G64" s="839"/>
      <c r="H64" s="839"/>
      <c r="I64" s="839"/>
      <c r="J64" s="839"/>
      <c r="L64" s="79"/>
    </row>
    <row r="65" spans="1:12" x14ac:dyDescent="0.35">
      <c r="B65" s="839"/>
      <c r="C65" s="839"/>
      <c r="D65" s="839"/>
      <c r="E65" s="839"/>
      <c r="F65" s="1749" t="str">
        <f>'7.10 Ratio''s balance'!K1</f>
        <v>7.10 Ratio's Balance Sheet</v>
      </c>
      <c r="G65" s="839"/>
      <c r="H65" s="839"/>
      <c r="I65" s="839"/>
      <c r="J65" s="839"/>
      <c r="L65" s="79"/>
    </row>
    <row r="66" spans="1:12" x14ac:dyDescent="0.35">
      <c r="B66" s="839"/>
      <c r="C66" s="839"/>
      <c r="D66" s="839"/>
      <c r="E66" s="839"/>
      <c r="F66" s="1749" t="str">
        <f>'7.11 Cash Flow Analysis'!K1</f>
        <v>7.11 Cash Flow Analysis</v>
      </c>
      <c r="G66" s="839"/>
      <c r="H66" s="839"/>
      <c r="I66" s="839"/>
      <c r="J66" s="839"/>
      <c r="L66" s="79"/>
    </row>
    <row r="67" spans="1:12" x14ac:dyDescent="0.35">
      <c r="B67" s="839"/>
      <c r="C67" s="839"/>
      <c r="D67" s="839"/>
      <c r="E67" s="839"/>
      <c r="F67" s="1749" t="str">
        <f>'7.12 Assumptions &amp; Remarks'!K1</f>
        <v>7.12 Assumptions &amp; Remarks</v>
      </c>
      <c r="G67" s="839"/>
      <c r="H67" s="839"/>
      <c r="I67" s="839"/>
      <c r="J67" s="839"/>
      <c r="L67" s="79"/>
    </row>
    <row r="68" spans="1:12" x14ac:dyDescent="0.35">
      <c r="B68" s="839"/>
      <c r="C68" s="839"/>
      <c r="D68" s="839"/>
      <c r="E68" s="839"/>
      <c r="F68" s="1749"/>
      <c r="G68" s="839"/>
      <c r="H68" s="839"/>
      <c r="I68" s="839"/>
      <c r="J68" s="839"/>
      <c r="L68" s="79"/>
    </row>
    <row r="69" spans="1:12" x14ac:dyDescent="0.35">
      <c r="B69" s="845" t="s">
        <v>547</v>
      </c>
      <c r="C69" s="845" t="s">
        <v>1227</v>
      </c>
      <c r="D69" s="839"/>
      <c r="E69" s="839"/>
      <c r="F69" s="846" t="s">
        <v>1228</v>
      </c>
      <c r="G69" s="839"/>
      <c r="H69" s="839"/>
      <c r="I69" s="839"/>
      <c r="J69" s="839"/>
      <c r="L69" s="79"/>
    </row>
    <row r="70" spans="1:12" x14ac:dyDescent="0.35">
      <c r="B70" s="845"/>
      <c r="C70" s="845"/>
      <c r="D70" s="839"/>
      <c r="E70" s="839"/>
      <c r="F70" s="1749"/>
      <c r="G70" s="839"/>
      <c r="H70" s="839"/>
      <c r="I70" s="839"/>
      <c r="J70" s="839"/>
      <c r="L70" s="79"/>
    </row>
    <row r="71" spans="1:12" x14ac:dyDescent="0.35">
      <c r="B71" s="845"/>
      <c r="C71" s="845"/>
      <c r="D71" s="839"/>
      <c r="E71" s="839"/>
      <c r="F71" s="846"/>
      <c r="G71" s="839"/>
      <c r="H71" s="839"/>
      <c r="I71" s="839"/>
      <c r="J71" s="839"/>
      <c r="L71" s="79"/>
    </row>
    <row r="72" spans="1:12" x14ac:dyDescent="0.35">
      <c r="A72" s="145"/>
      <c r="B72" s="224"/>
      <c r="C72" s="224"/>
      <c r="D72" s="224"/>
      <c r="E72" s="224"/>
      <c r="F72" s="224"/>
      <c r="G72" s="224"/>
      <c r="H72" s="224"/>
      <c r="I72" s="224"/>
      <c r="J72" s="224"/>
      <c r="K72" s="85"/>
      <c r="L72" s="85"/>
    </row>
    <row r="73" spans="1:12" s="199" customFormat="1" x14ac:dyDescent="0.35">
      <c r="A73" s="268"/>
      <c r="B73" s="171"/>
      <c r="C73" s="171"/>
      <c r="D73" s="171"/>
      <c r="E73" s="171"/>
      <c r="F73" s="171"/>
      <c r="G73" s="171"/>
      <c r="H73" s="171"/>
      <c r="I73" s="171"/>
      <c r="J73" s="171"/>
      <c r="K73" s="171"/>
      <c r="L73" s="268"/>
    </row>
    <row r="74" spans="1:12" hidden="1" x14ac:dyDescent="0.35"/>
    <row r="75" spans="1:12" hidden="1" x14ac:dyDescent="0.35"/>
    <row r="76" spans="1:12" hidden="1" x14ac:dyDescent="0.35"/>
    <row r="77" spans="1:12" hidden="1" x14ac:dyDescent="0.35"/>
    <row r="78" spans="1:12" hidden="1" x14ac:dyDescent="0.35"/>
    <row r="79" spans="1:12" hidden="1" x14ac:dyDescent="0.35"/>
    <row r="80" spans="1:12" hidden="1" x14ac:dyDescent="0.35"/>
    <row r="81" hidden="1" x14ac:dyDescent="0.35"/>
    <row r="82" hidden="1" x14ac:dyDescent="0.35"/>
    <row r="83" hidden="1" x14ac:dyDescent="0.35"/>
    <row r="84" hidden="1" x14ac:dyDescent="0.35"/>
    <row r="85" hidden="1" x14ac:dyDescent="0.35"/>
    <row r="86" hidden="1" x14ac:dyDescent="0.35"/>
    <row r="87" hidden="1" x14ac:dyDescent="0.35"/>
    <row r="88" hidden="1" x14ac:dyDescent="0.35"/>
    <row r="89" hidden="1" x14ac:dyDescent="0.35"/>
    <row r="90" hidden="1" x14ac:dyDescent="0.35"/>
    <row r="91" hidden="1" x14ac:dyDescent="0.35"/>
    <row r="92" hidden="1" x14ac:dyDescent="0.35"/>
    <row r="93" hidden="1" x14ac:dyDescent="0.35"/>
    <row r="94" hidden="1" x14ac:dyDescent="0.35"/>
    <row r="95" hidden="1" x14ac:dyDescent="0.35"/>
    <row r="96" hidden="1" x14ac:dyDescent="0.35"/>
    <row r="97" hidden="1" x14ac:dyDescent="0.35"/>
    <row r="98" hidden="1" x14ac:dyDescent="0.35"/>
    <row r="99" hidden="1" x14ac:dyDescent="0.35"/>
    <row r="100" hidden="1" x14ac:dyDescent="0.35"/>
    <row r="101" hidden="1" x14ac:dyDescent="0.35"/>
    <row r="102" hidden="1" x14ac:dyDescent="0.35"/>
    <row r="103" hidden="1" x14ac:dyDescent="0.35"/>
    <row r="104" hidden="1" x14ac:dyDescent="0.35"/>
    <row r="105" hidden="1" x14ac:dyDescent="0.35"/>
    <row r="106" hidden="1" x14ac:dyDescent="0.35"/>
    <row r="107" hidden="1" x14ac:dyDescent="0.35"/>
    <row r="108" hidden="1" x14ac:dyDescent="0.35"/>
    <row r="109" hidden="1" x14ac:dyDescent="0.35"/>
    <row r="110" hidden="1" x14ac:dyDescent="0.35"/>
    <row r="111" hidden="1" x14ac:dyDescent="0.35"/>
    <row r="112" hidden="1" x14ac:dyDescent="0.35"/>
    <row r="113" hidden="1" x14ac:dyDescent="0.35"/>
    <row r="114" hidden="1" x14ac:dyDescent="0.35"/>
    <row r="115" hidden="1" x14ac:dyDescent="0.35"/>
    <row r="116" hidden="1" x14ac:dyDescent="0.35"/>
    <row r="117" hidden="1" x14ac:dyDescent="0.35"/>
    <row r="118" hidden="1" x14ac:dyDescent="0.35"/>
    <row r="119" hidden="1" x14ac:dyDescent="0.35"/>
    <row r="120" hidden="1" x14ac:dyDescent="0.35"/>
    <row r="121" hidden="1" x14ac:dyDescent="0.35"/>
    <row r="122" hidden="1" x14ac:dyDescent="0.35"/>
    <row r="123" hidden="1" x14ac:dyDescent="0.35"/>
    <row r="124" hidden="1" x14ac:dyDescent="0.35"/>
    <row r="125" hidden="1" x14ac:dyDescent="0.35"/>
    <row r="126" hidden="1" x14ac:dyDescent="0.35"/>
    <row r="127" hidden="1" x14ac:dyDescent="0.35"/>
    <row r="128" hidden="1" x14ac:dyDescent="0.35"/>
    <row r="129" hidden="1" x14ac:dyDescent="0.35"/>
    <row r="130" hidden="1" x14ac:dyDescent="0.35"/>
    <row r="131" hidden="1" x14ac:dyDescent="0.35"/>
    <row r="132" hidden="1" x14ac:dyDescent="0.35"/>
    <row r="133" hidden="1" x14ac:dyDescent="0.35"/>
    <row r="134" hidden="1" x14ac:dyDescent="0.35"/>
    <row r="135" hidden="1" x14ac:dyDescent="0.35"/>
    <row r="136" hidden="1" x14ac:dyDescent="0.35"/>
    <row r="137" hidden="1" x14ac:dyDescent="0.35"/>
    <row r="138" hidden="1" x14ac:dyDescent="0.35"/>
    <row r="139" hidden="1" x14ac:dyDescent="0.35"/>
    <row r="140" hidden="1" x14ac:dyDescent="0.35"/>
    <row r="141" hidden="1" x14ac:dyDescent="0.35"/>
    <row r="142" hidden="1" x14ac:dyDescent="0.35"/>
    <row r="143" hidden="1" x14ac:dyDescent="0.35"/>
    <row r="144" hidden="1" x14ac:dyDescent="0.35"/>
    <row r="145" hidden="1" x14ac:dyDescent="0.35"/>
    <row r="146" hidden="1" x14ac:dyDescent="0.35"/>
    <row r="147" hidden="1" x14ac:dyDescent="0.35"/>
    <row r="148" hidden="1" x14ac:dyDescent="0.35"/>
    <row r="149" hidden="1" x14ac:dyDescent="0.35"/>
    <row r="150" hidden="1" x14ac:dyDescent="0.35"/>
    <row r="151" hidden="1" x14ac:dyDescent="0.35"/>
    <row r="152" hidden="1" x14ac:dyDescent="0.35"/>
    <row r="153" hidden="1" x14ac:dyDescent="0.35"/>
    <row r="154" hidden="1" x14ac:dyDescent="0.35"/>
    <row r="155" hidden="1" x14ac:dyDescent="0.35"/>
    <row r="156" hidden="1" x14ac:dyDescent="0.35"/>
    <row r="157" hidden="1" x14ac:dyDescent="0.35"/>
    <row r="158" hidden="1" x14ac:dyDescent="0.35"/>
    <row r="159" hidden="1" x14ac:dyDescent="0.35"/>
    <row r="160" hidden="1" x14ac:dyDescent="0.35"/>
    <row r="161" hidden="1" x14ac:dyDescent="0.35"/>
    <row r="162" hidden="1" x14ac:dyDescent="0.35"/>
    <row r="163" hidden="1" x14ac:dyDescent="0.35"/>
    <row r="164" hidden="1" x14ac:dyDescent="0.35"/>
    <row r="165" hidden="1" x14ac:dyDescent="0.35"/>
    <row r="166" hidden="1" x14ac:dyDescent="0.35"/>
    <row r="167" hidden="1" x14ac:dyDescent="0.35"/>
    <row r="168" hidden="1" x14ac:dyDescent="0.35"/>
    <row r="169" hidden="1" x14ac:dyDescent="0.35"/>
    <row r="170" hidden="1" x14ac:dyDescent="0.35"/>
    <row r="171" hidden="1" x14ac:dyDescent="0.35"/>
    <row r="172" hidden="1" x14ac:dyDescent="0.35"/>
    <row r="173" hidden="1" x14ac:dyDescent="0.35"/>
  </sheetData>
  <sheetProtection password="813F" sheet="1" objects="1" scenarios="1" selectLockedCells="1"/>
  <customSheetViews>
    <customSheetView guid="{51165254-F18A-4CD1-9981-8F2DE14CC76C}" showGridLines="0" fitToPage="1" hiddenRows="1" hiddenColumns="1" showRuler="0" topLeftCell="A41">
      <selection activeCell="F71" sqref="F71"/>
      <pageMargins left="0.78740157480314965" right="0.78740157480314965" top="0.98425196850393704" bottom="0.98425196850393704" header="0.51181102362204722" footer="0.51181102362204722"/>
      <printOptions horizontalCentered="1" verticalCentered="1"/>
      <pageSetup paperSize="9" scale="56" orientation="portrait" r:id="rId1"/>
      <headerFooter alignWithMargins="0">
        <oddHeader>&amp;L&amp;F</oddHeader>
        <oddFooter xml:space="preserve">&amp;LDAF Dealer Business Plan&amp;CPrint date: &amp;D&amp;R&amp;P/&amp;N | DAF Trucks NV    </oddFooter>
      </headerFooter>
    </customSheetView>
  </customSheetViews>
  <mergeCells count="1">
    <mergeCell ref="A1:K1"/>
  </mergeCells>
  <phoneticPr fontId="11" type="noConversion"/>
  <hyperlinks>
    <hyperlink ref="F31" location="'5.0 Economy'!Afdrukbereik" display="'5.0 Economy'!Afdrukbereik"/>
    <hyperlink ref="F33" location="'5.1.1 NewTruck market-Country'!Afdrukbereik" display="'5.1.1 NewTruck market-Country'!Afdrukbereik"/>
    <hyperlink ref="F34" location="'5.1.2 NT market-Dealer area'!Afdrukbereik" display="'5.1.2 NT market-Dealer area'!Afdrukbereik"/>
    <hyperlink ref="F35" location="'5.2 UT market-Dealer area'!Afdrukbereik" display="'5.2 UT market-Dealer area'!Afdrukbereik"/>
    <hyperlink ref="F40" location="'5.5 Customers'!Afdrukbereik" display="'5.5 Customers'!Afdrukbereik"/>
    <hyperlink ref="F27" location="'4.0 Organisation &amp; HR'!Afdrukbereik" display="'4.0 Organisation &amp; HR'!Afdrukbereik"/>
    <hyperlink ref="F42" location="'6.0 New Truck Sales'!Afdrukbereik" display="'6.0 New Truck Sales'!Afdrukbereik"/>
    <hyperlink ref="F23" location="'3.0 Products &amp; Services'!Afdrukbereik" display="'3.0 Products &amp; Services'!Afdrukbereik"/>
    <hyperlink ref="F24" location="'3.1 Financing &amp; Insurance'!Afdrukbereik" display="'3.1 Financing &amp; Insurance'!Afdrukbereik"/>
    <hyperlink ref="F43" location="'6.1 Used Trucks'!Afdrukbereik" display="'6.1 Used Trucks'!Afdrukbereik"/>
    <hyperlink ref="F44" location="'6.3 After Sales - Parts'!Afdrukbereik" display="'6.3 After Sales - Parts'!Afdrukbereik"/>
    <hyperlink ref="F48" location="'7.1 Dealer area'!Afdrukbereik" display="'7.1 Dealer area'!Afdrukbereik"/>
    <hyperlink ref="F51" location="'7.2.3 Turnover Service &amp; Body'!Afdrukbereik" display="'7.2.3 Turnover Service &amp; Body'!Afdrukbereik"/>
    <hyperlink ref="F52" location="'7.3 Cost of sales'!Afdrukbereik" display="'7.3 Cost of sales'!Afdrukbereik"/>
    <hyperlink ref="F53" location="'7.4.1 Salaries &amp; Wages'!Afdrukbereik" display="'7.4.1 Salaries &amp; Wages'!Afdrukbereik"/>
    <hyperlink ref="F54" location="'7.4.2 Selling &amp; Oper. expenses'!Afdrukbereik" display="'7.4.2 Selling &amp; Oper. expenses'!Afdrukbereik"/>
    <hyperlink ref="F55" location="'7.4.3 Inv. &amp; Depr.'!Afdrukbereik" display="'7.4.3 Inv. &amp; Depr.'!Afdrukbereik"/>
    <hyperlink ref="F58" location="'7.9 VAT'!Afdrukbereik" display="'7.9 VAT'!Afdrukbereik"/>
    <hyperlink ref="F60" location="'7.6.2 Activity analysis'!Afdrukbereik" display="'7.6.2 Activity analysis'!Afdrukbereik"/>
    <hyperlink ref="F61" location="'7.7 P&amp;L'!Afdrukbereik" display="'7.7 P&amp;L'!Afdrukbereik"/>
    <hyperlink ref="F65" location="'7.10 Ratio''s balance'!Afdrukbereik" display="'7.10 Ratio''s balance'!Afdrukbereik"/>
    <hyperlink ref="B14" location="'Reference sheet'!A1" display="'Reference sheet'!A1"/>
    <hyperlink ref="F19" location="'2.0 Company Profile'!A1" display="'2.0 Company Profile'!A1"/>
    <hyperlink ref="F20" location="'2.1 Company Organisation'!Afdrukbereik" display="'2.1 Company Organisation'!Afdrukbereik"/>
    <hyperlink ref="F21" location="'2.2 Dealer Facilities'!A1" display="'2.2 Dealer Facilities'!A1"/>
    <hyperlink ref="F28" location="'4.1.1 Management team'!Afdrukbereik" display="'4.1.1 Management team'!Afdrukbereik"/>
    <hyperlink ref="F16" location="'1.0 Executive summary'!Afdrukbereik" display="1.0 Executive summary"/>
    <hyperlink ref="F17" location="'1.1 Mission &amp; Objectives'!Afdrukbereik" display="'1.1 Mission &amp; Objectives'!Afdrukbereik"/>
    <hyperlink ref="F36" location="'5.3 Running Parc - Dealer Area'!Afdrukbereik" display="'5.3 Running Parc - Dealer Area'!Afdrukbereik"/>
    <hyperlink ref="F64" location="'7.9.2 Balance Liabilities'!Afdrukbereik" display="'7.9.2 Balance Liabilities'!Afdrukbereik"/>
    <hyperlink ref="F63" location="'7.9.1 Balance Assets'!Afdrukbereik" display="'7.9.1 Balance Assets'!Afdrukbereik"/>
    <hyperlink ref="F49" location="'7.2.1 Turnover Vehicles'!Afdrukbereik" display="'7.2.1 Turnover Vehicles'!Afdrukbereik"/>
    <hyperlink ref="F50" location="'7.2.2 Turnover Parts'!Afdrukbereik" display="'7.2.2 Turnover Parts'!Afdrukbereik"/>
    <hyperlink ref="F56" location="'7.5.1 Financial Requirements'!Afdrukbereik" display="'7.5.1 Financial Requirements'!Afdrukbereik"/>
    <hyperlink ref="F57" location="'7.5.2 Fin. Income &amp; Expenses '!Afdrukbereik" display="'7.5.2 Fin. Income &amp; Expenses '!Afdrukbereik"/>
    <hyperlink ref="F59" location="'7.6.1 Activity contribution'!Afdrukbereik" display="'7.6.1 Activity contribution'!Afdrukbereik"/>
    <hyperlink ref="F62" location="'7.8 Dealer Benchmark'!Afdrukbereik" display="'7.8 Dealer Benchmark'!Afdrukbereik"/>
    <hyperlink ref="F66" location="'7.11 Cash Flow Analysis'!Afdrukbereik" display="'7.11 Cash Flow Analysis'!Afdrukbereik"/>
    <hyperlink ref="F67" location="'7.12 Assumptions &amp; Remarks'!Afdrukbereik" display="'7.12 Assumptions &amp; Remarks'!Afdrukbereik"/>
    <hyperlink ref="F29" location="'4.1.2 Management team'!Afdrukbereik" display="'4.1.2 Management team'!Afdrukbereik"/>
    <hyperlink ref="F25" location="'3.2 Funding'!Afdrukbereik" display="'3.2 Funding'!Afdrukbereik"/>
    <hyperlink ref="F46" location="'6.4 SWOT &amp; Action Plan'!A1" display="'6.4 SWOT &amp; Action Plan'!A1"/>
    <hyperlink ref="F37" location="'5.4.1 Competition in Area'!Afdrukbereik" display="'5.4.1 Competition in Area'!Afdrukbereik"/>
    <hyperlink ref="F38" location="'5.4.2 Competitive Analysis Tabl'!Afdrukbereik" display="'5.4.2 Competitive Analysis Tabl'!Afdrukbereik"/>
    <hyperlink ref="F39" location="'5.4.3 Competitive Analysis'!Afdrukbereik" display="'5.4.3 Competitive Analysis'!Afdrukbereik"/>
    <hyperlink ref="F32" location="'5.1 DAF Vehicle Parc Input'!Afdrukbereik" display="5.1 DAF Vehicle Parc Input"/>
    <hyperlink ref="B15" location="Intro!A1" display="Intro"/>
    <hyperlink ref="F45" location="'6.4 After Sales - Service'!Afdrukbereik" display="'6.4 After Sales - Service'!Afdrukbereik"/>
    <hyperlink ref="F69" location="'8.0 Attachments'!Afdrukbereik" display="8.0 Attachments"/>
  </hyperlinks>
  <printOptions horizontalCentered="1" verticalCentered="1"/>
  <pageMargins left="0.78740157480314965" right="0.78740157480314965" top="0.98425196850393704" bottom="0.98425196850393704" header="0.51181102362204722" footer="0.51181102362204722"/>
  <pageSetup paperSize="9" scale="58" orientation="portrait" r:id="rId2"/>
  <headerFooter alignWithMargins="0">
    <oddHeader>&amp;L&amp;F</oddHeader>
    <oddFooter xml:space="preserve">&amp;LDAF Dealer Business Plan - Version January 2011&amp;CPrint date: &amp;D&amp;R&amp;P/&amp;N | DAF Trucks NV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tabColor indexed="11"/>
    <pageSetUpPr fitToPage="1"/>
  </sheetPr>
  <dimension ref="A1:AB67"/>
  <sheetViews>
    <sheetView showGridLines="0" topLeftCell="A26" zoomScale="136" zoomScaleNormal="120" workbookViewId="0">
      <selection activeCell="A46" sqref="A46"/>
    </sheetView>
  </sheetViews>
  <sheetFormatPr baseColWidth="10" defaultColWidth="0" defaultRowHeight="13.2" zeroHeight="1" x14ac:dyDescent="0.25"/>
  <cols>
    <col min="1" max="1" width="9.109375" customWidth="1"/>
    <col min="2" max="13" width="13.33203125" customWidth="1"/>
    <col min="14" max="14" width="1.77734375" style="1577" customWidth="1"/>
    <col min="15" max="28" width="9.109375" style="21" hidden="1" customWidth="1"/>
  </cols>
  <sheetData>
    <row r="1" spans="1:28" s="8" customFormat="1" ht="28.8" x14ac:dyDescent="0.55000000000000004">
      <c r="A1" s="205" t="s">
        <v>676</v>
      </c>
      <c r="B1" s="206"/>
      <c r="C1" s="206"/>
      <c r="D1" s="206"/>
      <c r="E1" s="206"/>
      <c r="F1" s="206"/>
      <c r="G1" s="206"/>
      <c r="H1" s="206"/>
      <c r="I1" s="206"/>
      <c r="J1" s="206"/>
      <c r="K1" s="1740"/>
      <c r="L1" s="206"/>
      <c r="M1" s="1743" t="s">
        <v>690</v>
      </c>
      <c r="N1" s="1744"/>
      <c r="O1" s="1745"/>
      <c r="P1" s="1745"/>
      <c r="Q1" s="1745"/>
      <c r="R1" s="1745"/>
      <c r="S1" s="1745"/>
      <c r="T1" s="1745"/>
      <c r="U1" s="1745"/>
      <c r="V1" s="1745"/>
      <c r="W1" s="1745"/>
      <c r="X1" s="1745"/>
      <c r="Y1" s="1745"/>
      <c r="Z1" s="1745"/>
      <c r="AA1" s="1745"/>
      <c r="AB1" s="1745"/>
    </row>
    <row r="2" spans="1:28" ht="13.2" customHeight="1" x14ac:dyDescent="0.25">
      <c r="A2" s="20"/>
      <c r="B2" s="22"/>
      <c r="C2" s="30"/>
      <c r="D2" s="15"/>
      <c r="E2" s="27"/>
      <c r="F2" s="3"/>
      <c r="G2" s="3"/>
      <c r="H2" s="28"/>
      <c r="I2" s="15"/>
      <c r="J2" s="15"/>
      <c r="K2" s="15"/>
      <c r="L2" s="15"/>
      <c r="M2" s="11"/>
    </row>
    <row r="3" spans="1:28" ht="13.2" customHeight="1" x14ac:dyDescent="0.25">
      <c r="A3" s="2" t="s">
        <v>1049</v>
      </c>
      <c r="B3" s="22"/>
      <c r="C3" s="13" t="str">
        <f>'Reference sheet'!C12</f>
        <v>TRUCK INTERNATIONAL MOBILITY SA</v>
      </c>
      <c r="D3" s="15"/>
      <c r="E3" s="27"/>
      <c r="F3" s="3"/>
      <c r="G3" s="3"/>
      <c r="H3" s="29" t="s">
        <v>1037</v>
      </c>
      <c r="I3" s="31" t="str">
        <f>'Reference sheet'!C17</f>
        <v>October</v>
      </c>
      <c r="J3" s="924">
        <f>'Reference sheet'!D17</f>
        <v>2018</v>
      </c>
      <c r="K3" s="29" t="s">
        <v>1036</v>
      </c>
      <c r="L3" s="29"/>
      <c r="M3" s="32">
        <f>'Reference sheet'!D15</f>
        <v>0</v>
      </c>
    </row>
    <row r="4" spans="1:28" ht="13.2" customHeight="1" x14ac:dyDescent="0.25">
      <c r="A4" s="5"/>
      <c r="B4" s="17"/>
      <c r="C4" s="6"/>
      <c r="D4" s="6"/>
      <c r="E4" s="6"/>
      <c r="F4" s="6"/>
      <c r="G4" s="33"/>
      <c r="H4" s="6"/>
      <c r="I4" s="6"/>
      <c r="J4" s="6"/>
      <c r="K4" s="6"/>
      <c r="L4" s="6"/>
      <c r="M4" s="18"/>
    </row>
    <row r="5" spans="1:28" x14ac:dyDescent="0.25">
      <c r="G5" s="8"/>
    </row>
    <row r="6" spans="1:28" ht="14.4" x14ac:dyDescent="0.35">
      <c r="A6" s="832" t="s">
        <v>341</v>
      </c>
      <c r="B6" s="833"/>
      <c r="C6" s="833"/>
      <c r="D6" s="833"/>
      <c r="E6" s="833"/>
      <c r="F6" s="833"/>
      <c r="G6" s="167"/>
      <c r="H6" s="833"/>
      <c r="I6" s="835">
        <f>'Reference sheet'!C18-1</f>
        <v>2018</v>
      </c>
      <c r="J6" s="833"/>
      <c r="K6" s="833"/>
      <c r="L6" s="833"/>
      <c r="M6" s="834"/>
    </row>
    <row r="7" spans="1:28" ht="14.4" x14ac:dyDescent="0.35">
      <c r="A7" s="1436"/>
      <c r="B7" s="1742">
        <f>$I6</f>
        <v>2018</v>
      </c>
      <c r="C7" s="1742">
        <f>B7-1</f>
        <v>2017</v>
      </c>
      <c r="D7" s="1742">
        <f t="shared" ref="D7:K7" si="0">C7-1</f>
        <v>2016</v>
      </c>
      <c r="E7" s="1742">
        <f t="shared" si="0"/>
        <v>2015</v>
      </c>
      <c r="F7" s="1742">
        <f t="shared" si="0"/>
        <v>2014</v>
      </c>
      <c r="G7" s="1742">
        <f t="shared" si="0"/>
        <v>2013</v>
      </c>
      <c r="H7" s="1742">
        <f t="shared" si="0"/>
        <v>2012</v>
      </c>
      <c r="I7" s="1742">
        <f t="shared" si="0"/>
        <v>2011</v>
      </c>
      <c r="J7" s="1742">
        <f t="shared" si="0"/>
        <v>2010</v>
      </c>
      <c r="K7" s="1742">
        <f t="shared" si="0"/>
        <v>2009</v>
      </c>
      <c r="L7" s="1742" t="str">
        <f>"&lt;"&amp;K7</f>
        <v>&lt;2009</v>
      </c>
      <c r="M7" s="623" t="s">
        <v>1056</v>
      </c>
    </row>
    <row r="8" spans="1:28" ht="14.4" x14ac:dyDescent="0.35">
      <c r="A8" s="656" t="s">
        <v>1061</v>
      </c>
      <c r="B8" s="1490">
        <f>'5.1 DAF Vehicle Parc Input'!E27</f>
        <v>0</v>
      </c>
      <c r="C8" s="1490">
        <f>'5.1 DAF Vehicle Parc Input'!F27</f>
        <v>0</v>
      </c>
      <c r="D8" s="1490">
        <f>'5.1 DAF Vehicle Parc Input'!G27</f>
        <v>0</v>
      </c>
      <c r="E8" s="1490">
        <f>'5.1 DAF Vehicle Parc Input'!H27</f>
        <v>0</v>
      </c>
      <c r="F8" s="1490">
        <f>'5.1 DAF Vehicle Parc Input'!I27</f>
        <v>0</v>
      </c>
      <c r="G8" s="1490">
        <f>'5.1 DAF Vehicle Parc Input'!J27</f>
        <v>0</v>
      </c>
      <c r="H8" s="1490">
        <f>'5.1 DAF Vehicle Parc Input'!K27</f>
        <v>0</v>
      </c>
      <c r="I8" s="1490">
        <f>'5.1 DAF Vehicle Parc Input'!L27</f>
        <v>0</v>
      </c>
      <c r="J8" s="1490">
        <f>'5.1 DAF Vehicle Parc Input'!M27</f>
        <v>0</v>
      </c>
      <c r="K8" s="1490">
        <f>SUM('5.1 DAF Vehicle Parc Input'!N27)</f>
        <v>0</v>
      </c>
      <c r="L8" s="1490">
        <f>SUM('5.1 DAF Vehicle Parc Input'!O27:S27)</f>
        <v>0</v>
      </c>
      <c r="M8" s="1773">
        <f t="shared" ref="M8:M14" si="1">SUM(B8:L8)</f>
        <v>0</v>
      </c>
    </row>
    <row r="9" spans="1:28" ht="14.4" x14ac:dyDescent="0.35">
      <c r="A9" s="656" t="s">
        <v>1062</v>
      </c>
      <c r="B9" s="1746">
        <f>'5.1 DAF Vehicle Parc Input'!E28</f>
        <v>0</v>
      </c>
      <c r="C9" s="1746">
        <f>'5.1 DAF Vehicle Parc Input'!F28</f>
        <v>0</v>
      </c>
      <c r="D9" s="1746">
        <f>'5.1 DAF Vehicle Parc Input'!G28</f>
        <v>0</v>
      </c>
      <c r="E9" s="1746">
        <f>'5.1 DAF Vehicle Parc Input'!H28</f>
        <v>0</v>
      </c>
      <c r="F9" s="1746">
        <f>'5.1 DAF Vehicle Parc Input'!I28</f>
        <v>0</v>
      </c>
      <c r="G9" s="1746">
        <f>'5.1 DAF Vehicle Parc Input'!J28</f>
        <v>0</v>
      </c>
      <c r="H9" s="1746">
        <f>'5.1 DAF Vehicle Parc Input'!K28</f>
        <v>0</v>
      </c>
      <c r="I9" s="1746">
        <f>'5.1 DAF Vehicle Parc Input'!L28</f>
        <v>0</v>
      </c>
      <c r="J9" s="1746">
        <f>'5.1 DAF Vehicle Parc Input'!M28</f>
        <v>0</v>
      </c>
      <c r="K9" s="1746">
        <f>'5.1 DAF Vehicle Parc Input'!N28</f>
        <v>0</v>
      </c>
      <c r="L9" s="1746">
        <f>SUM('5.1 DAF Vehicle Parc Input'!O28:S28)</f>
        <v>0</v>
      </c>
      <c r="M9" s="1773">
        <f t="shared" si="1"/>
        <v>0</v>
      </c>
    </row>
    <row r="10" spans="1:28" ht="14.4" x14ac:dyDescent="0.35">
      <c r="A10" s="656" t="s">
        <v>1063</v>
      </c>
      <c r="B10" s="1746">
        <f>'5.1 DAF Vehicle Parc Input'!E29</f>
        <v>0</v>
      </c>
      <c r="C10" s="1746">
        <f>'5.1 DAF Vehicle Parc Input'!F29</f>
        <v>0</v>
      </c>
      <c r="D10" s="1746">
        <f>'5.1 DAF Vehicle Parc Input'!G29</f>
        <v>0</v>
      </c>
      <c r="E10" s="1746">
        <f>'5.1 DAF Vehicle Parc Input'!H29</f>
        <v>0</v>
      </c>
      <c r="F10" s="1746">
        <f>'5.1 DAF Vehicle Parc Input'!I29</f>
        <v>0</v>
      </c>
      <c r="G10" s="1746">
        <f>'5.1 DAF Vehicle Parc Input'!J29</f>
        <v>0</v>
      </c>
      <c r="H10" s="1746">
        <f>'5.1 DAF Vehicle Parc Input'!K29</f>
        <v>0</v>
      </c>
      <c r="I10" s="1746">
        <f>'5.1 DAF Vehicle Parc Input'!L29</f>
        <v>0</v>
      </c>
      <c r="J10" s="1746">
        <f>'5.1 DAF Vehicle Parc Input'!M29</f>
        <v>0</v>
      </c>
      <c r="K10" s="1746">
        <f>'5.1 DAF Vehicle Parc Input'!N29</f>
        <v>0</v>
      </c>
      <c r="L10" s="1746">
        <f>SUM('5.1 DAF Vehicle Parc Input'!O29:S29)</f>
        <v>0</v>
      </c>
      <c r="M10" s="1773">
        <f t="shared" si="1"/>
        <v>0</v>
      </c>
    </row>
    <row r="11" spans="1:28" ht="14.4" x14ac:dyDescent="0.35">
      <c r="A11" s="656" t="s">
        <v>1064</v>
      </c>
      <c r="B11" s="1746">
        <f>'5.1 DAF Vehicle Parc Input'!E30</f>
        <v>0</v>
      </c>
      <c r="C11" s="1746">
        <f>'5.1 DAF Vehicle Parc Input'!F30</f>
        <v>0</v>
      </c>
      <c r="D11" s="1746">
        <f>'5.1 DAF Vehicle Parc Input'!G30</f>
        <v>0</v>
      </c>
      <c r="E11" s="1746">
        <f>'5.1 DAF Vehicle Parc Input'!H30</f>
        <v>0</v>
      </c>
      <c r="F11" s="1746">
        <f>'5.1 DAF Vehicle Parc Input'!I30</f>
        <v>0</v>
      </c>
      <c r="G11" s="1746">
        <f>'5.1 DAF Vehicle Parc Input'!J30</f>
        <v>0</v>
      </c>
      <c r="H11" s="1746">
        <f>'5.1 DAF Vehicle Parc Input'!K30</f>
        <v>0</v>
      </c>
      <c r="I11" s="1746">
        <f>'5.1 DAF Vehicle Parc Input'!L30</f>
        <v>0</v>
      </c>
      <c r="J11" s="1746">
        <f>'5.1 DAF Vehicle Parc Input'!M30</f>
        <v>0</v>
      </c>
      <c r="K11" s="1746">
        <f>'5.1 DAF Vehicle Parc Input'!N30</f>
        <v>0</v>
      </c>
      <c r="L11" s="1746">
        <f>SUM('5.1 DAF Vehicle Parc Input'!O30:S30)</f>
        <v>0</v>
      </c>
      <c r="M11" s="1773">
        <f t="shared" si="1"/>
        <v>0</v>
      </c>
    </row>
    <row r="12" spans="1:28" ht="14.4" x14ac:dyDescent="0.35">
      <c r="A12" s="656" t="s">
        <v>1065</v>
      </c>
      <c r="B12" s="1746">
        <f>'5.1 DAF Vehicle Parc Input'!E31</f>
        <v>17</v>
      </c>
      <c r="C12" s="1746">
        <f>'5.1 DAF Vehicle Parc Input'!F31</f>
        <v>19</v>
      </c>
      <c r="D12" s="1746">
        <f>'5.1 DAF Vehicle Parc Input'!G31</f>
        <v>22</v>
      </c>
      <c r="E12" s="1746">
        <f>'5.1 DAF Vehicle Parc Input'!H31</f>
        <v>20</v>
      </c>
      <c r="F12" s="1746">
        <f>'5.1 DAF Vehicle Parc Input'!I31</f>
        <v>10</v>
      </c>
      <c r="G12" s="1746">
        <f>'5.1 DAF Vehicle Parc Input'!J31</f>
        <v>15</v>
      </c>
      <c r="H12" s="1746">
        <f>'5.1 DAF Vehicle Parc Input'!K31</f>
        <v>10</v>
      </c>
      <c r="I12" s="1746">
        <f>'5.1 DAF Vehicle Parc Input'!L31</f>
        <v>15</v>
      </c>
      <c r="J12" s="1746">
        <f>'5.1 DAF Vehicle Parc Input'!M31</f>
        <v>10</v>
      </c>
      <c r="K12" s="1746">
        <f>'5.1 DAF Vehicle Parc Input'!N31</f>
        <v>15</v>
      </c>
      <c r="L12" s="1746">
        <f>SUM('5.1 DAF Vehicle Parc Input'!O31:S31)</f>
        <v>60</v>
      </c>
      <c r="M12" s="1773">
        <f>SUM(B12:L12)</f>
        <v>213</v>
      </c>
    </row>
    <row r="13" spans="1:28" ht="14.4" x14ac:dyDescent="0.35">
      <c r="A13" s="656" t="s">
        <v>1066</v>
      </c>
      <c r="B13" s="1746">
        <f>'5.1 DAF Vehicle Parc Input'!E32</f>
        <v>0</v>
      </c>
      <c r="C13" s="1746">
        <f>'5.1 DAF Vehicle Parc Input'!F32</f>
        <v>0</v>
      </c>
      <c r="D13" s="1746">
        <f>'5.1 DAF Vehicle Parc Input'!G32</f>
        <v>0</v>
      </c>
      <c r="E13" s="1746">
        <f>'5.1 DAF Vehicle Parc Input'!H32</f>
        <v>0</v>
      </c>
      <c r="F13" s="1746">
        <f>'5.1 DAF Vehicle Parc Input'!I32</f>
        <v>0</v>
      </c>
      <c r="G13" s="1746">
        <f>'5.1 DAF Vehicle Parc Input'!J32</f>
        <v>0</v>
      </c>
      <c r="H13" s="1746">
        <f>'5.1 DAF Vehicle Parc Input'!K32</f>
        <v>0</v>
      </c>
      <c r="I13" s="1746">
        <f>'5.1 DAF Vehicle Parc Input'!L32</f>
        <v>0</v>
      </c>
      <c r="J13" s="1746">
        <f>'5.1 DAF Vehicle Parc Input'!M32</f>
        <v>0</v>
      </c>
      <c r="K13" s="1746">
        <f>'5.1 DAF Vehicle Parc Input'!N32</f>
        <v>0</v>
      </c>
      <c r="L13" s="1746">
        <f>SUM('5.1 DAF Vehicle Parc Input'!O32:S32)</f>
        <v>0</v>
      </c>
      <c r="M13" s="1773">
        <f>SUM(B13:L13)</f>
        <v>0</v>
      </c>
    </row>
    <row r="14" spans="1:28" ht="14.4" x14ac:dyDescent="0.35">
      <c r="A14" s="656" t="s">
        <v>562</v>
      </c>
      <c r="B14" s="1774">
        <f>'5.1 DAF Vehicle Parc Input'!E33</f>
        <v>0</v>
      </c>
      <c r="C14" s="1774">
        <f>'5.1 DAF Vehicle Parc Input'!F33</f>
        <v>0</v>
      </c>
      <c r="D14" s="1774">
        <f>'5.1 DAF Vehicle Parc Input'!G33</f>
        <v>0</v>
      </c>
      <c r="E14" s="1774">
        <f>'5.1 DAF Vehicle Parc Input'!H33</f>
        <v>0</v>
      </c>
      <c r="F14" s="1774">
        <f>'5.1 DAF Vehicle Parc Input'!I33</f>
        <v>0</v>
      </c>
      <c r="G14" s="1774">
        <f>'5.1 DAF Vehicle Parc Input'!J33</f>
        <v>0</v>
      </c>
      <c r="H14" s="1774">
        <f>'5.1 DAF Vehicle Parc Input'!K33</f>
        <v>0</v>
      </c>
      <c r="I14" s="1774">
        <f>'5.1 DAF Vehicle Parc Input'!L33</f>
        <v>0</v>
      </c>
      <c r="J14" s="1774">
        <f>'5.1 DAF Vehicle Parc Input'!M33</f>
        <v>0</v>
      </c>
      <c r="K14" s="1774">
        <f>'5.1 DAF Vehicle Parc Input'!N33</f>
        <v>0</v>
      </c>
      <c r="L14" s="1774">
        <f>SUM('5.1 DAF Vehicle Parc Input'!O33:S33)</f>
        <v>0</v>
      </c>
      <c r="M14" s="1775">
        <f t="shared" si="1"/>
        <v>0</v>
      </c>
    </row>
    <row r="15" spans="1:28" ht="14.4" x14ac:dyDescent="0.35">
      <c r="A15" s="656" t="s">
        <v>1056</v>
      </c>
      <c r="B15" s="1741">
        <f t="shared" ref="B15:M15" si="2">SUM(B8:B14)</f>
        <v>17</v>
      </c>
      <c r="C15" s="1741">
        <f t="shared" si="2"/>
        <v>19</v>
      </c>
      <c r="D15" s="1741">
        <f t="shared" si="2"/>
        <v>22</v>
      </c>
      <c r="E15" s="1741">
        <f t="shared" si="2"/>
        <v>20</v>
      </c>
      <c r="F15" s="1741">
        <f t="shared" si="2"/>
        <v>10</v>
      </c>
      <c r="G15" s="1741">
        <f t="shared" si="2"/>
        <v>15</v>
      </c>
      <c r="H15" s="1741">
        <f t="shared" si="2"/>
        <v>10</v>
      </c>
      <c r="I15" s="1741">
        <f t="shared" si="2"/>
        <v>15</v>
      </c>
      <c r="J15" s="1741">
        <f t="shared" si="2"/>
        <v>10</v>
      </c>
      <c r="K15" s="1741">
        <f t="shared" si="2"/>
        <v>15</v>
      </c>
      <c r="L15" s="1741">
        <f t="shared" si="2"/>
        <v>60</v>
      </c>
      <c r="M15" s="1437">
        <f t="shared" si="2"/>
        <v>213</v>
      </c>
    </row>
    <row r="16" spans="1:28" ht="14.4" x14ac:dyDescent="0.35">
      <c r="A16" s="1438"/>
      <c r="B16" s="1439"/>
      <c r="C16" s="1439"/>
      <c r="D16" s="1439"/>
      <c r="E16" s="1439"/>
      <c r="F16" s="1439"/>
      <c r="G16" s="1439"/>
      <c r="H16" s="1439"/>
      <c r="I16" s="1439"/>
      <c r="J16" s="1439"/>
      <c r="K16" s="1439"/>
      <c r="L16" s="1439"/>
      <c r="M16" s="1440"/>
    </row>
    <row r="17" spans="1:14" x14ac:dyDescent="0.25"/>
    <row r="18" spans="1:14" s="1027" customFormat="1" ht="14.4" x14ac:dyDescent="0.35">
      <c r="A18" s="1491" t="s">
        <v>1067</v>
      </c>
      <c r="B18" s="833"/>
      <c r="C18" s="833"/>
      <c r="D18" s="1492"/>
      <c r="E18" s="1492"/>
      <c r="F18" s="1492"/>
      <c r="G18" s="1492"/>
      <c r="H18" s="833"/>
      <c r="I18" s="1028"/>
      <c r="J18" s="1028"/>
      <c r="K18" s="1028"/>
      <c r="L18" s="1028"/>
      <c r="M18" s="1029"/>
      <c r="N18" s="1577"/>
    </row>
    <row r="19" spans="1:14" ht="14.4" x14ac:dyDescent="0.35">
      <c r="A19" s="1434"/>
      <c r="B19" s="45"/>
      <c r="C19" s="45"/>
      <c r="D19" s="1493">
        <f>G19-3</f>
        <v>2015</v>
      </c>
      <c r="E19" s="1493">
        <f>G19-2</f>
        <v>2016</v>
      </c>
      <c r="F19" s="1493">
        <f>G19-1</f>
        <v>2017</v>
      </c>
      <c r="G19" s="1493">
        <f>I6</f>
        <v>2018</v>
      </c>
      <c r="H19" s="148"/>
      <c r="I19" s="1"/>
      <c r="J19" s="1"/>
      <c r="K19" s="1"/>
      <c r="L19" s="1"/>
      <c r="M19" s="16"/>
    </row>
    <row r="20" spans="1:14" ht="14.4" x14ac:dyDescent="0.35">
      <c r="A20" s="1435" t="s">
        <v>1068</v>
      </c>
      <c r="B20" s="45" t="s">
        <v>1069</v>
      </c>
      <c r="C20" s="45"/>
      <c r="D20" s="1776">
        <f>SUM(E15:K15)</f>
        <v>95</v>
      </c>
      <c r="E20" s="1776">
        <f>SUM(D15:J15)</f>
        <v>102</v>
      </c>
      <c r="F20" s="1776">
        <f>SUM(C15:I15)</f>
        <v>111</v>
      </c>
      <c r="G20" s="1776">
        <f>SUM(B15:H15)</f>
        <v>113</v>
      </c>
      <c r="H20" s="136"/>
      <c r="I20" s="3"/>
      <c r="J20" s="3"/>
      <c r="K20" s="3"/>
      <c r="L20" s="3"/>
      <c r="M20" s="10"/>
    </row>
    <row r="21" spans="1:14" ht="14.4" x14ac:dyDescent="0.35">
      <c r="A21" s="1435" t="s">
        <v>1070</v>
      </c>
      <c r="B21" s="45" t="s">
        <v>1069</v>
      </c>
      <c r="C21" s="45"/>
      <c r="D21" s="1776">
        <f>SUM(E15:L15)</f>
        <v>155</v>
      </c>
      <c r="E21" s="1776">
        <f>SUM(D15:L15)</f>
        <v>177</v>
      </c>
      <c r="F21" s="1776">
        <f>SUM(C15:L15)</f>
        <v>196</v>
      </c>
      <c r="G21" s="1776">
        <f>SUM(B15:K15)</f>
        <v>153</v>
      </c>
      <c r="H21" s="136"/>
      <c r="I21" s="3"/>
      <c r="J21" s="3"/>
      <c r="K21" s="3"/>
      <c r="L21" s="3"/>
      <c r="M21" s="4"/>
    </row>
    <row r="22" spans="1:14" x14ac:dyDescent="0.25">
      <c r="A22" s="38"/>
      <c r="B22" s="6"/>
      <c r="C22" s="6"/>
      <c r="D22" s="6"/>
      <c r="E22" s="6"/>
      <c r="F22" s="6"/>
      <c r="G22" s="6"/>
      <c r="H22" s="6"/>
      <c r="I22" s="6"/>
      <c r="J22" s="6"/>
      <c r="K22" s="6"/>
      <c r="L22" s="6"/>
      <c r="M22" s="7"/>
    </row>
    <row r="23" spans="1:14" x14ac:dyDescent="0.25">
      <c r="A23" s="26"/>
      <c r="B23" s="3"/>
      <c r="C23" s="3"/>
      <c r="D23" s="3"/>
      <c r="E23" s="3"/>
      <c r="F23" s="3"/>
      <c r="G23" s="3"/>
      <c r="H23" s="3"/>
      <c r="I23" s="3"/>
      <c r="J23" s="3"/>
      <c r="K23" s="3"/>
      <c r="L23" s="3"/>
      <c r="M23" s="3"/>
    </row>
    <row r="24" spans="1:14" x14ac:dyDescent="0.25">
      <c r="A24" s="26"/>
      <c r="B24" s="3"/>
      <c r="C24" s="3"/>
      <c r="D24" s="3"/>
      <c r="E24" s="3"/>
      <c r="F24" s="3"/>
      <c r="G24" s="3"/>
      <c r="H24" s="3"/>
      <c r="I24" s="3"/>
      <c r="J24" s="3"/>
      <c r="K24" s="3"/>
      <c r="L24" s="3"/>
      <c r="M24" s="3"/>
    </row>
    <row r="25" spans="1:14" x14ac:dyDescent="0.25"/>
    <row r="26" spans="1:14" x14ac:dyDescent="0.25"/>
    <row r="27" spans="1:14" x14ac:dyDescent="0.25"/>
    <row r="28" spans="1:14" x14ac:dyDescent="0.25"/>
    <row r="29" spans="1:14" x14ac:dyDescent="0.25"/>
    <row r="30" spans="1:14" x14ac:dyDescent="0.25"/>
    <row r="31" spans="1:14" x14ac:dyDescent="0.25"/>
    <row r="32" spans="1:14" x14ac:dyDescent="0.25"/>
    <row r="33" spans="1:14" x14ac:dyDescent="0.25"/>
    <row r="34" spans="1:14" x14ac:dyDescent="0.25"/>
    <row r="35" spans="1:14" x14ac:dyDescent="0.25"/>
    <row r="36" spans="1:14" x14ac:dyDescent="0.25"/>
    <row r="37" spans="1:14" x14ac:dyDescent="0.25"/>
    <row r="38" spans="1:14" x14ac:dyDescent="0.25"/>
    <row r="39" spans="1:14" x14ac:dyDescent="0.25"/>
    <row r="40" spans="1:14" x14ac:dyDescent="0.25"/>
    <row r="41" spans="1:14" x14ac:dyDescent="0.25"/>
    <row r="42" spans="1:14" x14ac:dyDescent="0.25"/>
    <row r="43" spans="1:14" x14ac:dyDescent="0.25"/>
    <row r="44" spans="1:14" s="1027" customFormat="1" ht="14.4" x14ac:dyDescent="0.35">
      <c r="A44" s="832" t="s">
        <v>318</v>
      </c>
      <c r="B44" s="833"/>
      <c r="C44" s="833"/>
      <c r="D44" s="833"/>
      <c r="E44" s="833"/>
      <c r="F44" s="833"/>
      <c r="G44" s="833"/>
      <c r="H44" s="833"/>
      <c r="I44" s="833"/>
      <c r="J44" s="833"/>
      <c r="K44" s="833"/>
      <c r="L44" s="833"/>
      <c r="M44" s="834"/>
      <c r="N44" s="1577"/>
    </row>
    <row r="45" spans="1:14" ht="14.4" x14ac:dyDescent="0.35">
      <c r="A45" s="853"/>
      <c r="B45" s="854"/>
      <c r="C45" s="854"/>
      <c r="D45" s="854"/>
      <c r="E45" s="854"/>
      <c r="F45" s="854"/>
      <c r="G45" s="854"/>
      <c r="H45" s="854"/>
      <c r="I45" s="854"/>
      <c r="J45" s="854"/>
      <c r="K45" s="854"/>
      <c r="L45" s="854"/>
      <c r="M45" s="855"/>
    </row>
    <row r="46" spans="1:14" ht="14.4" x14ac:dyDescent="0.35">
      <c r="A46" s="856"/>
      <c r="B46" s="852"/>
      <c r="C46" s="852"/>
      <c r="D46" s="852"/>
      <c r="E46" s="852"/>
      <c r="F46" s="852"/>
      <c r="G46" s="852"/>
      <c r="H46" s="852"/>
      <c r="I46" s="852"/>
      <c r="J46" s="852"/>
      <c r="K46" s="852"/>
      <c r="L46" s="852"/>
      <c r="M46" s="857"/>
    </row>
    <row r="47" spans="1:14" ht="14.4" x14ac:dyDescent="0.35">
      <c r="A47" s="856"/>
      <c r="B47" s="852"/>
      <c r="C47" s="852"/>
      <c r="D47" s="852"/>
      <c r="E47" s="852"/>
      <c r="F47" s="852"/>
      <c r="G47" s="852"/>
      <c r="H47" s="852"/>
      <c r="I47" s="852"/>
      <c r="J47" s="852"/>
      <c r="K47" s="852"/>
      <c r="L47" s="852"/>
      <c r="M47" s="857"/>
    </row>
    <row r="48" spans="1:14" ht="14.4" x14ac:dyDescent="0.35">
      <c r="A48" s="856"/>
      <c r="B48" s="852"/>
      <c r="C48" s="852"/>
      <c r="D48" s="852"/>
      <c r="E48" s="852"/>
      <c r="F48" s="852"/>
      <c r="G48" s="852"/>
      <c r="H48" s="852"/>
      <c r="I48" s="852"/>
      <c r="J48" s="852"/>
      <c r="K48" s="852"/>
      <c r="L48" s="852"/>
      <c r="M48" s="857"/>
    </row>
    <row r="49" spans="1:14" ht="14.4" x14ac:dyDescent="0.35">
      <c r="A49" s="858"/>
      <c r="B49" s="859"/>
      <c r="C49" s="859"/>
      <c r="D49" s="859"/>
      <c r="E49" s="859"/>
      <c r="F49" s="859"/>
      <c r="G49" s="859"/>
      <c r="H49" s="859"/>
      <c r="I49" s="859"/>
      <c r="J49" s="859"/>
      <c r="K49" s="859"/>
      <c r="L49" s="859"/>
      <c r="M49" s="860"/>
    </row>
    <row r="50" spans="1:14" ht="14.4" x14ac:dyDescent="0.35">
      <c r="A50" s="45"/>
      <c r="B50" s="45"/>
      <c r="C50" s="45"/>
      <c r="D50" s="45"/>
      <c r="E50" s="45"/>
      <c r="F50" s="45"/>
      <c r="G50" s="45"/>
      <c r="H50" s="45"/>
      <c r="I50" s="45"/>
      <c r="J50" s="45"/>
      <c r="K50" s="136"/>
      <c r="L50" s="45"/>
      <c r="M50" s="45"/>
    </row>
    <row r="51" spans="1:14" s="1027" customFormat="1" ht="14.4" x14ac:dyDescent="0.35">
      <c r="A51" s="832" t="s">
        <v>1098</v>
      </c>
      <c r="B51" s="833"/>
      <c r="C51" s="833"/>
      <c r="D51" s="833"/>
      <c r="E51" s="833"/>
      <c r="F51" s="833"/>
      <c r="G51" s="833"/>
      <c r="H51" s="833"/>
      <c r="I51" s="833"/>
      <c r="J51" s="833"/>
      <c r="K51" s="833"/>
      <c r="L51" s="833"/>
      <c r="M51" s="834"/>
      <c r="N51" s="1577"/>
    </row>
    <row r="52" spans="1:14" ht="14.4" x14ac:dyDescent="0.35">
      <c r="A52" s="853"/>
      <c r="B52" s="854"/>
      <c r="C52" s="854"/>
      <c r="D52" s="854"/>
      <c r="E52" s="854"/>
      <c r="F52" s="854"/>
      <c r="G52" s="854"/>
      <c r="H52" s="854"/>
      <c r="I52" s="854"/>
      <c r="J52" s="854"/>
      <c r="K52" s="854"/>
      <c r="L52" s="854"/>
      <c r="M52" s="855"/>
    </row>
    <row r="53" spans="1:14" ht="14.4" x14ac:dyDescent="0.35">
      <c r="A53" s="856"/>
      <c r="B53" s="852"/>
      <c r="C53" s="852"/>
      <c r="D53" s="852"/>
      <c r="E53" s="852"/>
      <c r="F53" s="852"/>
      <c r="G53" s="852"/>
      <c r="H53" s="852"/>
      <c r="I53" s="852"/>
      <c r="J53" s="852"/>
      <c r="K53" s="852"/>
      <c r="L53" s="852"/>
      <c r="M53" s="857"/>
    </row>
    <row r="54" spans="1:14" ht="14.4" x14ac:dyDescent="0.35">
      <c r="A54" s="856"/>
      <c r="B54" s="852"/>
      <c r="C54" s="852"/>
      <c r="D54" s="852"/>
      <c r="E54" s="852"/>
      <c r="F54" s="852"/>
      <c r="G54" s="852"/>
      <c r="H54" s="852"/>
      <c r="I54" s="852"/>
      <c r="J54" s="852"/>
      <c r="K54" s="852"/>
      <c r="L54" s="852"/>
      <c r="M54" s="857"/>
    </row>
    <row r="55" spans="1:14" ht="14.4" x14ac:dyDescent="0.35">
      <c r="A55" s="856"/>
      <c r="B55" s="852"/>
      <c r="C55" s="852"/>
      <c r="D55" s="852"/>
      <c r="E55" s="852"/>
      <c r="F55" s="852"/>
      <c r="G55" s="852"/>
      <c r="H55" s="852"/>
      <c r="I55" s="852"/>
      <c r="J55" s="852"/>
      <c r="K55" s="852"/>
      <c r="L55" s="852"/>
      <c r="M55" s="857"/>
    </row>
    <row r="56" spans="1:14" ht="14.4" x14ac:dyDescent="0.35">
      <c r="A56" s="858"/>
      <c r="B56" s="859"/>
      <c r="C56" s="859"/>
      <c r="D56" s="859"/>
      <c r="E56" s="859"/>
      <c r="F56" s="859"/>
      <c r="G56" s="859"/>
      <c r="H56" s="859"/>
      <c r="I56" s="859"/>
      <c r="J56" s="859"/>
      <c r="K56" s="859"/>
      <c r="L56" s="859"/>
      <c r="M56" s="860"/>
    </row>
    <row r="57" spans="1:14" ht="14.4" x14ac:dyDescent="0.35">
      <c r="A57" s="45"/>
      <c r="B57" s="45"/>
      <c r="C57" s="45"/>
      <c r="D57" s="45"/>
      <c r="E57" s="45"/>
      <c r="F57" s="45"/>
      <c r="G57" s="45"/>
      <c r="H57" s="45"/>
      <c r="I57" s="45"/>
      <c r="J57" s="45"/>
      <c r="K57" s="136"/>
      <c r="L57" s="45"/>
      <c r="M57" s="45"/>
    </row>
    <row r="58" spans="1:14" s="1027" customFormat="1" ht="14.4" x14ac:dyDescent="0.35">
      <c r="A58" s="832" t="s">
        <v>1099</v>
      </c>
      <c r="B58" s="833"/>
      <c r="C58" s="833"/>
      <c r="D58" s="833"/>
      <c r="E58" s="833"/>
      <c r="F58" s="833"/>
      <c r="G58" s="833"/>
      <c r="H58" s="833"/>
      <c r="I58" s="833"/>
      <c r="J58" s="833"/>
      <c r="K58" s="833"/>
      <c r="L58" s="833"/>
      <c r="M58" s="834"/>
      <c r="N58" s="1577"/>
    </row>
    <row r="59" spans="1:14" ht="14.4" x14ac:dyDescent="0.35">
      <c r="A59" s="853"/>
      <c r="B59" s="854"/>
      <c r="C59" s="854"/>
      <c r="D59" s="854"/>
      <c r="E59" s="854"/>
      <c r="F59" s="854"/>
      <c r="G59" s="854"/>
      <c r="H59" s="854"/>
      <c r="I59" s="854"/>
      <c r="J59" s="854"/>
      <c r="K59" s="854"/>
      <c r="L59" s="854"/>
      <c r="M59" s="855"/>
    </row>
    <row r="60" spans="1:14" ht="14.4" x14ac:dyDescent="0.35">
      <c r="A60" s="856"/>
      <c r="B60" s="852"/>
      <c r="C60" s="852"/>
      <c r="D60" s="852"/>
      <c r="E60" s="852"/>
      <c r="F60" s="852"/>
      <c r="G60" s="852"/>
      <c r="H60" s="852"/>
      <c r="I60" s="852"/>
      <c r="J60" s="852"/>
      <c r="K60" s="852"/>
      <c r="L60" s="852"/>
      <c r="M60" s="857"/>
    </row>
    <row r="61" spans="1:14" ht="14.4" x14ac:dyDescent="0.35">
      <c r="A61" s="856"/>
      <c r="B61" s="852"/>
      <c r="C61" s="852"/>
      <c r="D61" s="852"/>
      <c r="E61" s="852"/>
      <c r="F61" s="852"/>
      <c r="G61" s="852"/>
      <c r="H61" s="852"/>
      <c r="I61" s="852"/>
      <c r="J61" s="852"/>
      <c r="K61" s="852"/>
      <c r="L61" s="852"/>
      <c r="M61" s="857"/>
    </row>
    <row r="62" spans="1:14" ht="14.4" x14ac:dyDescent="0.35">
      <c r="A62" s="856"/>
      <c r="B62" s="852"/>
      <c r="C62" s="852"/>
      <c r="D62" s="852"/>
      <c r="E62" s="852"/>
      <c r="F62" s="852"/>
      <c r="G62" s="852"/>
      <c r="H62" s="852"/>
      <c r="I62" s="852"/>
      <c r="J62" s="852"/>
      <c r="K62" s="852"/>
      <c r="L62" s="852"/>
      <c r="M62" s="857"/>
    </row>
    <row r="63" spans="1:14" x14ac:dyDescent="0.25">
      <c r="A63" s="1022"/>
      <c r="B63" s="1023"/>
      <c r="C63" s="1023"/>
      <c r="D63" s="1023"/>
      <c r="E63" s="1023"/>
      <c r="F63" s="1023"/>
      <c r="G63" s="1023"/>
      <c r="H63" s="1023"/>
      <c r="I63" s="1023"/>
      <c r="J63" s="1023"/>
      <c r="K63" s="1023"/>
      <c r="L63" s="1023"/>
      <c r="M63" s="1024"/>
    </row>
    <row r="64" spans="1:14" x14ac:dyDescent="0.25"/>
    <row r="65" x14ac:dyDescent="0.25"/>
    <row r="66" x14ac:dyDescent="0.25"/>
    <row r="67" x14ac:dyDescent="0.25"/>
  </sheetData>
  <sheetProtection password="813F" sheet="1" objects="1" scenarios="1" selectLockedCells="1"/>
  <customSheetViews>
    <customSheetView guid="{51165254-F18A-4CD1-9981-8F2DE14CC76C}" showGridLines="0" fitToPage="1" hiddenRows="1" hiddenColumns="1" showRuler="0" topLeftCell="A16">
      <selection activeCell="D9" sqref="D9:F9"/>
      <pageMargins left="0.78740157480314965" right="0.78740157480314965" top="0.98425196850393704" bottom="0.98425196850393704" header="0.51181102362204722" footer="0.51181102362204722"/>
      <printOptions horizontalCentered="1" verticalCentered="1"/>
      <pageSetup paperSize="9" scale="51"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1"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tabColor indexed="11"/>
    <pageSetUpPr fitToPage="1"/>
  </sheetPr>
  <dimension ref="A1:AB86"/>
  <sheetViews>
    <sheetView showGridLines="0" topLeftCell="A45" zoomScale="125" zoomScaleNormal="100" workbookViewId="0">
      <selection activeCell="J39" sqref="J39"/>
    </sheetView>
  </sheetViews>
  <sheetFormatPr baseColWidth="10" defaultColWidth="0" defaultRowHeight="14.4" zeroHeight="1" x14ac:dyDescent="0.35"/>
  <cols>
    <col min="1" max="11" width="14.6640625" style="45" customWidth="1"/>
    <col min="12" max="12" width="1.77734375" style="44" customWidth="1"/>
    <col min="13" max="28" width="9.109375" style="168" hidden="1" customWidth="1"/>
    <col min="29" max="16384" width="9.109375" style="45" hidden="1"/>
  </cols>
  <sheetData>
    <row r="1" spans="1:12" ht="28.8" x14ac:dyDescent="0.55000000000000004">
      <c r="A1" s="200" t="str">
        <f>'5.0 Economy'!A1</f>
        <v xml:space="preserve">Market Analysis </v>
      </c>
      <c r="B1" s="201"/>
      <c r="C1" s="201"/>
      <c r="D1" s="201"/>
      <c r="E1" s="201"/>
      <c r="F1" s="201"/>
      <c r="G1" s="201"/>
      <c r="H1" s="201"/>
      <c r="I1" s="201"/>
      <c r="J1" s="201"/>
      <c r="K1" s="202" t="s">
        <v>947</v>
      </c>
    </row>
    <row r="2" spans="1:12" x14ac:dyDescent="0.35">
      <c r="A2" s="135"/>
      <c r="B2" s="169"/>
      <c r="C2" s="170"/>
      <c r="D2" s="171"/>
      <c r="E2" s="172"/>
      <c r="F2" s="136"/>
      <c r="G2" s="136"/>
      <c r="H2" s="173"/>
      <c r="I2" s="171"/>
      <c r="J2" s="171"/>
      <c r="K2" s="174"/>
    </row>
    <row r="3" spans="1:12" x14ac:dyDescent="0.35">
      <c r="A3" s="135" t="s">
        <v>1049</v>
      </c>
      <c r="B3" s="169"/>
      <c r="C3" s="164" t="str">
        <f>'Reference sheet'!C12</f>
        <v>TRUCK INTERNATIONAL MOBILITY SA</v>
      </c>
      <c r="D3" s="171"/>
      <c r="E3" s="172"/>
      <c r="F3" s="136"/>
      <c r="G3" s="175" t="s">
        <v>1037</v>
      </c>
      <c r="H3" s="176" t="str">
        <f>'Reference sheet'!C17</f>
        <v>October</v>
      </c>
      <c r="I3" s="863">
        <f>'Reference sheet'!D17</f>
        <v>2018</v>
      </c>
      <c r="J3" s="175" t="s">
        <v>1036</v>
      </c>
      <c r="K3" s="177">
        <f>'Reference sheet'!C15</f>
        <v>2</v>
      </c>
    </row>
    <row r="4" spans="1:12" x14ac:dyDescent="0.35">
      <c r="A4" s="145"/>
      <c r="B4" s="178"/>
      <c r="C4" s="146"/>
      <c r="D4" s="146"/>
      <c r="E4" s="146"/>
      <c r="F4" s="146"/>
      <c r="G4" s="179"/>
      <c r="H4" s="146"/>
      <c r="I4" s="146"/>
      <c r="J4" s="146"/>
      <c r="K4" s="180"/>
    </row>
    <row r="5" spans="1:12" x14ac:dyDescent="0.35">
      <c r="A5" s="659"/>
      <c r="B5" s="136"/>
      <c r="C5" s="136"/>
      <c r="D5" s="136"/>
      <c r="E5" s="136"/>
      <c r="F5" s="136"/>
      <c r="G5" s="136"/>
      <c r="H5" s="136"/>
      <c r="I5" s="136"/>
      <c r="J5" s="136"/>
      <c r="K5" s="79"/>
      <c r="L5" s="76"/>
    </row>
    <row r="6" spans="1:12" x14ac:dyDescent="0.35">
      <c r="A6" s="832" t="s">
        <v>1080</v>
      </c>
      <c r="B6" s="833"/>
      <c r="C6" s="833"/>
      <c r="D6" s="833"/>
      <c r="E6" s="833"/>
      <c r="F6" s="833"/>
      <c r="G6" s="833"/>
      <c r="H6" s="833"/>
      <c r="I6" s="833"/>
      <c r="J6" s="833"/>
      <c r="K6" s="834"/>
    </row>
    <row r="7" spans="1:12" x14ac:dyDescent="0.35">
      <c r="A7" s="2141"/>
      <c r="B7" s="2142"/>
      <c r="C7" s="2142"/>
      <c r="D7" s="2142"/>
      <c r="E7" s="2142"/>
      <c r="F7" s="2142"/>
      <c r="G7" s="2142"/>
      <c r="H7" s="2142"/>
      <c r="I7" s="2142"/>
      <c r="J7" s="2142"/>
      <c r="K7" s="2143"/>
    </row>
    <row r="8" spans="1:12" x14ac:dyDescent="0.35">
      <c r="A8" s="2144"/>
      <c r="B8" s="2145"/>
      <c r="C8" s="2145"/>
      <c r="D8" s="2145"/>
      <c r="E8" s="2145"/>
      <c r="F8" s="2145"/>
      <c r="G8" s="2145"/>
      <c r="H8" s="2145"/>
      <c r="I8" s="2145"/>
      <c r="J8" s="2145"/>
      <c r="K8" s="2146"/>
    </row>
    <row r="9" spans="1:12" x14ac:dyDescent="0.35">
      <c r="A9" s="2144"/>
      <c r="B9" s="2145"/>
      <c r="C9" s="2145"/>
      <c r="D9" s="2145"/>
      <c r="E9" s="2145"/>
      <c r="F9" s="2145"/>
      <c r="G9" s="2145"/>
      <c r="H9" s="2145"/>
      <c r="I9" s="2145"/>
      <c r="J9" s="2145"/>
      <c r="K9" s="2146"/>
    </row>
    <row r="10" spans="1:12" x14ac:dyDescent="0.35">
      <c r="A10" s="2144"/>
      <c r="B10" s="2145"/>
      <c r="C10" s="2145"/>
      <c r="D10" s="2145"/>
      <c r="E10" s="2145"/>
      <c r="F10" s="2145"/>
      <c r="G10" s="2145"/>
      <c r="H10" s="2145"/>
      <c r="I10" s="2145"/>
      <c r="J10" s="2145"/>
      <c r="K10" s="2146"/>
    </row>
    <row r="11" spans="1:12" x14ac:dyDescent="0.35">
      <c r="A11" s="2144"/>
      <c r="B11" s="2145"/>
      <c r="C11" s="2145"/>
      <c r="D11" s="2145"/>
      <c r="E11" s="2145"/>
      <c r="F11" s="2145"/>
      <c r="G11" s="2145"/>
      <c r="H11" s="2145"/>
      <c r="I11" s="2145"/>
      <c r="J11" s="2145"/>
      <c r="K11" s="2146"/>
    </row>
    <row r="12" spans="1:12" x14ac:dyDescent="0.35">
      <c r="A12" s="2144"/>
      <c r="B12" s="2145"/>
      <c r="C12" s="2145"/>
      <c r="D12" s="2145"/>
      <c r="E12" s="2145"/>
      <c r="F12" s="2145"/>
      <c r="G12" s="2145"/>
      <c r="H12" s="2145"/>
      <c r="I12" s="2145"/>
      <c r="J12" s="2145"/>
      <c r="K12" s="2146"/>
    </row>
    <row r="13" spans="1:12" x14ac:dyDescent="0.35">
      <c r="A13" s="2144"/>
      <c r="B13" s="2145"/>
      <c r="C13" s="2145"/>
      <c r="D13" s="2145"/>
      <c r="E13" s="2145"/>
      <c r="F13" s="2145"/>
      <c r="G13" s="2145"/>
      <c r="H13" s="2145"/>
      <c r="I13" s="2145"/>
      <c r="J13" s="2145"/>
      <c r="K13" s="2146"/>
    </row>
    <row r="14" spans="1:12" x14ac:dyDescent="0.35">
      <c r="A14" s="2144"/>
      <c r="B14" s="2145"/>
      <c r="C14" s="2145"/>
      <c r="D14" s="2145"/>
      <c r="E14" s="2145"/>
      <c r="F14" s="2145"/>
      <c r="G14" s="2145"/>
      <c r="H14" s="2145"/>
      <c r="I14" s="2145"/>
      <c r="J14" s="2145"/>
      <c r="K14" s="2146"/>
    </row>
    <row r="15" spans="1:12" x14ac:dyDescent="0.35">
      <c r="A15" s="2144"/>
      <c r="B15" s="2145"/>
      <c r="C15" s="2145"/>
      <c r="D15" s="2145"/>
      <c r="E15" s="2145"/>
      <c r="F15" s="2145"/>
      <c r="G15" s="2145"/>
      <c r="H15" s="2145"/>
      <c r="I15" s="2145"/>
      <c r="J15" s="2145"/>
      <c r="K15" s="2146"/>
    </row>
    <row r="16" spans="1:12" x14ac:dyDescent="0.35">
      <c r="A16" s="2144"/>
      <c r="B16" s="2145"/>
      <c r="C16" s="2145"/>
      <c r="D16" s="2145"/>
      <c r="E16" s="2145"/>
      <c r="F16" s="2145"/>
      <c r="G16" s="2145"/>
      <c r="H16" s="2145"/>
      <c r="I16" s="2145"/>
      <c r="J16" s="2145"/>
      <c r="K16" s="2146"/>
    </row>
    <row r="17" spans="1:12" x14ac:dyDescent="0.35">
      <c r="A17" s="2144"/>
      <c r="B17" s="2145"/>
      <c r="C17" s="2145"/>
      <c r="D17" s="2145"/>
      <c r="E17" s="2145"/>
      <c r="F17" s="2145"/>
      <c r="G17" s="2145"/>
      <c r="H17" s="2145"/>
      <c r="I17" s="2145"/>
      <c r="J17" s="2145"/>
      <c r="K17" s="2146"/>
    </row>
    <row r="18" spans="1:12" x14ac:dyDescent="0.35">
      <c r="A18" s="2144"/>
      <c r="B18" s="2145"/>
      <c r="C18" s="2145"/>
      <c r="D18" s="2145"/>
      <c r="E18" s="2145"/>
      <c r="F18" s="2145"/>
      <c r="G18" s="2145"/>
      <c r="H18" s="2145"/>
      <c r="I18" s="2145"/>
      <c r="J18" s="2145"/>
      <c r="K18" s="2146"/>
    </row>
    <row r="19" spans="1:12" x14ac:dyDescent="0.35">
      <c r="A19" s="2144"/>
      <c r="B19" s="2145"/>
      <c r="C19" s="2145"/>
      <c r="D19" s="2145"/>
      <c r="E19" s="2145"/>
      <c r="F19" s="2145"/>
      <c r="G19" s="2145"/>
      <c r="H19" s="2145"/>
      <c r="I19" s="2145"/>
      <c r="J19" s="2145"/>
      <c r="K19" s="2146"/>
    </row>
    <row r="20" spans="1:12" x14ac:dyDescent="0.35">
      <c r="A20" s="2144"/>
      <c r="B20" s="2145"/>
      <c r="C20" s="2145"/>
      <c r="D20" s="2145"/>
      <c r="E20" s="2145"/>
      <c r="F20" s="2145"/>
      <c r="G20" s="2145"/>
      <c r="H20" s="2145"/>
      <c r="I20" s="2145"/>
      <c r="J20" s="2145"/>
      <c r="K20" s="2146"/>
    </row>
    <row r="21" spans="1:12" x14ac:dyDescent="0.35">
      <c r="A21" s="2144"/>
      <c r="B21" s="2145"/>
      <c r="C21" s="2145"/>
      <c r="D21" s="2145"/>
      <c r="E21" s="2145"/>
      <c r="F21" s="2145"/>
      <c r="G21" s="2145"/>
      <c r="H21" s="2145"/>
      <c r="I21" s="2145"/>
      <c r="J21" s="2145"/>
      <c r="K21" s="2146"/>
    </row>
    <row r="22" spans="1:12" x14ac:dyDescent="0.35">
      <c r="A22" s="2144"/>
      <c r="B22" s="2145"/>
      <c r="C22" s="2145"/>
      <c r="D22" s="2145"/>
      <c r="E22" s="2145"/>
      <c r="F22" s="2145"/>
      <c r="G22" s="2145"/>
      <c r="H22" s="2145"/>
      <c r="I22" s="2145"/>
      <c r="J22" s="2145"/>
      <c r="K22" s="2146"/>
    </row>
    <row r="23" spans="1:12" x14ac:dyDescent="0.35">
      <c r="A23" s="2144"/>
      <c r="B23" s="2145"/>
      <c r="C23" s="2145"/>
      <c r="D23" s="2145"/>
      <c r="E23" s="2145"/>
      <c r="F23" s="2145"/>
      <c r="G23" s="2145"/>
      <c r="H23" s="2145"/>
      <c r="I23" s="2145"/>
      <c r="J23" s="2145"/>
      <c r="K23" s="2146"/>
    </row>
    <row r="24" spans="1:12" x14ac:dyDescent="0.35">
      <c r="A24" s="2144"/>
      <c r="B24" s="2145"/>
      <c r="C24" s="2145"/>
      <c r="D24" s="2145"/>
      <c r="E24" s="2145"/>
      <c r="F24" s="2145"/>
      <c r="G24" s="2145"/>
      <c r="H24" s="2145"/>
      <c r="I24" s="2145"/>
      <c r="J24" s="2145"/>
      <c r="K24" s="2146"/>
    </row>
    <row r="25" spans="1:12" x14ac:dyDescent="0.35">
      <c r="A25" s="2144"/>
      <c r="B25" s="2145"/>
      <c r="C25" s="2145"/>
      <c r="D25" s="2145"/>
      <c r="E25" s="2145"/>
      <c r="F25" s="2145"/>
      <c r="G25" s="2145"/>
      <c r="H25" s="2145"/>
      <c r="I25" s="2145"/>
      <c r="J25" s="2145"/>
      <c r="K25" s="2146"/>
    </row>
    <row r="26" spans="1:12" x14ac:dyDescent="0.35">
      <c r="A26" s="2144"/>
      <c r="B26" s="2145"/>
      <c r="C26" s="2145"/>
      <c r="D26" s="2145"/>
      <c r="E26" s="2145"/>
      <c r="F26" s="2145"/>
      <c r="G26" s="2145"/>
      <c r="H26" s="2145"/>
      <c r="I26" s="2145"/>
      <c r="J26" s="2145"/>
      <c r="K26" s="2146"/>
    </row>
    <row r="27" spans="1:12" x14ac:dyDescent="0.35">
      <c r="A27" s="2144"/>
      <c r="B27" s="2145"/>
      <c r="C27" s="2145"/>
      <c r="D27" s="2145"/>
      <c r="E27" s="2145"/>
      <c r="F27" s="2145"/>
      <c r="G27" s="2145"/>
      <c r="H27" s="2145"/>
      <c r="I27" s="2145"/>
      <c r="J27" s="2145"/>
      <c r="K27" s="2146"/>
    </row>
    <row r="28" spans="1:12" x14ac:dyDescent="0.35">
      <c r="A28" s="2144"/>
      <c r="B28" s="2145"/>
      <c r="C28" s="2145"/>
      <c r="D28" s="2145"/>
      <c r="E28" s="2145"/>
      <c r="F28" s="2145"/>
      <c r="G28" s="2145"/>
      <c r="H28" s="2145"/>
      <c r="I28" s="2145"/>
      <c r="J28" s="2145"/>
      <c r="K28" s="2146"/>
    </row>
    <row r="29" spans="1:12" x14ac:dyDescent="0.35">
      <c r="A29" s="2147"/>
      <c r="B29" s="2148"/>
      <c r="C29" s="2148"/>
      <c r="D29" s="2148"/>
      <c r="E29" s="2148"/>
      <c r="F29" s="2148"/>
      <c r="G29" s="2148"/>
      <c r="H29" s="2148"/>
      <c r="I29" s="2148"/>
      <c r="J29" s="2148"/>
      <c r="K29" s="2149"/>
    </row>
    <row r="30" spans="1:12" x14ac:dyDescent="0.35">
      <c r="A30" s="2015"/>
      <c r="B30" s="1404"/>
      <c r="C30" s="1404"/>
      <c r="D30" s="1404"/>
      <c r="E30" s="1404"/>
      <c r="F30" s="1404"/>
      <c r="G30" s="1404"/>
      <c r="H30" s="1404"/>
      <c r="I30" s="1404"/>
      <c r="J30" s="1404"/>
      <c r="K30" s="2010"/>
      <c r="L30" s="76"/>
    </row>
    <row r="31" spans="1:12" ht="16.2" x14ac:dyDescent="0.35">
      <c r="A31" s="2013" t="s">
        <v>1081</v>
      </c>
      <c r="B31" s="2014"/>
      <c r="C31" s="2014"/>
      <c r="D31" s="2014"/>
      <c r="E31" s="2014"/>
      <c r="F31" s="2018"/>
      <c r="G31" s="2014"/>
      <c r="H31" s="2014"/>
      <c r="I31" s="2018"/>
      <c r="J31" s="2018"/>
      <c r="K31" s="2019"/>
    </row>
    <row r="32" spans="1:12" x14ac:dyDescent="0.35">
      <c r="A32" s="2150" t="s">
        <v>1082</v>
      </c>
      <c r="B32" s="2151"/>
      <c r="C32" s="2124">
        <f>'5.1.2 NT market-Dealer area'!E7</f>
        <v>2017</v>
      </c>
      <c r="D32" s="2125"/>
      <c r="E32" s="2126"/>
      <c r="F32" s="2124">
        <f>'5.1.2 NT market-Dealer area'!F7</f>
        <v>2018</v>
      </c>
      <c r="G32" s="2125"/>
      <c r="H32" s="2126"/>
      <c r="I32" s="2152">
        <f>'5.1.2 NT market-Dealer area'!G7</f>
        <v>2019</v>
      </c>
      <c r="J32" s="2125"/>
      <c r="K32" s="2126"/>
    </row>
    <row r="33" spans="1:11" x14ac:dyDescent="0.35">
      <c r="A33" s="145" t="s">
        <v>1083</v>
      </c>
      <c r="B33" s="146"/>
      <c r="C33" s="2006" t="s">
        <v>1084</v>
      </c>
      <c r="D33" s="2006" t="s">
        <v>1085</v>
      </c>
      <c r="E33" s="2006" t="s">
        <v>1056</v>
      </c>
      <c r="F33" s="2006" t="s">
        <v>1084</v>
      </c>
      <c r="G33" s="2006" t="s">
        <v>1085</v>
      </c>
      <c r="H33" s="2006" t="s">
        <v>1056</v>
      </c>
      <c r="I33" s="2006" t="s">
        <v>1084</v>
      </c>
      <c r="J33" s="2006" t="s">
        <v>1085</v>
      </c>
      <c r="K33" s="2006" t="s">
        <v>1056</v>
      </c>
    </row>
    <row r="34" spans="1:11" x14ac:dyDescent="0.35">
      <c r="A34" s="135" t="s">
        <v>1069</v>
      </c>
      <c r="B34" s="136"/>
      <c r="C34" s="2007">
        <v>0</v>
      </c>
      <c r="D34" s="2007">
        <v>0.01</v>
      </c>
      <c r="E34" s="2007">
        <v>0.01</v>
      </c>
      <c r="F34" s="2007">
        <v>0</v>
      </c>
      <c r="G34" s="2007">
        <v>0.01</v>
      </c>
      <c r="H34" s="2007">
        <v>0.01</v>
      </c>
      <c r="I34" s="2007">
        <v>0</v>
      </c>
      <c r="J34" s="2007">
        <v>0.08</v>
      </c>
      <c r="K34" s="2007">
        <v>0.05</v>
      </c>
    </row>
    <row r="35" spans="1:11" x14ac:dyDescent="0.35">
      <c r="A35" s="135" t="s">
        <v>1075</v>
      </c>
      <c r="B35" s="136"/>
      <c r="C35" s="2007">
        <v>0</v>
      </c>
      <c r="D35" s="2007">
        <v>0.16</v>
      </c>
      <c r="E35" s="2007">
        <v>0.11</v>
      </c>
      <c r="F35" s="2007">
        <v>0</v>
      </c>
      <c r="G35" s="2007">
        <v>0.12</v>
      </c>
      <c r="H35" s="2007">
        <v>0.08</v>
      </c>
      <c r="I35" s="2007">
        <v>0</v>
      </c>
      <c r="J35" s="2007">
        <v>0.11</v>
      </c>
      <c r="K35" s="2007">
        <v>0.08</v>
      </c>
    </row>
    <row r="36" spans="1:11" x14ac:dyDescent="0.35">
      <c r="A36" s="135" t="s">
        <v>1078</v>
      </c>
      <c r="B36" s="136"/>
      <c r="C36" s="2007">
        <v>0</v>
      </c>
      <c r="D36" s="2007">
        <v>0.05</v>
      </c>
      <c r="E36" s="2007">
        <v>0.04</v>
      </c>
      <c r="F36" s="2007">
        <v>0</v>
      </c>
      <c r="G36" s="2007">
        <v>0.08</v>
      </c>
      <c r="H36" s="2007">
        <v>0.05</v>
      </c>
      <c r="I36" s="2007">
        <v>0</v>
      </c>
      <c r="J36" s="2007">
        <v>7.0000000000000007E-2</v>
      </c>
      <c r="K36" s="2007">
        <v>0.05</v>
      </c>
    </row>
    <row r="37" spans="1:11" x14ac:dyDescent="0.35">
      <c r="A37" s="135" t="s">
        <v>1077</v>
      </c>
      <c r="B37" s="136"/>
      <c r="C37" s="2007">
        <v>0</v>
      </c>
      <c r="D37" s="2007">
        <v>0.11</v>
      </c>
      <c r="E37" s="2007">
        <v>0.08</v>
      </c>
      <c r="F37" s="2007">
        <v>0</v>
      </c>
      <c r="G37" s="2007">
        <v>0.15</v>
      </c>
      <c r="H37" s="2007">
        <v>0.09</v>
      </c>
      <c r="I37" s="2007">
        <v>0</v>
      </c>
      <c r="J37" s="2007">
        <v>0.15</v>
      </c>
      <c r="K37" s="2007">
        <v>0.09</v>
      </c>
    </row>
    <row r="38" spans="1:11" x14ac:dyDescent="0.35">
      <c r="A38" s="135" t="s">
        <v>1086</v>
      </c>
      <c r="B38" s="136"/>
      <c r="C38" s="2007">
        <v>0</v>
      </c>
      <c r="D38" s="2007">
        <v>0.14000000000000001</v>
      </c>
      <c r="E38" s="2007">
        <v>0.09</v>
      </c>
      <c r="F38" s="2007">
        <v>0</v>
      </c>
      <c r="G38" s="2007">
        <v>0.12</v>
      </c>
      <c r="H38" s="2007">
        <v>7.0000000000000007E-2</v>
      </c>
      <c r="I38" s="2007">
        <v>0</v>
      </c>
      <c r="J38" s="2007">
        <v>0.11</v>
      </c>
      <c r="K38" s="2007">
        <v>7.0000000000000007E-2</v>
      </c>
    </row>
    <row r="39" spans="1:11" x14ac:dyDescent="0.35">
      <c r="A39" s="135" t="s">
        <v>1071</v>
      </c>
      <c r="B39" s="136"/>
      <c r="C39" s="2007">
        <v>0.48</v>
      </c>
      <c r="D39" s="2007">
        <v>0.25</v>
      </c>
      <c r="E39" s="2007">
        <v>0.32</v>
      </c>
      <c r="F39" s="2007">
        <v>0.31</v>
      </c>
      <c r="G39" s="2007">
        <v>0.22</v>
      </c>
      <c r="H39" s="2007">
        <v>0.26</v>
      </c>
      <c r="I39" s="2007">
        <v>0.4</v>
      </c>
      <c r="J39" s="2007">
        <v>0.22</v>
      </c>
      <c r="K39" s="2007">
        <v>0.26</v>
      </c>
    </row>
    <row r="40" spans="1:11" x14ac:dyDescent="0.35">
      <c r="A40" s="135" t="s">
        <v>1087</v>
      </c>
      <c r="B40" s="136"/>
      <c r="C40" s="2007">
        <v>0</v>
      </c>
      <c r="D40" s="2007">
        <v>0.21</v>
      </c>
      <c r="E40" s="2007">
        <v>0.15</v>
      </c>
      <c r="F40" s="2007">
        <v>0</v>
      </c>
      <c r="G40" s="2007">
        <v>0.25</v>
      </c>
      <c r="H40" s="2007">
        <v>0.16</v>
      </c>
      <c r="I40" s="2007">
        <v>0</v>
      </c>
      <c r="J40" s="2007">
        <v>0.25</v>
      </c>
      <c r="K40" s="2007">
        <v>0.16</v>
      </c>
    </row>
    <row r="41" spans="1:11" x14ac:dyDescent="0.35">
      <c r="A41" s="145" t="s">
        <v>478</v>
      </c>
      <c r="B41" s="146"/>
      <c r="C41" s="2007">
        <v>0.52</v>
      </c>
      <c r="D41" s="2007">
        <v>7.0000000000000007E-2</v>
      </c>
      <c r="E41" s="2007">
        <v>0.2</v>
      </c>
      <c r="F41" s="2007">
        <v>0.69</v>
      </c>
      <c r="G41" s="2007">
        <v>0.05</v>
      </c>
      <c r="H41" s="2007">
        <v>0.28000000000000003</v>
      </c>
      <c r="I41" s="2007">
        <v>0.6</v>
      </c>
      <c r="J41" s="2007">
        <v>0.01</v>
      </c>
      <c r="K41" s="2007">
        <v>0.24</v>
      </c>
    </row>
    <row r="42" spans="1:11" x14ac:dyDescent="0.35">
      <c r="A42" s="264" t="s">
        <v>1056</v>
      </c>
      <c r="B42" s="146"/>
      <c r="C42" s="2008">
        <f>IF(SUM(C34:C41)&lt;&gt;100%,"not equal 100%",SUM(C34:C41))</f>
        <v>1</v>
      </c>
      <c r="D42" s="2008">
        <f t="shared" ref="D42:K42" si="0">IF(SUM(D34:D41)&lt;&gt;100%,"not equal 100%",SUM(D34:D41))</f>
        <v>1</v>
      </c>
      <c r="E42" s="2008">
        <f t="shared" si="0"/>
        <v>1</v>
      </c>
      <c r="F42" s="2008">
        <f t="shared" si="0"/>
        <v>1</v>
      </c>
      <c r="G42" s="2008">
        <f t="shared" si="0"/>
        <v>1</v>
      </c>
      <c r="H42" s="2008">
        <f t="shared" si="0"/>
        <v>1</v>
      </c>
      <c r="I42" s="2008">
        <f>IF(SUM(I34:I41)&lt;&gt;100%,"not equal 100%",SUM(I34:I41))</f>
        <v>1</v>
      </c>
      <c r="J42" s="2008">
        <f t="shared" si="0"/>
        <v>1</v>
      </c>
      <c r="K42" s="2008">
        <f t="shared" si="0"/>
        <v>1</v>
      </c>
    </row>
    <row r="43" spans="1:11" x14ac:dyDescent="0.35">
      <c r="A43" s="135"/>
      <c r="B43" s="136"/>
      <c r="C43" s="136"/>
      <c r="D43" s="136"/>
      <c r="E43" s="136"/>
      <c r="F43" s="136"/>
      <c r="G43" s="136"/>
      <c r="H43" s="136"/>
      <c r="I43" s="136"/>
      <c r="J43" s="136"/>
      <c r="K43" s="79"/>
    </row>
    <row r="44" spans="1:11" x14ac:dyDescent="0.35">
      <c r="A44" s="135"/>
      <c r="B44" s="136"/>
      <c r="C44" s="136"/>
      <c r="D44" s="136"/>
      <c r="E44" s="136"/>
      <c r="F44" s="136"/>
      <c r="G44" s="136"/>
      <c r="H44" s="136"/>
      <c r="I44" s="136"/>
      <c r="J44" s="136"/>
      <c r="K44" s="79"/>
    </row>
    <row r="45" spans="1:11" x14ac:dyDescent="0.35">
      <c r="A45" s="135"/>
      <c r="B45" s="136"/>
      <c r="C45" s="136"/>
      <c r="D45" s="136"/>
      <c r="E45" s="136"/>
      <c r="F45" s="136"/>
      <c r="G45" s="136"/>
      <c r="H45" s="136"/>
      <c r="I45" s="136"/>
      <c r="J45" s="136"/>
      <c r="K45" s="79"/>
    </row>
    <row r="46" spans="1:11" x14ac:dyDescent="0.35">
      <c r="A46" s="263"/>
      <c r="B46" s="256"/>
      <c r="C46" s="253"/>
      <c r="D46" s="136"/>
      <c r="E46" s="253"/>
      <c r="F46" s="256"/>
      <c r="G46" s="253"/>
      <c r="H46" s="136"/>
      <c r="I46" s="253"/>
      <c r="J46" s="136"/>
      <c r="K46" s="296"/>
    </row>
    <row r="47" spans="1:11" x14ac:dyDescent="0.35">
      <c r="A47" s="263"/>
      <c r="B47" s="256"/>
      <c r="C47" s="253"/>
      <c r="D47" s="136"/>
      <c r="E47" s="253"/>
      <c r="F47" s="256"/>
      <c r="G47" s="253"/>
      <c r="H47" s="136"/>
      <c r="I47" s="253"/>
      <c r="J47" s="136"/>
      <c r="K47" s="296"/>
    </row>
    <row r="48" spans="1:11" x14ac:dyDescent="0.35">
      <c r="A48" s="263"/>
      <c r="B48" s="256"/>
      <c r="C48" s="253"/>
      <c r="D48" s="136"/>
      <c r="E48" s="253"/>
      <c r="F48" s="256"/>
      <c r="G48" s="253"/>
      <c r="H48" s="136"/>
      <c r="I48" s="253"/>
      <c r="J48" s="136"/>
      <c r="K48" s="296"/>
    </row>
    <row r="49" spans="1:11" x14ac:dyDescent="0.35">
      <c r="A49" s="263"/>
      <c r="B49" s="256"/>
      <c r="C49" s="253"/>
      <c r="D49" s="136"/>
      <c r="E49" s="253"/>
      <c r="F49" s="256"/>
      <c r="G49" s="253"/>
      <c r="H49" s="136"/>
      <c r="I49" s="253"/>
      <c r="J49" s="136"/>
      <c r="K49" s="296"/>
    </row>
    <row r="50" spans="1:11" x14ac:dyDescent="0.35">
      <c r="A50" s="263"/>
      <c r="B50" s="256"/>
      <c r="C50" s="253"/>
      <c r="D50" s="136"/>
      <c r="E50" s="253"/>
      <c r="F50" s="256"/>
      <c r="G50" s="253"/>
      <c r="H50" s="136"/>
      <c r="I50" s="253"/>
      <c r="J50" s="136"/>
      <c r="K50" s="296"/>
    </row>
    <row r="51" spans="1:11" x14ac:dyDescent="0.35">
      <c r="A51" s="263"/>
      <c r="B51" s="256"/>
      <c r="C51" s="253"/>
      <c r="D51" s="136"/>
      <c r="E51" s="253"/>
      <c r="F51" s="256"/>
      <c r="G51" s="253"/>
      <c r="H51" s="136"/>
      <c r="I51" s="253"/>
      <c r="J51" s="136"/>
      <c r="K51" s="296"/>
    </row>
    <row r="52" spans="1:11" x14ac:dyDescent="0.35">
      <c r="A52" s="263"/>
      <c r="B52" s="256"/>
      <c r="C52" s="253"/>
      <c r="D52" s="136"/>
      <c r="E52" s="253"/>
      <c r="F52" s="256"/>
      <c r="G52" s="253"/>
      <c r="H52" s="136"/>
      <c r="I52" s="253"/>
      <c r="J52" s="136"/>
      <c r="K52" s="296"/>
    </row>
    <row r="53" spans="1:11" x14ac:dyDescent="0.35">
      <c r="A53" s="263"/>
      <c r="B53" s="256"/>
      <c r="C53" s="253"/>
      <c r="D53" s="136"/>
      <c r="E53" s="253"/>
      <c r="F53" s="256"/>
      <c r="G53" s="253"/>
      <c r="H53" s="136"/>
      <c r="I53" s="253"/>
      <c r="J53" s="136"/>
      <c r="K53" s="296"/>
    </row>
    <row r="54" spans="1:11" x14ac:dyDescent="0.35">
      <c r="A54" s="263"/>
      <c r="B54" s="256"/>
      <c r="C54" s="253"/>
      <c r="D54" s="136"/>
      <c r="E54" s="253"/>
      <c r="F54" s="256"/>
      <c r="G54" s="253"/>
      <c r="H54" s="136"/>
      <c r="I54" s="253"/>
      <c r="J54" s="136"/>
      <c r="K54" s="296"/>
    </row>
    <row r="55" spans="1:11" x14ac:dyDescent="0.35">
      <c r="A55" s="263"/>
      <c r="B55" s="256"/>
      <c r="C55" s="253"/>
      <c r="D55" s="136"/>
      <c r="E55" s="253"/>
      <c r="F55" s="256"/>
      <c r="G55" s="253"/>
      <c r="H55" s="136"/>
      <c r="I55" s="253"/>
      <c r="J55" s="136"/>
      <c r="K55" s="296"/>
    </row>
    <row r="56" spans="1:11" x14ac:dyDescent="0.35">
      <c r="A56" s="263"/>
      <c r="B56" s="256"/>
      <c r="C56" s="253"/>
      <c r="D56" s="136"/>
      <c r="E56" s="253"/>
      <c r="F56" s="256"/>
      <c r="G56" s="253"/>
      <c r="H56" s="136"/>
      <c r="I56" s="253"/>
      <c r="J56" s="136"/>
      <c r="K56" s="296"/>
    </row>
    <row r="57" spans="1:11" x14ac:dyDescent="0.35">
      <c r="A57" s="263"/>
      <c r="B57" s="256"/>
      <c r="C57" s="253"/>
      <c r="D57" s="136"/>
      <c r="E57" s="253"/>
      <c r="F57" s="256"/>
      <c r="G57" s="253"/>
      <c r="H57" s="136"/>
      <c r="I57" s="253"/>
      <c r="J57" s="136"/>
      <c r="K57" s="296"/>
    </row>
    <row r="58" spans="1:11" x14ac:dyDescent="0.35">
      <c r="A58" s="263"/>
      <c r="B58" s="256"/>
      <c r="C58" s="253"/>
      <c r="D58" s="136"/>
      <c r="E58" s="253"/>
      <c r="F58" s="256"/>
      <c r="G58" s="253"/>
      <c r="H58" s="136"/>
      <c r="I58" s="253"/>
      <c r="J58" s="136"/>
      <c r="K58" s="296"/>
    </row>
    <row r="59" spans="1:11" x14ac:dyDescent="0.35">
      <c r="A59" s="263"/>
      <c r="B59" s="256"/>
      <c r="C59" s="253"/>
      <c r="D59" s="136"/>
      <c r="E59" s="253"/>
      <c r="F59" s="256"/>
      <c r="G59" s="253"/>
      <c r="H59" s="136"/>
      <c r="I59" s="253"/>
      <c r="J59" s="136"/>
      <c r="K59" s="296"/>
    </row>
    <row r="60" spans="1:11" x14ac:dyDescent="0.35">
      <c r="A60" s="263"/>
      <c r="B60" s="256"/>
      <c r="C60" s="253"/>
      <c r="D60" s="136"/>
      <c r="E60" s="253"/>
      <c r="F60" s="256"/>
      <c r="G60" s="253"/>
      <c r="H60" s="136"/>
      <c r="I60" s="253"/>
      <c r="J60" s="136"/>
      <c r="K60" s="296"/>
    </row>
    <row r="61" spans="1:11" x14ac:dyDescent="0.35">
      <c r="A61" s="263"/>
      <c r="B61" s="256"/>
      <c r="C61" s="253"/>
      <c r="D61" s="136"/>
      <c r="E61" s="253"/>
      <c r="F61" s="256"/>
      <c r="G61" s="253"/>
      <c r="H61" s="136"/>
      <c r="I61" s="253"/>
      <c r="J61" s="136"/>
      <c r="K61" s="296"/>
    </row>
    <row r="62" spans="1:11" x14ac:dyDescent="0.35">
      <c r="A62" s="263"/>
      <c r="B62" s="256"/>
      <c r="C62" s="253"/>
      <c r="D62" s="136"/>
      <c r="E62" s="253"/>
      <c r="F62" s="256"/>
      <c r="G62" s="253"/>
      <c r="H62" s="136"/>
      <c r="I62" s="253"/>
      <c r="J62" s="136"/>
      <c r="K62" s="296"/>
    </row>
    <row r="63" spans="1:11" x14ac:dyDescent="0.35">
      <c r="A63" s="263"/>
      <c r="B63" s="256"/>
      <c r="C63" s="253"/>
      <c r="D63" s="136"/>
      <c r="E63" s="253"/>
      <c r="F63" s="256"/>
      <c r="G63" s="253"/>
      <c r="H63" s="136"/>
      <c r="I63" s="253"/>
      <c r="J63" s="136"/>
      <c r="K63" s="296"/>
    </row>
    <row r="64" spans="1:11" x14ac:dyDescent="0.35">
      <c r="A64" s="263"/>
      <c r="B64" s="256"/>
      <c r="C64" s="253"/>
      <c r="D64" s="136"/>
      <c r="E64" s="253"/>
      <c r="F64" s="256"/>
      <c r="G64" s="253"/>
      <c r="H64" s="136"/>
      <c r="I64" s="253"/>
      <c r="J64" s="136"/>
      <c r="K64" s="296"/>
    </row>
    <row r="65" spans="1:11" x14ac:dyDescent="0.35">
      <c r="A65" s="263"/>
      <c r="B65" s="256"/>
      <c r="C65" s="253"/>
      <c r="D65" s="136"/>
      <c r="E65" s="253"/>
      <c r="F65" s="256"/>
      <c r="G65" s="253"/>
      <c r="H65" s="136"/>
      <c r="I65" s="253"/>
      <c r="J65" s="136"/>
      <c r="K65" s="296"/>
    </row>
    <row r="66" spans="1:11" x14ac:dyDescent="0.35">
      <c r="A66" s="263"/>
      <c r="B66" s="256"/>
      <c r="C66" s="253"/>
      <c r="D66" s="136"/>
      <c r="E66" s="253"/>
      <c r="F66" s="256"/>
      <c r="G66" s="253"/>
      <c r="H66" s="136"/>
      <c r="I66" s="253"/>
      <c r="J66" s="136"/>
      <c r="K66" s="296"/>
    </row>
    <row r="67" spans="1:11" x14ac:dyDescent="0.35">
      <c r="A67" s="263"/>
      <c r="B67" s="256"/>
      <c r="C67" s="253"/>
      <c r="D67" s="136"/>
      <c r="E67" s="253"/>
      <c r="F67" s="256"/>
      <c r="G67" s="253"/>
      <c r="H67" s="136"/>
      <c r="I67" s="253"/>
      <c r="J67" s="136"/>
      <c r="K67" s="296"/>
    </row>
    <row r="68" spans="1:11" x14ac:dyDescent="0.35">
      <c r="A68" s="263"/>
      <c r="B68" s="256"/>
      <c r="C68" s="253"/>
      <c r="D68" s="136"/>
      <c r="E68" s="253"/>
      <c r="F68" s="256"/>
      <c r="G68" s="253"/>
      <c r="H68" s="136"/>
      <c r="I68" s="253"/>
      <c r="J68" s="136"/>
      <c r="K68" s="296"/>
    </row>
    <row r="69" spans="1:11" x14ac:dyDescent="0.35">
      <c r="A69" s="263"/>
      <c r="B69" s="256"/>
      <c r="C69" s="253"/>
      <c r="D69" s="136"/>
      <c r="E69" s="253"/>
      <c r="F69" s="256"/>
      <c r="G69" s="253"/>
      <c r="H69" s="136"/>
      <c r="I69" s="253"/>
      <c r="J69" s="136"/>
      <c r="K69" s="296"/>
    </row>
    <row r="70" spans="1:11" x14ac:dyDescent="0.35">
      <c r="A70" s="263"/>
      <c r="B70" s="256"/>
      <c r="C70" s="253"/>
      <c r="D70" s="136"/>
      <c r="E70" s="253"/>
      <c r="F70" s="256"/>
      <c r="G70" s="253"/>
      <c r="H70" s="136"/>
      <c r="I70" s="253"/>
      <c r="J70" s="136"/>
      <c r="K70" s="296"/>
    </row>
    <row r="71" spans="1:11" x14ac:dyDescent="0.35">
      <c r="A71" s="263"/>
      <c r="B71" s="256"/>
      <c r="C71" s="253"/>
      <c r="D71" s="136"/>
      <c r="E71" s="253"/>
      <c r="F71" s="256"/>
      <c r="G71" s="253"/>
      <c r="H71" s="136"/>
      <c r="I71" s="253"/>
      <c r="J71" s="136"/>
      <c r="K71" s="296"/>
    </row>
    <row r="72" spans="1:11" x14ac:dyDescent="0.35">
      <c r="A72" s="263"/>
      <c r="B72" s="256"/>
      <c r="C72" s="253"/>
      <c r="D72" s="136"/>
      <c r="E72" s="253"/>
      <c r="F72" s="256"/>
      <c r="G72" s="253"/>
      <c r="H72" s="136"/>
      <c r="I72" s="253"/>
      <c r="J72" s="136"/>
      <c r="K72" s="296"/>
    </row>
    <row r="73" spans="1:11" x14ac:dyDescent="0.35">
      <c r="A73" s="263"/>
      <c r="B73" s="256"/>
      <c r="C73" s="253"/>
      <c r="D73" s="136"/>
      <c r="E73" s="253"/>
      <c r="F73" s="256"/>
      <c r="G73" s="253"/>
      <c r="H73" s="136"/>
      <c r="I73" s="253"/>
      <c r="J73" s="136"/>
      <c r="K73" s="296"/>
    </row>
    <row r="74" spans="1:11" x14ac:dyDescent="0.35">
      <c r="A74" s="263"/>
      <c r="B74" s="256"/>
      <c r="C74" s="253"/>
      <c r="D74" s="136"/>
      <c r="E74" s="253"/>
      <c r="F74" s="256"/>
      <c r="G74" s="253"/>
      <c r="H74" s="136"/>
      <c r="I74" s="253"/>
      <c r="J74" s="136"/>
      <c r="K74" s="296"/>
    </row>
    <row r="75" spans="1:11" x14ac:dyDescent="0.35">
      <c r="A75" s="263"/>
      <c r="B75" s="256"/>
      <c r="C75" s="253"/>
      <c r="D75" s="136"/>
      <c r="E75" s="253"/>
      <c r="F75" s="256"/>
      <c r="G75" s="253"/>
      <c r="H75" s="136"/>
      <c r="I75" s="253"/>
      <c r="J75" s="136"/>
      <c r="K75" s="296"/>
    </row>
    <row r="76" spans="1:11" x14ac:dyDescent="0.35">
      <c r="A76" s="263"/>
      <c r="B76" s="256"/>
      <c r="C76" s="253"/>
      <c r="D76" s="136"/>
      <c r="E76" s="253"/>
      <c r="F76" s="256"/>
      <c r="G76" s="253"/>
      <c r="H76" s="136"/>
      <c r="I76" s="253"/>
      <c r="J76" s="136"/>
      <c r="K76" s="296"/>
    </row>
    <row r="77" spans="1:11" x14ac:dyDescent="0.35">
      <c r="A77" s="263"/>
      <c r="B77" s="256"/>
      <c r="C77" s="253"/>
      <c r="D77" s="136"/>
      <c r="E77" s="253"/>
      <c r="F77" s="256"/>
      <c r="G77" s="253"/>
      <c r="H77" s="136"/>
      <c r="I77" s="253"/>
      <c r="J77" s="136"/>
      <c r="K77" s="296"/>
    </row>
    <row r="78" spans="1:11" x14ac:dyDescent="0.35">
      <c r="A78" s="832" t="s">
        <v>949</v>
      </c>
      <c r="B78" s="833"/>
      <c r="C78" s="833"/>
      <c r="D78" s="833"/>
      <c r="E78" s="833"/>
      <c r="F78" s="833"/>
      <c r="G78" s="833"/>
      <c r="H78" s="833"/>
      <c r="I78" s="833"/>
      <c r="J78" s="833"/>
      <c r="K78" s="834"/>
    </row>
    <row r="79" spans="1:11" x14ac:dyDescent="0.35">
      <c r="A79" s="873"/>
      <c r="B79" s="840"/>
      <c r="C79" s="840"/>
      <c r="D79" s="840"/>
      <c r="E79" s="840"/>
      <c r="F79" s="840"/>
      <c r="G79" s="840"/>
      <c r="H79" s="840"/>
      <c r="I79" s="840"/>
      <c r="J79" s="840"/>
      <c r="K79" s="841"/>
    </row>
    <row r="80" spans="1:11" ht="16.2" x14ac:dyDescent="0.35">
      <c r="A80" s="885"/>
      <c r="B80" s="850"/>
      <c r="C80" s="850"/>
      <c r="D80" s="850"/>
      <c r="E80" s="850"/>
      <c r="F80" s="850"/>
      <c r="G80" s="850"/>
      <c r="H80" s="850"/>
      <c r="I80" s="850"/>
      <c r="J80" s="850"/>
      <c r="K80" s="851"/>
    </row>
    <row r="81" spans="1:12" x14ac:dyDescent="0.35">
      <c r="A81" s="659"/>
      <c r="B81" s="136"/>
      <c r="C81" s="136"/>
      <c r="D81" s="136"/>
      <c r="E81" s="136"/>
      <c r="F81" s="136"/>
      <c r="G81" s="136"/>
      <c r="H81" s="136"/>
      <c r="I81" s="136"/>
      <c r="J81" s="136"/>
      <c r="K81" s="79"/>
      <c r="L81" s="76"/>
    </row>
    <row r="82" spans="1:12" x14ac:dyDescent="0.35">
      <c r="A82" s="832" t="s">
        <v>950</v>
      </c>
      <c r="B82" s="833"/>
      <c r="C82" s="833"/>
      <c r="D82" s="833"/>
      <c r="E82" s="833"/>
      <c r="F82" s="833"/>
      <c r="G82" s="833"/>
      <c r="H82" s="833"/>
      <c r="I82" s="833"/>
      <c r="J82" s="833"/>
      <c r="K82" s="834"/>
    </row>
    <row r="83" spans="1:12" x14ac:dyDescent="0.35">
      <c r="A83" s="2020"/>
      <c r="B83" s="882"/>
      <c r="C83" s="882"/>
      <c r="D83" s="882"/>
      <c r="E83" s="882"/>
      <c r="F83" s="882"/>
      <c r="G83" s="882"/>
      <c r="H83" s="882"/>
      <c r="I83" s="882"/>
      <c r="J83" s="882"/>
      <c r="K83" s="2021"/>
    </row>
    <row r="84" spans="1:12" ht="16.2" x14ac:dyDescent="0.35">
      <c r="A84" s="885"/>
      <c r="B84" s="850"/>
      <c r="C84" s="850"/>
      <c r="D84" s="850"/>
      <c r="E84" s="850"/>
      <c r="F84" s="850"/>
      <c r="G84" s="850"/>
      <c r="H84" s="850"/>
      <c r="I84" s="850"/>
      <c r="J84" s="850"/>
      <c r="K84" s="851"/>
    </row>
    <row r="85" spans="1:12" x14ac:dyDescent="0.35"/>
    <row r="86" spans="1:12" x14ac:dyDescent="0.35"/>
  </sheetData>
  <sheetProtection password="813F" sheet="1" objects="1" scenarios="1" selectLockedCells="1"/>
  <customSheetViews>
    <customSheetView guid="{51165254-F18A-4CD1-9981-8F2DE14CC76C}" showGridLines="0" fitToPage="1" hiddenRows="1" hiddenColumns="1" showRuler="0" topLeftCell="A37">
      <selection activeCell="D41" sqref="D41"/>
      <pageMargins left="0.78740157480314965" right="0.78740157480314965" top="0.98425196850393704" bottom="0.98425196850393704" header="0.51181102362204722" footer="0.51181102362204722"/>
      <printOptions horizontalCentered="1" verticalCentered="1"/>
      <pageSetup paperSize="9" scale="53" orientation="portrait" r:id="rId1"/>
      <headerFooter alignWithMargins="0">
        <oddHeader>&amp;L&amp;F</oddHeader>
        <oddFooter xml:space="preserve">&amp;LDAF Dealer Business Plan&amp;CPrint date: &amp;D&amp;R&amp;P/&amp;N | DAF Trucks NV    </oddFooter>
      </headerFooter>
    </customSheetView>
  </customSheetViews>
  <mergeCells count="5">
    <mergeCell ref="A7:K29"/>
    <mergeCell ref="A32:B32"/>
    <mergeCell ref="C32:E32"/>
    <mergeCell ref="F32:H32"/>
    <mergeCell ref="I32:K32"/>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53"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tabColor indexed="11"/>
    <pageSetUpPr fitToPage="1"/>
  </sheetPr>
  <dimension ref="A1:AB65535"/>
  <sheetViews>
    <sheetView showGridLines="0" zoomScale="120" zoomScaleNormal="120" workbookViewId="0">
      <selection activeCell="C32" sqref="C32"/>
    </sheetView>
  </sheetViews>
  <sheetFormatPr baseColWidth="10" defaultColWidth="0" defaultRowHeight="14.4" zeroHeight="1" x14ac:dyDescent="0.35"/>
  <cols>
    <col min="1" max="10" width="13.44140625" style="45" customWidth="1"/>
    <col min="11" max="11" width="12.6640625" style="45" customWidth="1"/>
    <col min="12" max="12" width="1.44140625" style="44" customWidth="1"/>
    <col min="13" max="23" width="9.109375" style="168" hidden="1" customWidth="1"/>
    <col min="24" max="16384" width="9.109375" style="45" hidden="1"/>
  </cols>
  <sheetData>
    <row r="1" spans="1:12" ht="28.8" x14ac:dyDescent="0.55000000000000004">
      <c r="A1" s="200" t="str">
        <f>'5.0 Economy'!A1</f>
        <v xml:space="preserve">Market Analysis </v>
      </c>
      <c r="B1" s="201"/>
      <c r="C1" s="201"/>
      <c r="D1" s="201"/>
      <c r="E1" s="201"/>
      <c r="F1" s="201"/>
      <c r="G1" s="201"/>
      <c r="H1" s="201"/>
      <c r="I1" s="201"/>
      <c r="J1" s="201"/>
      <c r="K1" s="202" t="s">
        <v>948</v>
      </c>
    </row>
    <row r="2" spans="1:12" x14ac:dyDescent="0.35">
      <c r="A2" s="135"/>
      <c r="B2" s="169"/>
      <c r="C2" s="170"/>
      <c r="D2" s="171"/>
      <c r="E2" s="172"/>
      <c r="F2" s="136"/>
      <c r="G2" s="136"/>
      <c r="H2" s="173"/>
      <c r="I2" s="171"/>
      <c r="J2" s="171"/>
      <c r="K2" s="174"/>
    </row>
    <row r="3" spans="1:12" x14ac:dyDescent="0.35">
      <c r="A3" s="135" t="s">
        <v>1049</v>
      </c>
      <c r="B3" s="169"/>
      <c r="C3" s="164" t="str">
        <f>'Reference sheet'!C12</f>
        <v>TRUCK INTERNATIONAL MOBILITY SA</v>
      </c>
      <c r="D3" s="171"/>
      <c r="E3" s="172"/>
      <c r="F3" s="136"/>
      <c r="G3" s="175" t="s">
        <v>1037</v>
      </c>
      <c r="H3" s="176" t="str">
        <f>'Reference sheet'!C17</f>
        <v>October</v>
      </c>
      <c r="I3" s="863">
        <f>'Reference sheet'!D17</f>
        <v>2018</v>
      </c>
      <c r="J3" s="175" t="s">
        <v>1036</v>
      </c>
      <c r="K3" s="177">
        <f>'Reference sheet'!C15</f>
        <v>2</v>
      </c>
    </row>
    <row r="4" spans="1:12" x14ac:dyDescent="0.35">
      <c r="A4" s="145"/>
      <c r="B4" s="178"/>
      <c r="C4" s="146"/>
      <c r="D4" s="146"/>
      <c r="E4" s="146"/>
      <c r="F4" s="146"/>
      <c r="G4" s="179"/>
      <c r="H4" s="146"/>
      <c r="I4" s="146"/>
      <c r="J4" s="146"/>
      <c r="K4" s="180"/>
    </row>
    <row r="5" spans="1:12" ht="13.2" hidden="1" customHeight="1" x14ac:dyDescent="0.35"/>
    <row r="6" spans="1:12" ht="13.2" customHeight="1" x14ac:dyDescent="0.35">
      <c r="A6" s="832" t="s">
        <v>642</v>
      </c>
      <c r="B6" s="833"/>
      <c r="C6" s="833"/>
      <c r="D6" s="833"/>
      <c r="E6" s="833"/>
      <c r="F6" s="833"/>
      <c r="G6" s="833"/>
      <c r="H6" s="833"/>
      <c r="I6" s="833"/>
      <c r="J6" s="833"/>
      <c r="K6" s="834"/>
    </row>
    <row r="7" spans="1:12" ht="13.2" hidden="1" customHeight="1" x14ac:dyDescent="0.35"/>
    <row r="8" spans="1:12" ht="17.25" customHeight="1" x14ac:dyDescent="0.35">
      <c r="A8" s="215" t="s">
        <v>511</v>
      </c>
      <c r="B8" s="892"/>
      <c r="C8" s="892"/>
      <c r="D8" s="893" t="s">
        <v>1069</v>
      </c>
      <c r="E8" s="894" t="s">
        <v>1071</v>
      </c>
      <c r="F8" s="894" t="s">
        <v>1074</v>
      </c>
      <c r="G8" s="894" t="s">
        <v>1075</v>
      </c>
      <c r="H8" s="894" t="s">
        <v>1076</v>
      </c>
      <c r="I8" s="894" t="s">
        <v>1077</v>
      </c>
      <c r="J8" s="894" t="s">
        <v>1078</v>
      </c>
      <c r="K8" s="2017" t="s">
        <v>43</v>
      </c>
    </row>
    <row r="9" spans="1:12" s="830" customFormat="1" ht="17.25" customHeight="1" x14ac:dyDescent="0.35">
      <c r="A9" s="2153" t="s">
        <v>512</v>
      </c>
      <c r="B9" s="2153"/>
      <c r="C9" s="199"/>
      <c r="D9" s="1398">
        <v>2</v>
      </c>
      <c r="E9" s="1398">
        <v>3</v>
      </c>
      <c r="F9" s="1398">
        <v>2</v>
      </c>
      <c r="G9" s="1398">
        <v>3</v>
      </c>
      <c r="H9" s="1398">
        <v>2</v>
      </c>
      <c r="I9" s="1398">
        <v>1</v>
      </c>
      <c r="J9" s="1398">
        <v>1</v>
      </c>
      <c r="K9" s="1398">
        <v>1</v>
      </c>
      <c r="L9" s="44"/>
    </row>
    <row r="10" spans="1:12" s="830" customFormat="1" ht="17.25" customHeight="1" x14ac:dyDescent="0.35">
      <c r="A10" s="199" t="s">
        <v>766</v>
      </c>
      <c r="B10" s="199"/>
      <c r="C10" s="199"/>
      <c r="D10" s="1398">
        <v>3</v>
      </c>
      <c r="E10" s="1398">
        <v>1</v>
      </c>
      <c r="F10" s="1398">
        <v>3</v>
      </c>
      <c r="G10" s="1398">
        <v>3</v>
      </c>
      <c r="H10" s="1398">
        <v>2</v>
      </c>
      <c r="I10" s="1398">
        <v>3</v>
      </c>
      <c r="J10" s="1398">
        <v>3</v>
      </c>
      <c r="K10" s="1398">
        <v>2</v>
      </c>
      <c r="L10" s="44"/>
    </row>
    <row r="11" spans="1:12" s="830" customFormat="1" ht="17.25" customHeight="1" x14ac:dyDescent="0.35">
      <c r="A11" s="199" t="s">
        <v>1147</v>
      </c>
      <c r="B11" s="199"/>
      <c r="C11" s="199"/>
      <c r="D11" s="1398">
        <v>1</v>
      </c>
      <c r="E11" s="1398">
        <v>2</v>
      </c>
      <c r="F11" s="1398">
        <v>2</v>
      </c>
      <c r="G11" s="1398">
        <v>2</v>
      </c>
      <c r="H11" s="1398">
        <v>3</v>
      </c>
      <c r="I11" s="1398">
        <v>2</v>
      </c>
      <c r="J11" s="1398">
        <v>1</v>
      </c>
      <c r="K11" s="1398">
        <v>2</v>
      </c>
      <c r="L11" s="44"/>
    </row>
    <row r="12" spans="1:12" s="830" customFormat="1" ht="17.25" customHeight="1" x14ac:dyDescent="0.35">
      <c r="A12" s="199" t="s">
        <v>1090</v>
      </c>
      <c r="B12" s="199"/>
      <c r="C12" s="199"/>
      <c r="D12" s="1398">
        <v>1</v>
      </c>
      <c r="E12" s="1398">
        <v>2</v>
      </c>
      <c r="F12" s="1398">
        <v>1</v>
      </c>
      <c r="G12" s="1398">
        <v>2</v>
      </c>
      <c r="H12" s="1398">
        <v>3</v>
      </c>
      <c r="I12" s="1398">
        <v>1</v>
      </c>
      <c r="J12" s="1398">
        <v>1</v>
      </c>
      <c r="K12" s="1398">
        <v>2</v>
      </c>
      <c r="L12" s="44"/>
    </row>
    <row r="13" spans="1:12" s="830" customFormat="1" ht="17.25" customHeight="1" x14ac:dyDescent="0.35">
      <c r="A13" s="199" t="s">
        <v>513</v>
      </c>
      <c r="B13" s="199"/>
      <c r="C13" s="199"/>
      <c r="D13" s="1398">
        <v>1</v>
      </c>
      <c r="E13" s="1398">
        <v>1</v>
      </c>
      <c r="F13" s="1398">
        <v>2</v>
      </c>
      <c r="G13" s="1398">
        <v>2</v>
      </c>
      <c r="H13" s="1398">
        <v>3</v>
      </c>
      <c r="I13" s="1398">
        <v>3</v>
      </c>
      <c r="J13" s="1398">
        <v>3</v>
      </c>
      <c r="K13" s="1398">
        <v>1</v>
      </c>
      <c r="L13" s="44"/>
    </row>
    <row r="14" spans="1:12" s="830" customFormat="1" ht="17.25" customHeight="1" x14ac:dyDescent="0.35">
      <c r="A14" s="199" t="s">
        <v>575</v>
      </c>
      <c r="B14" s="199"/>
      <c r="C14" s="199"/>
      <c r="D14" s="1398">
        <v>1</v>
      </c>
      <c r="E14" s="1398">
        <v>2</v>
      </c>
      <c r="F14" s="1398">
        <v>1</v>
      </c>
      <c r="G14" s="1398">
        <v>2</v>
      </c>
      <c r="H14" s="1398">
        <v>3</v>
      </c>
      <c r="I14" s="1398">
        <v>1</v>
      </c>
      <c r="J14" s="1398">
        <v>1</v>
      </c>
      <c r="K14" s="1398">
        <v>2</v>
      </c>
      <c r="L14" s="44"/>
    </row>
    <row r="15" spans="1:12" s="830" customFormat="1" ht="17.25" customHeight="1" x14ac:dyDescent="0.35">
      <c r="A15" s="199" t="s">
        <v>514</v>
      </c>
      <c r="B15" s="199"/>
      <c r="C15" s="199"/>
      <c r="D15" s="1398">
        <v>1</v>
      </c>
      <c r="E15" s="1398">
        <v>1</v>
      </c>
      <c r="F15" s="1398">
        <v>2</v>
      </c>
      <c r="G15" s="1398">
        <v>2</v>
      </c>
      <c r="H15" s="1398">
        <v>3</v>
      </c>
      <c r="I15" s="1398">
        <v>3</v>
      </c>
      <c r="J15" s="1398">
        <v>3</v>
      </c>
      <c r="K15" s="1398">
        <v>1</v>
      </c>
      <c r="L15" s="44"/>
    </row>
    <row r="16" spans="1:12" s="830" customFormat="1" ht="17.25" customHeight="1" x14ac:dyDescent="0.35">
      <c r="A16" s="199" t="s">
        <v>1150</v>
      </c>
      <c r="B16" s="199"/>
      <c r="C16" s="199"/>
      <c r="D16" s="1398">
        <v>1</v>
      </c>
      <c r="E16" s="1398">
        <v>3</v>
      </c>
      <c r="F16" s="1398">
        <v>3</v>
      </c>
      <c r="G16" s="1398">
        <v>3</v>
      </c>
      <c r="H16" s="1398">
        <v>3</v>
      </c>
      <c r="I16" s="1398">
        <v>3</v>
      </c>
      <c r="J16" s="1398">
        <v>3</v>
      </c>
      <c r="K16" s="1398">
        <v>2</v>
      </c>
      <c r="L16" s="44"/>
    </row>
    <row r="17" spans="1:28" s="830" customFormat="1" ht="17.25" customHeight="1" x14ac:dyDescent="0.35">
      <c r="A17" s="199" t="s">
        <v>768</v>
      </c>
      <c r="B17" s="199"/>
      <c r="C17" s="199"/>
      <c r="D17" s="1398">
        <v>1</v>
      </c>
      <c r="E17" s="1398">
        <v>3</v>
      </c>
      <c r="F17" s="1398">
        <v>2</v>
      </c>
      <c r="G17" s="1398">
        <v>2</v>
      </c>
      <c r="H17" s="1398">
        <v>3</v>
      </c>
      <c r="I17" s="1398">
        <v>1</v>
      </c>
      <c r="J17" s="1398">
        <v>1</v>
      </c>
      <c r="K17" s="1398">
        <v>3</v>
      </c>
      <c r="L17" s="44"/>
    </row>
    <row r="18" spans="1:28" s="830" customFormat="1" ht="17.25" customHeight="1" thickBot="1" x14ac:dyDescent="0.4">
      <c r="A18" s="199" t="s">
        <v>767</v>
      </c>
      <c r="B18" s="199"/>
      <c r="C18" s="199"/>
      <c r="D18" s="1398">
        <v>2</v>
      </c>
      <c r="E18" s="1398">
        <v>2</v>
      </c>
      <c r="F18" s="1398">
        <v>2</v>
      </c>
      <c r="G18" s="1398">
        <v>2</v>
      </c>
      <c r="H18" s="1398">
        <v>2</v>
      </c>
      <c r="I18" s="1398">
        <v>3</v>
      </c>
      <c r="J18" s="1398">
        <v>2</v>
      </c>
      <c r="K18" s="1398">
        <v>2</v>
      </c>
      <c r="L18" s="44"/>
    </row>
    <row r="19" spans="1:28" s="890" customFormat="1" ht="17.25" customHeight="1" thickTop="1" x14ac:dyDescent="0.35">
      <c r="A19" s="1399"/>
      <c r="B19" s="1399"/>
      <c r="C19" s="413" t="s">
        <v>626</v>
      </c>
      <c r="D19" s="889">
        <f t="shared" ref="D19:K19" si="0">SUM(D9:D18)</f>
        <v>14</v>
      </c>
      <c r="E19" s="889">
        <f t="shared" si="0"/>
        <v>20</v>
      </c>
      <c r="F19" s="889">
        <f t="shared" si="0"/>
        <v>20</v>
      </c>
      <c r="G19" s="889">
        <f t="shared" si="0"/>
        <v>23</v>
      </c>
      <c r="H19" s="889">
        <f t="shared" si="0"/>
        <v>27</v>
      </c>
      <c r="I19" s="889">
        <f t="shared" si="0"/>
        <v>21</v>
      </c>
      <c r="J19" s="889">
        <f t="shared" si="0"/>
        <v>19</v>
      </c>
      <c r="K19" s="889">
        <f t="shared" si="0"/>
        <v>18</v>
      </c>
      <c r="L19" s="1578"/>
      <c r="X19" s="830"/>
      <c r="Y19" s="830"/>
      <c r="Z19" s="830"/>
      <c r="AA19" s="830"/>
      <c r="AB19" s="830"/>
    </row>
    <row r="20" spans="1:28" x14ac:dyDescent="0.35">
      <c r="A20" s="891">
        <v>3</v>
      </c>
      <c r="B20" s="891" t="s">
        <v>894</v>
      </c>
      <c r="C20" s="199"/>
      <c r="D20" s="199"/>
      <c r="E20" s="199"/>
      <c r="F20" s="199"/>
      <c r="G20" s="199"/>
      <c r="H20" s="199"/>
      <c r="I20" s="199"/>
      <c r="J20" s="199"/>
      <c r="K20" s="199"/>
    </row>
    <row r="21" spans="1:28" x14ac:dyDescent="0.35">
      <c r="A21" s="891">
        <v>2</v>
      </c>
      <c r="B21" s="891" t="s">
        <v>895</v>
      </c>
      <c r="C21" s="199"/>
      <c r="D21" s="199"/>
      <c r="E21" s="199"/>
      <c r="F21" s="199"/>
      <c r="G21" s="199"/>
      <c r="H21" s="199"/>
      <c r="I21" s="199"/>
      <c r="J21" s="199"/>
      <c r="K21" s="199"/>
    </row>
    <row r="22" spans="1:28" x14ac:dyDescent="0.35">
      <c r="A22" s="891">
        <v>1</v>
      </c>
      <c r="B22" s="891" t="s">
        <v>896</v>
      </c>
      <c r="C22" s="199"/>
      <c r="D22" s="199"/>
      <c r="E22" s="199"/>
      <c r="F22" s="199"/>
      <c r="G22" s="199"/>
      <c r="H22" s="199"/>
      <c r="I22" s="199"/>
      <c r="J22" s="199"/>
      <c r="K22" s="199"/>
    </row>
    <row r="23" spans="1:28" hidden="1" x14ac:dyDescent="0.35">
      <c r="A23" s="837"/>
      <c r="B23" s="837"/>
      <c r="C23" s="837"/>
      <c r="D23" s="837"/>
      <c r="E23" s="837"/>
      <c r="F23" s="837"/>
      <c r="G23" s="837"/>
      <c r="H23" s="837"/>
      <c r="I23" s="837"/>
      <c r="J23" s="837"/>
      <c r="K23" s="837"/>
    </row>
    <row r="24" spans="1:28" hidden="1" x14ac:dyDescent="0.35">
      <c r="A24" s="837"/>
      <c r="B24" s="837"/>
      <c r="C24" s="837"/>
      <c r="D24" s="837"/>
      <c r="E24" s="837"/>
      <c r="F24" s="837"/>
      <c r="G24" s="837"/>
      <c r="H24" s="837"/>
      <c r="I24" s="837"/>
      <c r="J24" s="837"/>
      <c r="K24" s="837"/>
    </row>
    <row r="25" spans="1:28" s="838" customFormat="1" x14ac:dyDescent="0.35">
      <c r="A25" s="832" t="s">
        <v>759</v>
      </c>
      <c r="B25" s="833"/>
      <c r="C25" s="833"/>
      <c r="D25" s="833"/>
      <c r="E25" s="833"/>
      <c r="F25" s="833"/>
      <c r="G25" s="833"/>
      <c r="H25" s="833"/>
      <c r="I25" s="833"/>
      <c r="J25" s="833"/>
      <c r="K25" s="834"/>
      <c r="L25" s="1563"/>
    </row>
    <row r="26" spans="1:28" x14ac:dyDescent="0.35">
      <c r="A26" s="853" t="s">
        <v>1377</v>
      </c>
      <c r="B26" s="854"/>
      <c r="C26" s="854"/>
      <c r="D26" s="854"/>
      <c r="E26" s="854"/>
      <c r="F26" s="854"/>
      <c r="G26" s="854"/>
      <c r="H26" s="854"/>
      <c r="I26" s="854"/>
      <c r="J26" s="854"/>
      <c r="K26" s="855"/>
    </row>
    <row r="27" spans="1:28" x14ac:dyDescent="0.35">
      <c r="A27" s="856"/>
      <c r="B27" s="852"/>
      <c r="C27" s="852"/>
      <c r="D27" s="852"/>
      <c r="E27" s="852"/>
      <c r="F27" s="852"/>
      <c r="G27" s="852"/>
      <c r="H27" s="852"/>
      <c r="I27" s="852"/>
      <c r="J27" s="852"/>
      <c r="K27" s="857"/>
    </row>
    <row r="28" spans="1:28" x14ac:dyDescent="0.35">
      <c r="A28" s="858"/>
      <c r="B28" s="859"/>
      <c r="C28" s="859"/>
      <c r="D28" s="859"/>
      <c r="E28" s="859"/>
      <c r="F28" s="859"/>
      <c r="G28" s="859"/>
      <c r="H28" s="859"/>
      <c r="I28" s="859"/>
      <c r="J28" s="859"/>
      <c r="K28" s="860"/>
      <c r="L28" s="98"/>
    </row>
    <row r="29" spans="1:28" x14ac:dyDescent="0.35">
      <c r="A29" s="225"/>
      <c r="B29" s="231"/>
      <c r="C29" s="231"/>
      <c r="D29" s="231"/>
      <c r="E29" s="231"/>
      <c r="F29" s="231"/>
      <c r="G29" s="231"/>
      <c r="H29" s="231"/>
      <c r="I29" s="231"/>
      <c r="J29" s="231"/>
      <c r="K29" s="225"/>
    </row>
    <row r="30" spans="1:28" hidden="1" x14ac:dyDescent="0.35"/>
    <row r="31" spans="1:28" x14ac:dyDescent="0.35">
      <c r="A31" s="832" t="s">
        <v>760</v>
      </c>
      <c r="B31" s="833"/>
      <c r="C31" s="833"/>
      <c r="D31" s="833"/>
      <c r="E31" s="833"/>
      <c r="F31" s="833"/>
      <c r="G31" s="833"/>
      <c r="H31" s="833"/>
      <c r="I31" s="833"/>
      <c r="J31" s="833"/>
      <c r="K31" s="834"/>
    </row>
    <row r="32" spans="1:28" x14ac:dyDescent="0.35">
      <c r="A32" s="853" t="s">
        <v>1289</v>
      </c>
      <c r="B32" s="854"/>
      <c r="C32" s="854"/>
      <c r="D32" s="854"/>
      <c r="E32" s="854"/>
      <c r="F32" s="854"/>
      <c r="G32" s="854"/>
      <c r="H32" s="854"/>
      <c r="I32" s="854"/>
      <c r="J32" s="854"/>
      <c r="K32" s="855"/>
    </row>
    <row r="33" spans="1:12" x14ac:dyDescent="0.35">
      <c r="A33" s="856"/>
      <c r="B33" s="852"/>
      <c r="C33" s="852"/>
      <c r="D33" s="852"/>
      <c r="E33" s="852"/>
      <c r="F33" s="852"/>
      <c r="G33" s="852"/>
      <c r="H33" s="852"/>
      <c r="I33" s="852"/>
      <c r="J33" s="852"/>
      <c r="K33" s="857"/>
    </row>
    <row r="34" spans="1:12" x14ac:dyDescent="0.35">
      <c r="A34" s="858"/>
      <c r="B34" s="859"/>
      <c r="C34" s="859"/>
      <c r="D34" s="859"/>
      <c r="E34" s="859"/>
      <c r="F34" s="859"/>
      <c r="G34" s="859"/>
      <c r="H34" s="859"/>
      <c r="I34" s="859"/>
      <c r="J34" s="859"/>
      <c r="K34" s="860"/>
    </row>
    <row r="35" spans="1:12" x14ac:dyDescent="0.35">
      <c r="A35" s="227"/>
      <c r="B35" s="227"/>
      <c r="C35" s="227"/>
      <c r="D35" s="227"/>
      <c r="E35" s="227"/>
      <c r="F35" s="227"/>
      <c r="G35" s="227"/>
      <c r="H35" s="227"/>
      <c r="I35" s="227"/>
      <c r="J35" s="227"/>
      <c r="K35" s="227"/>
      <c r="L35" s="76"/>
    </row>
    <row r="48" spans="1:12" hidden="1" x14ac:dyDescent="0.35"/>
    <row r="65535" spans="2:10" hidden="1" x14ac:dyDescent="0.35">
      <c r="B65535" s="136"/>
      <c r="H65535" s="136"/>
      <c r="I65535" s="136"/>
      <c r="J65535" s="136"/>
    </row>
  </sheetData>
  <sheetProtection password="813F" sheet="1" objects="1" scenarios="1" selectLockedCells="1"/>
  <customSheetViews>
    <customSheetView guid="{51165254-F18A-4CD1-9981-8F2DE14CC76C}" showGridLines="0" fitToPage="1" hiddenRows="1" hiddenColumns="1" showRuler="0">
      <selection activeCell="D18" sqref="D18"/>
      <pageMargins left="0.78740157480314965" right="0.78740157480314965" top="0.98425196850393704" bottom="0.98425196850393704" header="0.51181102362204722" footer="0.51181102362204722"/>
      <printOptions horizontalCentered="1" verticalCentered="1"/>
      <pageSetup paperSize="9" scale="58" orientation="portrait" r:id="rId1"/>
      <headerFooter alignWithMargins="0">
        <oddHeader>&amp;L&amp;F</oddHeader>
        <oddFooter xml:space="preserve">&amp;LDAF Dealer Business Plan&amp;CPrint date: &amp;D&amp;R&amp;P/&amp;N | DAF Trucks NV    </oddFooter>
      </headerFooter>
    </customSheetView>
  </customSheetViews>
  <mergeCells count="1">
    <mergeCell ref="A9:B9"/>
  </mergeCells>
  <phoneticPr fontId="11" type="noConversion"/>
  <conditionalFormatting sqref="K8">
    <cfRule type="cellIs" dxfId="1" priority="1" stopIfTrue="1" operator="equal">
      <formula>"Other"</formula>
    </cfRule>
  </conditionalFormatting>
  <dataValidations count="1">
    <dataValidation type="list" allowBlank="1" showInputMessage="1" showErrorMessage="1" sqref="D9:K18">
      <formula1>$A$19:$A$22</formula1>
    </dataValidation>
  </dataValidations>
  <printOptions horizontalCentered="1" verticalCentered="1"/>
  <pageMargins left="0.78740157480314965" right="0.78740157480314965" top="0.98425196850393704" bottom="0.98425196850393704" header="0.51181102362204722" footer="0.51181102362204722"/>
  <pageSetup paperSize="9" scale="59"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3">
    <tabColor indexed="11"/>
    <pageSetUpPr fitToPage="1"/>
  </sheetPr>
  <dimension ref="A1:AB63"/>
  <sheetViews>
    <sheetView showGridLines="0" topLeftCell="A14" workbookViewId="0">
      <selection activeCell="C62" sqref="C62:K62"/>
    </sheetView>
  </sheetViews>
  <sheetFormatPr baseColWidth="10" defaultColWidth="0" defaultRowHeight="14.4" zeroHeight="1" x14ac:dyDescent="0.35"/>
  <cols>
    <col min="1" max="11" width="14.33203125" style="45" customWidth="1"/>
    <col min="12" max="12" width="1.44140625" style="44" customWidth="1"/>
    <col min="13" max="28" width="9.109375" style="168" hidden="1" customWidth="1"/>
    <col min="29" max="16384" width="9.109375" style="45" hidden="1"/>
  </cols>
  <sheetData>
    <row r="1" spans="1:12" ht="28.8" x14ac:dyDescent="0.55000000000000004">
      <c r="A1" s="200" t="str">
        <f>'5.4.2 Comp. Analysis Table'!A1</f>
        <v xml:space="preserve">Market Analysis </v>
      </c>
      <c r="B1" s="201"/>
      <c r="C1" s="201"/>
      <c r="D1" s="201"/>
      <c r="E1" s="201"/>
      <c r="F1" s="201"/>
      <c r="G1" s="201"/>
      <c r="H1" s="201"/>
      <c r="I1" s="201"/>
      <c r="J1" s="201"/>
      <c r="K1" s="202" t="s">
        <v>530</v>
      </c>
    </row>
    <row r="2" spans="1:12" x14ac:dyDescent="0.35">
      <c r="A2" s="135"/>
      <c r="B2" s="169"/>
      <c r="C2" s="170"/>
      <c r="D2" s="171"/>
      <c r="E2" s="172"/>
      <c r="F2" s="136"/>
      <c r="G2" s="136"/>
      <c r="H2" s="173"/>
      <c r="I2" s="171"/>
      <c r="J2" s="171"/>
      <c r="K2" s="174"/>
    </row>
    <row r="3" spans="1:12" x14ac:dyDescent="0.35">
      <c r="A3" s="135" t="s">
        <v>1049</v>
      </c>
      <c r="B3" s="169"/>
      <c r="C3" s="164">
        <v>0</v>
      </c>
      <c r="D3" s="171"/>
      <c r="E3" s="172"/>
      <c r="F3" s="136"/>
      <c r="G3" s="175" t="s">
        <v>1037</v>
      </c>
      <c r="H3" s="862" t="str">
        <f>'Reference sheet'!C17</f>
        <v>October</v>
      </c>
      <c r="I3" s="863">
        <f>'Reference sheet'!D17</f>
        <v>2018</v>
      </c>
      <c r="J3" s="175" t="s">
        <v>1036</v>
      </c>
      <c r="K3" s="177">
        <v>0</v>
      </c>
    </row>
    <row r="4" spans="1:12" x14ac:dyDescent="0.35">
      <c r="A4" s="145"/>
      <c r="B4" s="178"/>
      <c r="C4" s="146"/>
      <c r="D4" s="146"/>
      <c r="E4" s="146"/>
      <c r="F4" s="146"/>
      <c r="G4" s="179"/>
      <c r="H4" s="146"/>
      <c r="I4" s="146"/>
      <c r="J4" s="146"/>
      <c r="K4" s="180"/>
    </row>
    <row r="5" spans="1:12" x14ac:dyDescent="0.35"/>
    <row r="6" spans="1:12" s="1432" customFormat="1" x14ac:dyDescent="0.35">
      <c r="A6" s="1518" t="s">
        <v>717</v>
      </c>
      <c r="B6" s="1519"/>
      <c r="C6" s="1519"/>
      <c r="D6" s="1519"/>
      <c r="E6" s="1519"/>
      <c r="F6" s="1519"/>
      <c r="G6" s="1519"/>
      <c r="H6" s="1519"/>
      <c r="I6" s="1519"/>
      <c r="J6" s="1519"/>
      <c r="K6" s="1520"/>
      <c r="L6" s="44"/>
    </row>
    <row r="7" spans="1:12" s="167" customFormat="1" x14ac:dyDescent="0.35">
      <c r="A7" s="215"/>
      <c r="B7" s="217"/>
      <c r="C7" s="217"/>
      <c r="D7" s="217"/>
      <c r="E7" s="217"/>
      <c r="F7" s="217"/>
      <c r="G7" s="217"/>
      <c r="H7" s="217"/>
      <c r="I7" s="217"/>
      <c r="J7" s="217"/>
      <c r="K7" s="218"/>
      <c r="L7" s="44"/>
    </row>
    <row r="8" spans="1:12" x14ac:dyDescent="0.35">
      <c r="A8" s="832" t="s">
        <v>1071</v>
      </c>
      <c r="B8" s="833"/>
      <c r="C8" s="833"/>
      <c r="D8" s="833"/>
      <c r="E8" s="833"/>
      <c r="F8" s="833"/>
      <c r="G8" s="833"/>
      <c r="H8" s="833"/>
      <c r="I8" s="833"/>
      <c r="J8" s="833"/>
      <c r="K8" s="834"/>
    </row>
    <row r="9" spans="1:12" x14ac:dyDescent="0.35">
      <c r="A9" s="267" t="s">
        <v>718</v>
      </c>
      <c r="B9" s="268"/>
      <c r="C9" s="2076" t="s">
        <v>1265</v>
      </c>
      <c r="D9" s="2077"/>
      <c r="E9" s="2077"/>
      <c r="F9" s="2077"/>
      <c r="G9" s="2077"/>
      <c r="H9" s="2077"/>
      <c r="I9" s="2077"/>
      <c r="J9" s="2077"/>
      <c r="K9" s="2078"/>
    </row>
    <row r="10" spans="1:12" x14ac:dyDescent="0.35">
      <c r="A10" s="221"/>
      <c r="B10" s="171"/>
      <c r="C10" s="2079" t="s">
        <v>1284</v>
      </c>
      <c r="D10" s="2080"/>
      <c r="E10" s="2080"/>
      <c r="F10" s="2080"/>
      <c r="G10" s="2080"/>
      <c r="H10" s="2080"/>
      <c r="I10" s="2080"/>
      <c r="J10" s="2080"/>
      <c r="K10" s="2081"/>
    </row>
    <row r="11" spans="1:12" x14ac:dyDescent="0.35">
      <c r="A11" s="221"/>
      <c r="B11" s="171"/>
      <c r="C11" s="2079" t="s">
        <v>1266</v>
      </c>
      <c r="D11" s="2080"/>
      <c r="E11" s="2080"/>
      <c r="F11" s="2080"/>
      <c r="G11" s="2080"/>
      <c r="H11" s="2080"/>
      <c r="I11" s="2080"/>
      <c r="J11" s="2080"/>
      <c r="K11" s="2081"/>
    </row>
    <row r="12" spans="1:12" x14ac:dyDescent="0.35">
      <c r="A12" s="221" t="s">
        <v>719</v>
      </c>
      <c r="B12" s="171"/>
      <c r="C12" s="2079" t="s">
        <v>1267</v>
      </c>
      <c r="D12" s="2080"/>
      <c r="E12" s="2080"/>
      <c r="F12" s="2080"/>
      <c r="G12" s="2080"/>
      <c r="H12" s="2080"/>
      <c r="I12" s="2080"/>
      <c r="J12" s="2080"/>
      <c r="K12" s="2081"/>
    </row>
    <row r="13" spans="1:12" x14ac:dyDescent="0.35">
      <c r="A13" s="221"/>
      <c r="B13" s="171"/>
      <c r="C13" s="2079" t="s">
        <v>1268</v>
      </c>
      <c r="D13" s="2080"/>
      <c r="E13" s="2080"/>
      <c r="F13" s="2080"/>
      <c r="G13" s="2080"/>
      <c r="H13" s="2080"/>
      <c r="I13" s="2080"/>
      <c r="J13" s="2080"/>
      <c r="K13" s="2081"/>
    </row>
    <row r="14" spans="1:12" x14ac:dyDescent="0.35">
      <c r="A14" s="223"/>
      <c r="B14" s="224"/>
      <c r="C14" s="2073" t="s">
        <v>1269</v>
      </c>
      <c r="D14" s="2074"/>
      <c r="E14" s="2074"/>
      <c r="F14" s="2074"/>
      <c r="G14" s="2074"/>
      <c r="H14" s="2074"/>
      <c r="I14" s="2074"/>
      <c r="J14" s="2074"/>
      <c r="K14" s="2075"/>
    </row>
    <row r="15" spans="1:12" hidden="1" x14ac:dyDescent="0.35"/>
    <row r="16" spans="1:12" x14ac:dyDescent="0.35">
      <c r="A16" s="832" t="s">
        <v>1074</v>
      </c>
      <c r="B16" s="833"/>
      <c r="C16" s="833"/>
      <c r="D16" s="833"/>
      <c r="E16" s="833"/>
      <c r="F16" s="833"/>
      <c r="G16" s="833"/>
      <c r="H16" s="833"/>
      <c r="I16" s="833"/>
      <c r="J16" s="833"/>
      <c r="K16" s="834"/>
    </row>
    <row r="17" spans="1:11" x14ac:dyDescent="0.35">
      <c r="A17" s="267" t="s">
        <v>718</v>
      </c>
      <c r="B17" s="268"/>
      <c r="C17" s="2076" t="s">
        <v>1270</v>
      </c>
      <c r="D17" s="2077"/>
      <c r="E17" s="2077"/>
      <c r="F17" s="2077"/>
      <c r="G17" s="2077"/>
      <c r="H17" s="2077"/>
      <c r="I17" s="2077"/>
      <c r="J17" s="2077"/>
      <c r="K17" s="2078"/>
    </row>
    <row r="18" spans="1:11" x14ac:dyDescent="0.35">
      <c r="A18" s="221"/>
      <c r="B18" s="171"/>
      <c r="C18" s="2079" t="s">
        <v>1271</v>
      </c>
      <c r="D18" s="2080"/>
      <c r="E18" s="2080"/>
      <c r="F18" s="2080"/>
      <c r="G18" s="2080"/>
      <c r="H18" s="2080"/>
      <c r="I18" s="2080"/>
      <c r="J18" s="2080"/>
      <c r="K18" s="2081"/>
    </row>
    <row r="19" spans="1:11" x14ac:dyDescent="0.35">
      <c r="A19" s="221"/>
      <c r="B19" s="171"/>
      <c r="C19" s="2079" t="s">
        <v>1283</v>
      </c>
      <c r="D19" s="2080"/>
      <c r="E19" s="2080"/>
      <c r="F19" s="2080"/>
      <c r="G19" s="2080"/>
      <c r="H19" s="2080"/>
      <c r="I19" s="2080"/>
      <c r="J19" s="2080"/>
      <c r="K19" s="2081"/>
    </row>
    <row r="20" spans="1:11" x14ac:dyDescent="0.35">
      <c r="A20" s="221" t="s">
        <v>719</v>
      </c>
      <c r="B20" s="171"/>
      <c r="C20" s="2079" t="s">
        <v>1272</v>
      </c>
      <c r="D20" s="2080"/>
      <c r="E20" s="2080"/>
      <c r="F20" s="2080"/>
      <c r="G20" s="2080"/>
      <c r="H20" s="2080"/>
      <c r="I20" s="2080"/>
      <c r="J20" s="2080"/>
      <c r="K20" s="2081"/>
    </row>
    <row r="21" spans="1:11" x14ac:dyDescent="0.35">
      <c r="A21" s="221"/>
      <c r="B21" s="171"/>
      <c r="C21" s="2079" t="s">
        <v>1273</v>
      </c>
      <c r="D21" s="2080"/>
      <c r="E21" s="2080"/>
      <c r="F21" s="2080"/>
      <c r="G21" s="2080"/>
      <c r="H21" s="2080"/>
      <c r="I21" s="2080"/>
      <c r="J21" s="2080"/>
      <c r="K21" s="2081"/>
    </row>
    <row r="22" spans="1:11" x14ac:dyDescent="0.35">
      <c r="A22" s="223"/>
      <c r="B22" s="224"/>
      <c r="C22" s="2073" t="s">
        <v>1073</v>
      </c>
      <c r="D22" s="2074"/>
      <c r="E22" s="2074"/>
      <c r="F22" s="2074"/>
      <c r="G22" s="2074"/>
      <c r="H22" s="2074"/>
      <c r="I22" s="2074"/>
      <c r="J22" s="2074"/>
      <c r="K22" s="2075"/>
    </row>
    <row r="23" spans="1:11" hidden="1" x14ac:dyDescent="0.35"/>
    <row r="24" spans="1:11" x14ac:dyDescent="0.35">
      <c r="A24" s="832" t="s">
        <v>1075</v>
      </c>
      <c r="B24" s="833"/>
      <c r="C24" s="833"/>
      <c r="D24" s="833"/>
      <c r="E24" s="833"/>
      <c r="F24" s="833"/>
      <c r="G24" s="833"/>
      <c r="H24" s="833"/>
      <c r="I24" s="833"/>
      <c r="J24" s="833"/>
      <c r="K24" s="834"/>
    </row>
    <row r="25" spans="1:11" x14ac:dyDescent="0.35">
      <c r="A25" s="267" t="s">
        <v>718</v>
      </c>
      <c r="B25" s="268"/>
      <c r="C25" s="2076" t="s">
        <v>1274</v>
      </c>
      <c r="D25" s="2077"/>
      <c r="E25" s="2077"/>
      <c r="F25" s="2077"/>
      <c r="G25" s="2077"/>
      <c r="H25" s="2077"/>
      <c r="I25" s="2077"/>
      <c r="J25" s="2077"/>
      <c r="K25" s="2078"/>
    </row>
    <row r="26" spans="1:11" x14ac:dyDescent="0.35">
      <c r="A26" s="221"/>
      <c r="B26" s="171"/>
      <c r="C26" s="2079" t="s">
        <v>1275</v>
      </c>
      <c r="D26" s="2080"/>
      <c r="E26" s="2080"/>
      <c r="F26" s="2080"/>
      <c r="G26" s="2080"/>
      <c r="H26" s="2080"/>
      <c r="I26" s="2080"/>
      <c r="J26" s="2080"/>
      <c r="K26" s="2081"/>
    </row>
    <row r="27" spans="1:11" x14ac:dyDescent="0.35">
      <c r="A27" s="221"/>
      <c r="B27" s="171"/>
      <c r="C27" s="2079" t="s">
        <v>1276</v>
      </c>
      <c r="D27" s="2080"/>
      <c r="E27" s="2080"/>
      <c r="F27" s="2080"/>
      <c r="G27" s="2080"/>
      <c r="H27" s="2080"/>
      <c r="I27" s="2080"/>
      <c r="J27" s="2080"/>
      <c r="K27" s="2081"/>
    </row>
    <row r="28" spans="1:11" x14ac:dyDescent="0.35">
      <c r="A28" s="221" t="s">
        <v>719</v>
      </c>
      <c r="B28" s="171"/>
      <c r="C28" s="2079" t="s">
        <v>1272</v>
      </c>
      <c r="D28" s="2080"/>
      <c r="E28" s="2080"/>
      <c r="F28" s="2080"/>
      <c r="G28" s="2080"/>
      <c r="H28" s="2080"/>
      <c r="I28" s="2080"/>
      <c r="J28" s="2080"/>
      <c r="K28" s="2081"/>
    </row>
    <row r="29" spans="1:11" x14ac:dyDescent="0.35">
      <c r="A29" s="221"/>
      <c r="B29" s="171"/>
      <c r="C29" s="2079" t="s">
        <v>1072</v>
      </c>
      <c r="D29" s="2080"/>
      <c r="E29" s="2080"/>
      <c r="F29" s="2080"/>
      <c r="G29" s="2080"/>
      <c r="H29" s="2080"/>
      <c r="I29" s="2080"/>
      <c r="J29" s="2080"/>
      <c r="K29" s="2081"/>
    </row>
    <row r="30" spans="1:11" x14ac:dyDescent="0.35">
      <c r="A30" s="223"/>
      <c r="B30" s="224"/>
      <c r="C30" s="2073" t="s">
        <v>1073</v>
      </c>
      <c r="D30" s="2074"/>
      <c r="E30" s="2074"/>
      <c r="F30" s="2074"/>
      <c r="G30" s="2074"/>
      <c r="H30" s="2074"/>
      <c r="I30" s="2074"/>
      <c r="J30" s="2074"/>
      <c r="K30" s="2075"/>
    </row>
    <row r="31" spans="1:11" hidden="1" x14ac:dyDescent="0.35"/>
    <row r="32" spans="1:11" x14ac:dyDescent="0.35">
      <c r="A32" s="832" t="s">
        <v>1076</v>
      </c>
      <c r="B32" s="833"/>
      <c r="C32" s="833"/>
      <c r="D32" s="833"/>
      <c r="E32" s="833"/>
      <c r="F32" s="833"/>
      <c r="G32" s="833"/>
      <c r="H32" s="833"/>
      <c r="I32" s="833"/>
      <c r="J32" s="833"/>
      <c r="K32" s="834"/>
    </row>
    <row r="33" spans="1:12" x14ac:dyDescent="0.35">
      <c r="A33" s="267" t="s">
        <v>718</v>
      </c>
      <c r="B33" s="268"/>
      <c r="C33" s="2076" t="s">
        <v>1285</v>
      </c>
      <c r="D33" s="2077"/>
      <c r="E33" s="2077"/>
      <c r="F33" s="2077"/>
      <c r="G33" s="2077"/>
      <c r="H33" s="2077"/>
      <c r="I33" s="2077"/>
      <c r="J33" s="2077"/>
      <c r="K33" s="2078"/>
    </row>
    <row r="34" spans="1:12" x14ac:dyDescent="0.35">
      <c r="A34" s="221"/>
      <c r="B34" s="171"/>
      <c r="C34" s="2079" t="s">
        <v>1275</v>
      </c>
      <c r="D34" s="2080"/>
      <c r="E34" s="2080"/>
      <c r="F34" s="2080"/>
      <c r="G34" s="2080"/>
      <c r="H34" s="2080"/>
      <c r="I34" s="2080"/>
      <c r="J34" s="2080"/>
      <c r="K34" s="2081"/>
    </row>
    <row r="35" spans="1:12" x14ac:dyDescent="0.35">
      <c r="A35" s="221"/>
      <c r="B35" s="171"/>
      <c r="C35" s="2079" t="s">
        <v>1276</v>
      </c>
      <c r="D35" s="2080"/>
      <c r="E35" s="2080"/>
      <c r="F35" s="2080"/>
      <c r="G35" s="2080"/>
      <c r="H35" s="2080"/>
      <c r="I35" s="2080"/>
      <c r="J35" s="2080"/>
      <c r="K35" s="2081"/>
    </row>
    <row r="36" spans="1:12" x14ac:dyDescent="0.35">
      <c r="A36" s="221" t="s">
        <v>719</v>
      </c>
      <c r="B36" s="171"/>
      <c r="C36" s="2079" t="s">
        <v>1265</v>
      </c>
      <c r="D36" s="2080"/>
      <c r="E36" s="2080"/>
      <c r="F36" s="2080"/>
      <c r="G36" s="2080"/>
      <c r="H36" s="2080"/>
      <c r="I36" s="2080"/>
      <c r="J36" s="2080"/>
      <c r="K36" s="2081"/>
    </row>
    <row r="37" spans="1:12" x14ac:dyDescent="0.35">
      <c r="A37" s="221"/>
      <c r="B37" s="171"/>
      <c r="C37" s="2079" t="s">
        <v>1072</v>
      </c>
      <c r="D37" s="2080"/>
      <c r="E37" s="2080"/>
      <c r="F37" s="2080"/>
      <c r="G37" s="2080"/>
      <c r="H37" s="2080"/>
      <c r="I37" s="2080"/>
      <c r="J37" s="2080"/>
      <c r="K37" s="2081"/>
    </row>
    <row r="38" spans="1:12" x14ac:dyDescent="0.35">
      <c r="A38" s="223"/>
      <c r="B38" s="224"/>
      <c r="C38" s="2073" t="s">
        <v>1073</v>
      </c>
      <c r="D38" s="2074"/>
      <c r="E38" s="2074"/>
      <c r="F38" s="2074"/>
      <c r="G38" s="2074"/>
      <c r="H38" s="2074"/>
      <c r="I38" s="2074"/>
      <c r="J38" s="2074"/>
      <c r="K38" s="2075"/>
    </row>
    <row r="39" spans="1:12" hidden="1" x14ac:dyDescent="0.35"/>
    <row r="40" spans="1:12" x14ac:dyDescent="0.35">
      <c r="A40" s="832" t="s">
        <v>1077</v>
      </c>
      <c r="B40" s="833"/>
      <c r="C40" s="833"/>
      <c r="D40" s="833"/>
      <c r="E40" s="833"/>
      <c r="F40" s="833"/>
      <c r="G40" s="833"/>
      <c r="H40" s="833"/>
      <c r="I40" s="833"/>
      <c r="J40" s="833"/>
      <c r="K40" s="834"/>
    </row>
    <row r="41" spans="1:12" s="830" customFormat="1" x14ac:dyDescent="0.35">
      <c r="A41" s="267" t="s">
        <v>718</v>
      </c>
      <c r="B41" s="268"/>
      <c r="C41" s="2076" t="s">
        <v>1278</v>
      </c>
      <c r="D41" s="2077"/>
      <c r="E41" s="2077"/>
      <c r="F41" s="2077"/>
      <c r="G41" s="2077"/>
      <c r="H41" s="2077"/>
      <c r="I41" s="2077"/>
      <c r="J41" s="2077"/>
      <c r="K41" s="2078"/>
      <c r="L41" s="44"/>
    </row>
    <row r="42" spans="1:12" s="830" customFormat="1" x14ac:dyDescent="0.35">
      <c r="A42" s="221"/>
      <c r="B42" s="171"/>
      <c r="C42" s="2079" t="s">
        <v>1279</v>
      </c>
      <c r="D42" s="2154"/>
      <c r="E42" s="2154"/>
      <c r="F42" s="2154"/>
      <c r="G42" s="2154"/>
      <c r="H42" s="2154"/>
      <c r="I42" s="2154"/>
      <c r="J42" s="2154"/>
      <c r="K42" s="2081"/>
      <c r="L42" s="44"/>
    </row>
    <row r="43" spans="1:12" s="830" customFormat="1" x14ac:dyDescent="0.35">
      <c r="A43" s="221"/>
      <c r="B43" s="171"/>
      <c r="C43" s="2079" t="s">
        <v>1280</v>
      </c>
      <c r="D43" s="2154"/>
      <c r="E43" s="2154"/>
      <c r="F43" s="2154"/>
      <c r="G43" s="2154"/>
      <c r="H43" s="2154"/>
      <c r="I43" s="2154"/>
      <c r="J43" s="2154"/>
      <c r="K43" s="2081"/>
      <c r="L43" s="44"/>
    </row>
    <row r="44" spans="1:12" s="830" customFormat="1" x14ac:dyDescent="0.35">
      <c r="A44" s="221" t="s">
        <v>719</v>
      </c>
      <c r="B44" s="171"/>
      <c r="C44" s="2079" t="s">
        <v>1272</v>
      </c>
      <c r="D44" s="2154"/>
      <c r="E44" s="2154"/>
      <c r="F44" s="2154"/>
      <c r="G44" s="2154"/>
      <c r="H44" s="2154"/>
      <c r="I44" s="2154"/>
      <c r="J44" s="2154"/>
      <c r="K44" s="2081"/>
      <c r="L44" s="44"/>
    </row>
    <row r="45" spans="1:12" s="1269" customFormat="1" x14ac:dyDescent="0.35">
      <c r="A45" s="221"/>
      <c r="B45" s="171"/>
      <c r="C45" s="2079" t="s">
        <v>1273</v>
      </c>
      <c r="D45" s="2154"/>
      <c r="E45" s="2154"/>
      <c r="F45" s="2154"/>
      <c r="G45" s="2154"/>
      <c r="H45" s="2154"/>
      <c r="I45" s="2154"/>
      <c r="J45" s="2154"/>
      <c r="K45" s="2081"/>
      <c r="L45" s="1622"/>
    </row>
    <row r="46" spans="1:12" s="830" customFormat="1" x14ac:dyDescent="0.35">
      <c r="A46" s="223"/>
      <c r="B46" s="224"/>
      <c r="C46" s="2073" t="s">
        <v>1286</v>
      </c>
      <c r="D46" s="2074"/>
      <c r="E46" s="2074"/>
      <c r="F46" s="2074"/>
      <c r="G46" s="2074"/>
      <c r="H46" s="2074"/>
      <c r="I46" s="2074"/>
      <c r="J46" s="2074"/>
      <c r="K46" s="2075"/>
      <c r="L46" s="44"/>
    </row>
    <row r="47" spans="1:12" hidden="1" x14ac:dyDescent="0.35">
      <c r="C47" s="262"/>
      <c r="D47" s="262"/>
      <c r="E47" s="262"/>
      <c r="F47" s="262"/>
      <c r="G47" s="262"/>
      <c r="H47" s="262"/>
      <c r="I47" s="262"/>
      <c r="J47" s="262"/>
      <c r="K47" s="262"/>
    </row>
    <row r="48" spans="1:12" x14ac:dyDescent="0.35">
      <c r="A48" s="832" t="s">
        <v>1078</v>
      </c>
      <c r="B48" s="833"/>
      <c r="C48" s="833"/>
      <c r="D48" s="833"/>
      <c r="E48" s="833"/>
      <c r="F48" s="833"/>
      <c r="G48" s="833"/>
      <c r="H48" s="833"/>
      <c r="I48" s="833"/>
      <c r="J48" s="833"/>
      <c r="K48" s="834"/>
    </row>
    <row r="49" spans="1:11" x14ac:dyDescent="0.35">
      <c r="A49" s="267" t="s">
        <v>718</v>
      </c>
      <c r="B49" s="268"/>
      <c r="C49" s="2076" t="s">
        <v>1270</v>
      </c>
      <c r="D49" s="2077"/>
      <c r="E49" s="2077"/>
      <c r="F49" s="2077"/>
      <c r="G49" s="2077"/>
      <c r="H49" s="2077"/>
      <c r="I49" s="2077"/>
      <c r="J49" s="2077"/>
      <c r="K49" s="2078"/>
    </row>
    <row r="50" spans="1:11" x14ac:dyDescent="0.35">
      <c r="A50" s="221"/>
      <c r="B50" s="171"/>
      <c r="C50" s="2079" t="s">
        <v>1271</v>
      </c>
      <c r="D50" s="2080"/>
      <c r="E50" s="2080"/>
      <c r="F50" s="2080"/>
      <c r="G50" s="2080"/>
      <c r="H50" s="2080"/>
      <c r="I50" s="2080"/>
      <c r="J50" s="2080"/>
      <c r="K50" s="2081"/>
    </row>
    <row r="51" spans="1:11" x14ac:dyDescent="0.35">
      <c r="A51" s="221"/>
      <c r="B51" s="171"/>
      <c r="C51" s="2079" t="s">
        <v>1280</v>
      </c>
      <c r="D51" s="2080"/>
      <c r="E51" s="2080"/>
      <c r="F51" s="2080"/>
      <c r="G51" s="2080"/>
      <c r="H51" s="2080"/>
      <c r="I51" s="2080"/>
      <c r="J51" s="2080"/>
      <c r="K51" s="2081"/>
    </row>
    <row r="52" spans="1:11" x14ac:dyDescent="0.35">
      <c r="A52" s="221" t="s">
        <v>719</v>
      </c>
      <c r="B52" s="171"/>
      <c r="C52" s="2079" t="s">
        <v>1274</v>
      </c>
      <c r="D52" s="2080"/>
      <c r="E52" s="2080"/>
      <c r="F52" s="2080"/>
      <c r="G52" s="2080"/>
      <c r="H52" s="2080"/>
      <c r="I52" s="2080"/>
      <c r="J52" s="2080"/>
      <c r="K52" s="2081"/>
    </row>
    <row r="53" spans="1:11" x14ac:dyDescent="0.35">
      <c r="A53" s="221"/>
      <c r="B53" s="171"/>
      <c r="C53" s="2079" t="s">
        <v>1282</v>
      </c>
      <c r="D53" s="2080"/>
      <c r="E53" s="2080"/>
      <c r="F53" s="2080"/>
      <c r="G53" s="2080"/>
      <c r="H53" s="2080"/>
      <c r="I53" s="2080"/>
      <c r="J53" s="2080"/>
      <c r="K53" s="2081"/>
    </row>
    <row r="54" spans="1:11" x14ac:dyDescent="0.35">
      <c r="A54" s="223"/>
      <c r="B54" s="224"/>
      <c r="C54" s="2073" t="s">
        <v>1266</v>
      </c>
      <c r="D54" s="2074"/>
      <c r="E54" s="2074"/>
      <c r="F54" s="2074"/>
      <c r="G54" s="2074"/>
      <c r="H54" s="2074"/>
      <c r="I54" s="2074"/>
      <c r="J54" s="2074"/>
      <c r="K54" s="2075"/>
    </row>
    <row r="55" spans="1:11" hidden="1" x14ac:dyDescent="0.35"/>
    <row r="56" spans="1:11" x14ac:dyDescent="0.35">
      <c r="A56" s="832" t="s">
        <v>1079</v>
      </c>
      <c r="B56" s="833"/>
      <c r="C56" s="833"/>
      <c r="D56" s="833"/>
      <c r="E56" s="833"/>
      <c r="F56" s="833"/>
      <c r="G56" s="833"/>
      <c r="H56" s="833"/>
      <c r="I56" s="833"/>
      <c r="J56" s="833"/>
      <c r="K56" s="834"/>
    </row>
    <row r="57" spans="1:11" x14ac:dyDescent="0.35">
      <c r="A57" s="267" t="s">
        <v>718</v>
      </c>
      <c r="B57" s="268"/>
      <c r="C57" s="2076" t="s">
        <v>1277</v>
      </c>
      <c r="D57" s="2077"/>
      <c r="E57" s="2077"/>
      <c r="F57" s="2077"/>
      <c r="G57" s="2077"/>
      <c r="H57" s="2077"/>
      <c r="I57" s="2077"/>
      <c r="J57" s="2077"/>
      <c r="K57" s="2078"/>
    </row>
    <row r="58" spans="1:11" x14ac:dyDescent="0.35">
      <c r="A58" s="221"/>
      <c r="B58" s="171"/>
      <c r="C58" s="2079" t="s">
        <v>1282</v>
      </c>
      <c r="D58" s="2080"/>
      <c r="E58" s="2080"/>
      <c r="F58" s="2080"/>
      <c r="G58" s="2080"/>
      <c r="H58" s="2080"/>
      <c r="I58" s="2080"/>
      <c r="J58" s="2080"/>
      <c r="K58" s="2081"/>
    </row>
    <row r="59" spans="1:11" x14ac:dyDescent="0.35">
      <c r="A59" s="221"/>
      <c r="B59" s="171"/>
      <c r="C59" s="2079" t="s">
        <v>1287</v>
      </c>
      <c r="D59" s="2080"/>
      <c r="E59" s="2080"/>
      <c r="F59" s="2080"/>
      <c r="G59" s="2080"/>
      <c r="H59" s="2080"/>
      <c r="I59" s="2080"/>
      <c r="J59" s="2080"/>
      <c r="K59" s="2081"/>
    </row>
    <row r="60" spans="1:11" x14ac:dyDescent="0.35">
      <c r="A60" s="221" t="s">
        <v>719</v>
      </c>
      <c r="B60" s="171"/>
      <c r="C60" s="2079" t="s">
        <v>1281</v>
      </c>
      <c r="D60" s="2080"/>
      <c r="E60" s="2080"/>
      <c r="F60" s="2080"/>
      <c r="G60" s="2080"/>
      <c r="H60" s="2080"/>
      <c r="I60" s="2080"/>
      <c r="J60" s="2080"/>
      <c r="K60" s="2081"/>
    </row>
    <row r="61" spans="1:11" x14ac:dyDescent="0.35">
      <c r="A61" s="221"/>
      <c r="B61" s="171"/>
      <c r="C61" s="2079" t="s">
        <v>1271</v>
      </c>
      <c r="D61" s="2080"/>
      <c r="E61" s="2080"/>
      <c r="F61" s="2080"/>
      <c r="G61" s="2080"/>
      <c r="H61" s="2080"/>
      <c r="I61" s="2080"/>
      <c r="J61" s="2080"/>
      <c r="K61" s="2081"/>
    </row>
    <row r="62" spans="1:11" x14ac:dyDescent="0.35">
      <c r="A62" s="223"/>
      <c r="B62" s="224"/>
      <c r="C62" s="2073" t="s">
        <v>1288</v>
      </c>
      <c r="D62" s="2074"/>
      <c r="E62" s="2074"/>
      <c r="F62" s="2074"/>
      <c r="G62" s="2074"/>
      <c r="H62" s="2074"/>
      <c r="I62" s="2074"/>
      <c r="J62" s="2074"/>
      <c r="K62" s="2075"/>
    </row>
    <row r="63" spans="1:11" x14ac:dyDescent="0.35"/>
  </sheetData>
  <sheetProtection password="813F" sheet="1" objects="1" scenarios="1" selectLockedCells="1"/>
  <customSheetViews>
    <customSheetView guid="{51165254-F18A-4CD1-9981-8F2DE14CC76C}" showGridLines="0" fitToPage="1" hiddenRows="1" hiddenColumns="1" showRuler="0">
      <selection activeCell="C30" sqref="C30:K30"/>
      <pageMargins left="0.78740157480314965" right="0.78740157480314965" top="0.98425196850393704" bottom="0.98425196850393704" header="0.51181102362204722" footer="0.51181102362204722"/>
      <printOptions horizontalCentered="1" verticalCentered="1"/>
      <pageSetup paperSize="9" scale="55" orientation="portrait" r:id="rId1"/>
      <headerFooter alignWithMargins="0">
        <oddHeader>&amp;L&amp;F</oddHeader>
        <oddFooter xml:space="preserve">&amp;LDAF Dealer Business Plan&amp;CPrint date: &amp;D&amp;R&amp;P/&amp;N | DAF Trucks NV    </oddFooter>
      </headerFooter>
    </customSheetView>
  </customSheetViews>
  <mergeCells count="42">
    <mergeCell ref="C21:K21"/>
    <mergeCell ref="C22:K22"/>
    <mergeCell ref="C17:K17"/>
    <mergeCell ref="C18:K18"/>
    <mergeCell ref="C9:K9"/>
    <mergeCell ref="C10:K10"/>
    <mergeCell ref="C11:K11"/>
    <mergeCell ref="C12:K12"/>
    <mergeCell ref="C13:K13"/>
    <mergeCell ref="C14:K14"/>
    <mergeCell ref="C19:K19"/>
    <mergeCell ref="C20:K20"/>
    <mergeCell ref="C41:K41"/>
    <mergeCell ref="C37:K37"/>
    <mergeCell ref="C38:K38"/>
    <mergeCell ref="C25:K25"/>
    <mergeCell ref="C26:K26"/>
    <mergeCell ref="C27:K27"/>
    <mergeCell ref="C28:K28"/>
    <mergeCell ref="C29:K29"/>
    <mergeCell ref="C30:K30"/>
    <mergeCell ref="C33:K33"/>
    <mergeCell ref="C34:K34"/>
    <mergeCell ref="C35:K35"/>
    <mergeCell ref="C36:K36"/>
    <mergeCell ref="C42:K42"/>
    <mergeCell ref="C43:K43"/>
    <mergeCell ref="C44:K44"/>
    <mergeCell ref="C54:K54"/>
    <mergeCell ref="C46:K46"/>
    <mergeCell ref="C49:K49"/>
    <mergeCell ref="C50:K50"/>
    <mergeCell ref="C61:K61"/>
    <mergeCell ref="C62:K62"/>
    <mergeCell ref="C45:K45"/>
    <mergeCell ref="C57:K57"/>
    <mergeCell ref="C58:K58"/>
    <mergeCell ref="C59:K59"/>
    <mergeCell ref="C60:K60"/>
    <mergeCell ref="C51:K51"/>
    <mergeCell ref="C52:K52"/>
    <mergeCell ref="C53:K53"/>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55"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1">
    <tabColor indexed="11"/>
    <pageSetUpPr fitToPage="1"/>
  </sheetPr>
  <dimension ref="A1:Y89"/>
  <sheetViews>
    <sheetView showGridLines="0" topLeftCell="A17" zoomScale="120" zoomScaleNormal="120" workbookViewId="0">
      <selection activeCell="A8" sqref="A8:C8"/>
    </sheetView>
  </sheetViews>
  <sheetFormatPr baseColWidth="10" defaultColWidth="0" defaultRowHeight="14.4" zeroHeight="1" x14ac:dyDescent="0.35"/>
  <cols>
    <col min="1" max="13" width="12.44140625" style="45" customWidth="1"/>
    <col min="14" max="14" width="1.77734375" style="44" customWidth="1"/>
    <col min="15" max="25" width="12.44140625" style="168" hidden="1" customWidth="1"/>
    <col min="26" max="16384" width="12.44140625" style="45" hidden="1"/>
  </cols>
  <sheetData>
    <row r="1" spans="1:25" ht="28.8" x14ac:dyDescent="0.55000000000000004">
      <c r="A1" s="200" t="str">
        <f>'5.0 Economy'!A1</f>
        <v xml:space="preserve">Market Analysis </v>
      </c>
      <c r="B1" s="201"/>
      <c r="C1" s="201"/>
      <c r="D1" s="201"/>
      <c r="E1" s="201"/>
      <c r="F1" s="201"/>
      <c r="G1" s="201"/>
      <c r="H1" s="201"/>
      <c r="I1" s="201"/>
      <c r="J1" s="201"/>
      <c r="K1" s="201"/>
      <c r="L1" s="201"/>
      <c r="M1" s="202" t="s">
        <v>691</v>
      </c>
    </row>
    <row r="2" spans="1:25" x14ac:dyDescent="0.35">
      <c r="A2" s="897"/>
      <c r="B2" s="169"/>
      <c r="C2" s="895"/>
      <c r="D2" s="895"/>
      <c r="E2" s="895"/>
      <c r="F2" s="862"/>
      <c r="G2" s="862"/>
      <c r="H2" s="895"/>
      <c r="I2" s="895"/>
      <c r="J2" s="898"/>
      <c r="K2" s="895"/>
      <c r="L2" s="895"/>
      <c r="M2" s="899"/>
    </row>
    <row r="3" spans="1:25" x14ac:dyDescent="0.35">
      <c r="A3" s="897" t="s">
        <v>1049</v>
      </c>
      <c r="B3" s="169"/>
      <c r="C3" s="900" t="str">
        <f>'Reference sheet'!C12</f>
        <v>TRUCK INTERNATIONAL MOBILITY SA</v>
      </c>
      <c r="D3" s="900"/>
      <c r="E3" s="895"/>
      <c r="F3" s="862"/>
      <c r="G3" s="862"/>
      <c r="H3" s="917" t="s">
        <v>1037</v>
      </c>
      <c r="I3" s="901" t="str">
        <f>'Reference sheet'!C17</f>
        <v>October</v>
      </c>
      <c r="J3" s="916">
        <f>'Reference sheet'!D17</f>
        <v>2018</v>
      </c>
      <c r="K3" s="903" t="s">
        <v>1036</v>
      </c>
      <c r="L3" s="902"/>
      <c r="M3" s="904">
        <f>'Reference sheet'!C15</f>
        <v>2</v>
      </c>
    </row>
    <row r="4" spans="1:25" x14ac:dyDescent="0.35">
      <c r="A4" s="905"/>
      <c r="B4" s="906"/>
      <c r="C4" s="907"/>
      <c r="D4" s="907"/>
      <c r="E4" s="907"/>
      <c r="F4" s="907"/>
      <c r="G4" s="907"/>
      <c r="H4" s="907"/>
      <c r="I4" s="906"/>
      <c r="J4" s="907"/>
      <c r="K4" s="907"/>
      <c r="L4" s="907"/>
      <c r="M4" s="908"/>
    </row>
    <row r="5" spans="1:25" ht="13.2" hidden="1" customHeight="1" x14ac:dyDescent="0.35">
      <c r="A5" s="902"/>
      <c r="B5" s="902"/>
      <c r="C5" s="902"/>
      <c r="D5" s="902"/>
      <c r="E5" s="902"/>
      <c r="F5" s="902"/>
      <c r="G5" s="902"/>
      <c r="H5" s="902"/>
      <c r="I5" s="902"/>
      <c r="J5" s="902"/>
      <c r="K5" s="902"/>
      <c r="L5" s="902"/>
      <c r="M5" s="902"/>
    </row>
    <row r="6" spans="1:25" ht="13.2" customHeight="1" x14ac:dyDescent="0.35">
      <c r="A6" s="911" t="s">
        <v>1088</v>
      </c>
      <c r="B6" s="912"/>
      <c r="C6" s="912"/>
      <c r="D6" s="912"/>
      <c r="E6" s="912"/>
      <c r="F6" s="912"/>
      <c r="G6" s="896"/>
      <c r="H6" s="896"/>
      <c r="I6" s="896"/>
      <c r="J6" s="896"/>
      <c r="K6" s="912"/>
      <c r="L6" s="912"/>
      <c r="M6" s="913"/>
    </row>
    <row r="7" spans="1:25" ht="14.25" customHeight="1" x14ac:dyDescent="0.35">
      <c r="A7" s="910" t="s">
        <v>1089</v>
      </c>
      <c r="B7" s="909"/>
      <c r="C7" s="909"/>
      <c r="D7" s="2176" t="s">
        <v>1090</v>
      </c>
      <c r="E7" s="2112"/>
      <c r="F7" s="2112"/>
      <c r="G7" s="2176" t="s">
        <v>1091</v>
      </c>
      <c r="H7" s="2070"/>
      <c r="I7" s="2174" t="s">
        <v>524</v>
      </c>
      <c r="J7" s="2070"/>
      <c r="K7" s="2175" t="s">
        <v>1092</v>
      </c>
      <c r="L7" s="2173"/>
      <c r="M7" s="888" t="s">
        <v>1069</v>
      </c>
    </row>
    <row r="8" spans="1:25" s="199" customFormat="1" x14ac:dyDescent="0.35">
      <c r="A8" s="2165" t="s">
        <v>1384</v>
      </c>
      <c r="B8" s="2166"/>
      <c r="C8" s="2078"/>
      <c r="D8" s="2165" t="s">
        <v>1256</v>
      </c>
      <c r="E8" s="2077"/>
      <c r="F8" s="2078"/>
      <c r="G8" s="2157" t="s">
        <v>704</v>
      </c>
      <c r="H8" s="2158"/>
      <c r="I8" s="2159" t="s">
        <v>525</v>
      </c>
      <c r="J8" s="2160"/>
      <c r="K8" s="2170" t="s">
        <v>536</v>
      </c>
      <c r="L8" s="2171"/>
      <c r="M8" s="1400"/>
      <c r="N8" s="44"/>
      <c r="O8" s="168"/>
      <c r="P8" s="168"/>
      <c r="Q8" s="168"/>
      <c r="R8" s="168"/>
      <c r="S8" s="168"/>
      <c r="T8" s="168"/>
      <c r="U8" s="168"/>
      <c r="V8" s="168"/>
      <c r="W8" s="168"/>
      <c r="X8" s="168"/>
      <c r="Y8" s="168"/>
    </row>
    <row r="9" spans="1:25" x14ac:dyDescent="0.35">
      <c r="A9" s="2161" t="s">
        <v>1290</v>
      </c>
      <c r="B9" s="2162"/>
      <c r="C9" s="2081"/>
      <c r="D9" s="2161" t="s">
        <v>1256</v>
      </c>
      <c r="E9" s="2080"/>
      <c r="F9" s="2081"/>
      <c r="G9" s="2157" t="s">
        <v>704</v>
      </c>
      <c r="H9" s="2158"/>
      <c r="I9" s="2159" t="s">
        <v>525</v>
      </c>
      <c r="J9" s="2160"/>
      <c r="K9" s="2157" t="s">
        <v>630</v>
      </c>
      <c r="L9" s="2158"/>
      <c r="M9" s="1401"/>
    </row>
    <row r="10" spans="1:25" ht="13.2" customHeight="1" x14ac:dyDescent="0.35">
      <c r="A10" s="2161" t="s">
        <v>1291</v>
      </c>
      <c r="B10" s="2162"/>
      <c r="C10" s="2081"/>
      <c r="D10" s="2161" t="s">
        <v>1256</v>
      </c>
      <c r="E10" s="2080"/>
      <c r="F10" s="2081"/>
      <c r="G10" s="2157" t="s">
        <v>704</v>
      </c>
      <c r="H10" s="2158"/>
      <c r="I10" s="2159" t="s">
        <v>525</v>
      </c>
      <c r="J10" s="2160"/>
      <c r="K10" s="2157" t="s">
        <v>630</v>
      </c>
      <c r="L10" s="2158"/>
      <c r="M10" s="1401"/>
    </row>
    <row r="11" spans="1:25" ht="13.2" customHeight="1" x14ac:dyDescent="0.35">
      <c r="A11" s="2161" t="s">
        <v>1292</v>
      </c>
      <c r="B11" s="2162"/>
      <c r="C11" s="2081"/>
      <c r="D11" s="2161" t="s">
        <v>1293</v>
      </c>
      <c r="E11" s="2080"/>
      <c r="F11" s="2081"/>
      <c r="G11" s="2157" t="s">
        <v>704</v>
      </c>
      <c r="H11" s="2158"/>
      <c r="I11" s="2159" t="s">
        <v>526</v>
      </c>
      <c r="J11" s="2160"/>
      <c r="K11" s="2157" t="s">
        <v>630</v>
      </c>
      <c r="L11" s="2158"/>
      <c r="M11" s="1401"/>
    </row>
    <row r="12" spans="1:25" ht="13.2" customHeight="1" x14ac:dyDescent="0.35">
      <c r="A12" s="2161" t="s">
        <v>1385</v>
      </c>
      <c r="B12" s="2162"/>
      <c r="C12" s="2081"/>
      <c r="D12" s="2161" t="s">
        <v>1256</v>
      </c>
      <c r="E12" s="2080"/>
      <c r="F12" s="2081"/>
      <c r="G12" s="2157" t="s">
        <v>704</v>
      </c>
      <c r="H12" s="2158"/>
      <c r="I12" s="2159" t="s">
        <v>526</v>
      </c>
      <c r="J12" s="2160"/>
      <c r="K12" s="2157" t="s">
        <v>630</v>
      </c>
      <c r="L12" s="2158"/>
      <c r="M12" s="1401"/>
    </row>
    <row r="13" spans="1:25" ht="13.2" customHeight="1" x14ac:dyDescent="0.35">
      <c r="A13" s="2161" t="s">
        <v>1295</v>
      </c>
      <c r="B13" s="2162"/>
      <c r="C13" s="2081"/>
      <c r="D13" s="2161" t="s">
        <v>1256</v>
      </c>
      <c r="E13" s="2080"/>
      <c r="F13" s="2081"/>
      <c r="G13" s="2157" t="s">
        <v>704</v>
      </c>
      <c r="H13" s="2158"/>
      <c r="I13" s="2159" t="s">
        <v>526</v>
      </c>
      <c r="J13" s="2160"/>
      <c r="K13" s="2157" t="s">
        <v>630</v>
      </c>
      <c r="L13" s="2158"/>
      <c r="M13" s="1401"/>
    </row>
    <row r="14" spans="1:25" ht="13.2" customHeight="1" x14ac:dyDescent="0.35">
      <c r="A14" s="2161" t="s">
        <v>1297</v>
      </c>
      <c r="B14" s="2162"/>
      <c r="C14" s="2081"/>
      <c r="D14" s="2161" t="s">
        <v>1256</v>
      </c>
      <c r="E14" s="2080"/>
      <c r="F14" s="2081"/>
      <c r="G14" s="2157" t="s">
        <v>704</v>
      </c>
      <c r="H14" s="2158"/>
      <c r="I14" s="2159" t="s">
        <v>527</v>
      </c>
      <c r="J14" s="2160"/>
      <c r="K14" s="2157" t="s">
        <v>536</v>
      </c>
      <c r="L14" s="2158"/>
      <c r="M14" s="1401"/>
    </row>
    <row r="15" spans="1:25" ht="13.2" customHeight="1" x14ac:dyDescent="0.35">
      <c r="A15" s="2161" t="s">
        <v>1298</v>
      </c>
      <c r="B15" s="2162"/>
      <c r="C15" s="2081"/>
      <c r="D15" s="2161" t="s">
        <v>1387</v>
      </c>
      <c r="E15" s="2080"/>
      <c r="F15" s="2081"/>
      <c r="G15" s="2157" t="s">
        <v>704</v>
      </c>
      <c r="H15" s="2158"/>
      <c r="I15" s="2159" t="s">
        <v>527</v>
      </c>
      <c r="J15" s="2160"/>
      <c r="K15" s="2157" t="s">
        <v>630</v>
      </c>
      <c r="L15" s="2158"/>
      <c r="M15" s="1401"/>
    </row>
    <row r="16" spans="1:25" ht="13.2" customHeight="1" x14ac:dyDescent="0.35">
      <c r="A16" s="2161" t="s">
        <v>1386</v>
      </c>
      <c r="B16" s="2162"/>
      <c r="C16" s="2081"/>
      <c r="D16" s="2161" t="s">
        <v>1302</v>
      </c>
      <c r="E16" s="2080"/>
      <c r="F16" s="2081"/>
      <c r="G16" s="2157" t="s">
        <v>704</v>
      </c>
      <c r="H16" s="2158"/>
      <c r="I16" s="2159" t="s">
        <v>527</v>
      </c>
      <c r="J16" s="2160"/>
      <c r="K16" s="2157" t="s">
        <v>630</v>
      </c>
      <c r="L16" s="2158"/>
      <c r="M16" s="1401"/>
    </row>
    <row r="17" spans="1:13" x14ac:dyDescent="0.35">
      <c r="A17" s="2163" t="s">
        <v>1299</v>
      </c>
      <c r="B17" s="2164"/>
      <c r="C17" s="2075"/>
      <c r="D17" s="2167" t="s">
        <v>1256</v>
      </c>
      <c r="E17" s="2074"/>
      <c r="F17" s="2075"/>
      <c r="G17" s="2168" t="s">
        <v>704</v>
      </c>
      <c r="H17" s="2169"/>
      <c r="I17" s="2155" t="s">
        <v>528</v>
      </c>
      <c r="J17" s="2156"/>
      <c r="K17" s="2168" t="s">
        <v>630</v>
      </c>
      <c r="L17" s="2169"/>
      <c r="M17" s="1402"/>
    </row>
    <row r="18" spans="1:13" x14ac:dyDescent="0.35">
      <c r="A18" s="909"/>
      <c r="B18" s="907"/>
      <c r="C18" s="907"/>
      <c r="D18" s="907"/>
      <c r="E18" s="907"/>
      <c r="F18" s="907"/>
      <c r="G18" s="907"/>
      <c r="H18" s="907"/>
      <c r="I18" s="907"/>
      <c r="J18" s="907"/>
      <c r="K18" s="907"/>
      <c r="L18" s="907"/>
      <c r="M18" s="909"/>
    </row>
    <row r="19" spans="1:13" x14ac:dyDescent="0.35">
      <c r="A19" s="911" t="s">
        <v>1097</v>
      </c>
      <c r="B19" s="914"/>
      <c r="C19" s="914"/>
      <c r="D19" s="914"/>
      <c r="E19" s="914"/>
      <c r="F19" s="914"/>
      <c r="G19" s="914"/>
      <c r="H19" s="914"/>
      <c r="I19" s="914"/>
      <c r="J19" s="914"/>
      <c r="K19" s="914"/>
      <c r="L19" s="914"/>
      <c r="M19" s="915"/>
    </row>
    <row r="20" spans="1:13" x14ac:dyDescent="0.35">
      <c r="A20" s="864" t="s">
        <v>1388</v>
      </c>
      <c r="B20" s="865"/>
      <c r="C20" s="865"/>
      <c r="D20" s="865"/>
      <c r="E20" s="865"/>
      <c r="F20" s="865"/>
      <c r="G20" s="865"/>
      <c r="H20" s="865"/>
      <c r="I20" s="865"/>
      <c r="J20" s="865"/>
      <c r="K20" s="865"/>
      <c r="L20" s="865"/>
      <c r="M20" s="866"/>
    </row>
    <row r="21" spans="1:13" x14ac:dyDescent="0.35">
      <c r="A21" s="867" t="s">
        <v>1321</v>
      </c>
      <c r="B21" s="868"/>
      <c r="C21" s="868"/>
      <c r="D21" s="868"/>
      <c r="E21" s="868"/>
      <c r="F21" s="868"/>
      <c r="G21" s="868"/>
      <c r="H21" s="868"/>
      <c r="I21" s="868"/>
      <c r="J21" s="868"/>
      <c r="K21" s="868"/>
      <c r="L21" s="868"/>
      <c r="M21" s="869"/>
    </row>
    <row r="22" spans="1:13" x14ac:dyDescent="0.35">
      <c r="A22" s="867" t="s">
        <v>1323</v>
      </c>
      <c r="B22" s="868"/>
      <c r="C22" s="868"/>
      <c r="D22" s="868"/>
      <c r="E22" s="868"/>
      <c r="F22" s="868"/>
      <c r="G22" s="868"/>
      <c r="H22" s="868"/>
      <c r="I22" s="868"/>
      <c r="J22" s="868"/>
      <c r="K22" s="868"/>
      <c r="L22" s="868"/>
      <c r="M22" s="869"/>
    </row>
    <row r="23" spans="1:13" x14ac:dyDescent="0.35">
      <c r="A23" s="867"/>
      <c r="B23" s="868"/>
      <c r="C23" s="868"/>
      <c r="D23" s="868"/>
      <c r="E23" s="868"/>
      <c r="F23" s="868"/>
      <c r="G23" s="868"/>
      <c r="H23" s="868"/>
      <c r="I23" s="868"/>
      <c r="J23" s="868"/>
      <c r="K23" s="868"/>
      <c r="L23" s="868"/>
      <c r="M23" s="869"/>
    </row>
    <row r="24" spans="1:13" x14ac:dyDescent="0.35">
      <c r="A24" s="870"/>
      <c r="B24" s="871"/>
      <c r="C24" s="871"/>
      <c r="D24" s="871"/>
      <c r="E24" s="871"/>
      <c r="F24" s="871"/>
      <c r="G24" s="871"/>
      <c r="H24" s="871"/>
      <c r="I24" s="871"/>
      <c r="J24" s="871"/>
      <c r="K24" s="871"/>
      <c r="L24" s="871"/>
      <c r="M24" s="872"/>
    </row>
    <row r="25" spans="1:13" x14ac:dyDescent="0.35">
      <c r="A25" s="1863"/>
      <c r="B25" s="1328"/>
      <c r="C25" s="1328"/>
      <c r="D25" s="1328"/>
      <c r="E25" s="1328"/>
      <c r="F25" s="1328"/>
      <c r="G25" s="1328"/>
      <c r="H25" s="1328"/>
      <c r="I25" s="1328"/>
      <c r="J25" s="1328"/>
      <c r="K25" s="1328"/>
      <c r="L25" s="1328"/>
      <c r="M25" s="1863"/>
    </row>
    <row r="26" spans="1:13" hidden="1" x14ac:dyDescent="0.35">
      <c r="A26" s="895"/>
      <c r="B26" s="895"/>
      <c r="C26" s="895"/>
      <c r="D26" s="895"/>
      <c r="E26" s="895"/>
      <c r="F26" s="895"/>
      <c r="G26" s="895"/>
      <c r="H26" s="895"/>
      <c r="I26" s="895"/>
      <c r="J26" s="895"/>
      <c r="K26" s="895"/>
      <c r="L26" s="895"/>
      <c r="M26" s="895"/>
    </row>
    <row r="27" spans="1:13" x14ac:dyDescent="0.35">
      <c r="A27" s="911" t="s">
        <v>541</v>
      </c>
      <c r="B27" s="914"/>
      <c r="C27" s="914"/>
      <c r="D27" s="914"/>
      <c r="E27" s="914"/>
      <c r="F27" s="914"/>
      <c r="G27" s="914"/>
      <c r="H27" s="914"/>
      <c r="I27" s="914"/>
      <c r="J27" s="914"/>
      <c r="K27" s="914"/>
      <c r="L27" s="914"/>
      <c r="M27" s="915"/>
    </row>
    <row r="28" spans="1:13" x14ac:dyDescent="0.35">
      <c r="A28" s="910" t="s">
        <v>1089</v>
      </c>
      <c r="B28" s="909"/>
      <c r="C28" s="909"/>
      <c r="D28" s="2176" t="s">
        <v>1090</v>
      </c>
      <c r="E28" s="2112"/>
      <c r="F28" s="2112"/>
      <c r="G28" s="2176" t="s">
        <v>1091</v>
      </c>
      <c r="H28" s="2070"/>
      <c r="I28" s="2174" t="s">
        <v>524</v>
      </c>
      <c r="J28" s="2070"/>
      <c r="K28" s="2172" t="s">
        <v>1092</v>
      </c>
      <c r="L28" s="2173"/>
      <c r="M28" s="888" t="s">
        <v>522</v>
      </c>
    </row>
    <row r="29" spans="1:13" x14ac:dyDescent="0.35">
      <c r="A29" s="2165" t="s">
        <v>1318</v>
      </c>
      <c r="B29" s="2166"/>
      <c r="C29" s="2078"/>
      <c r="D29" s="2165" t="s">
        <v>1256</v>
      </c>
      <c r="E29" s="2077"/>
      <c r="F29" s="2078"/>
      <c r="G29" s="2157" t="s">
        <v>704</v>
      </c>
      <c r="H29" s="2158"/>
      <c r="I29" s="2159" t="s">
        <v>525</v>
      </c>
      <c r="J29" s="2160"/>
      <c r="K29" s="2170" t="s">
        <v>536</v>
      </c>
      <c r="L29" s="2171"/>
      <c r="M29" s="1400"/>
    </row>
    <row r="30" spans="1:13" x14ac:dyDescent="0.35">
      <c r="A30" s="2161" t="s">
        <v>1290</v>
      </c>
      <c r="B30" s="2162"/>
      <c r="C30" s="2081"/>
      <c r="D30" s="2161" t="s">
        <v>1256</v>
      </c>
      <c r="E30" s="2080"/>
      <c r="F30" s="2081"/>
      <c r="G30" s="2157" t="s">
        <v>704</v>
      </c>
      <c r="H30" s="2158"/>
      <c r="I30" s="2159" t="s">
        <v>525</v>
      </c>
      <c r="J30" s="2160"/>
      <c r="K30" s="2157" t="s">
        <v>630</v>
      </c>
      <c r="L30" s="2158"/>
      <c r="M30" s="1401"/>
    </row>
    <row r="31" spans="1:13" x14ac:dyDescent="0.35">
      <c r="A31" s="2161" t="s">
        <v>1291</v>
      </c>
      <c r="B31" s="2162"/>
      <c r="C31" s="2081"/>
      <c r="D31" s="2161" t="s">
        <v>1256</v>
      </c>
      <c r="E31" s="2080"/>
      <c r="F31" s="2081"/>
      <c r="G31" s="2157" t="s">
        <v>704</v>
      </c>
      <c r="H31" s="2158"/>
      <c r="I31" s="2159" t="s">
        <v>525</v>
      </c>
      <c r="J31" s="2160"/>
      <c r="K31" s="2157" t="s">
        <v>630</v>
      </c>
      <c r="L31" s="2158"/>
      <c r="M31" s="1401"/>
    </row>
    <row r="32" spans="1:13" x14ac:dyDescent="0.35">
      <c r="A32" s="2161" t="s">
        <v>1292</v>
      </c>
      <c r="B32" s="2162"/>
      <c r="C32" s="2081"/>
      <c r="D32" s="2161" t="s">
        <v>1293</v>
      </c>
      <c r="E32" s="2080"/>
      <c r="F32" s="2081"/>
      <c r="G32" s="2157" t="s">
        <v>704</v>
      </c>
      <c r="H32" s="2158"/>
      <c r="I32" s="2159" t="s">
        <v>526</v>
      </c>
      <c r="J32" s="2160"/>
      <c r="K32" s="2157" t="s">
        <v>630</v>
      </c>
      <c r="L32" s="2158"/>
      <c r="M32" s="1401"/>
    </row>
    <row r="33" spans="1:14" x14ac:dyDescent="0.35">
      <c r="A33" s="2161" t="s">
        <v>1294</v>
      </c>
      <c r="B33" s="2162"/>
      <c r="C33" s="2081"/>
      <c r="D33" s="2161" t="s">
        <v>1256</v>
      </c>
      <c r="E33" s="2080"/>
      <c r="F33" s="2081"/>
      <c r="G33" s="2157" t="s">
        <v>704</v>
      </c>
      <c r="H33" s="2158"/>
      <c r="I33" s="2159" t="s">
        <v>526</v>
      </c>
      <c r="J33" s="2160"/>
      <c r="K33" s="2157" t="s">
        <v>630</v>
      </c>
      <c r="L33" s="2158"/>
      <c r="M33" s="1401"/>
    </row>
    <row r="34" spans="1:14" x14ac:dyDescent="0.35">
      <c r="A34" s="2161" t="s">
        <v>1295</v>
      </c>
      <c r="B34" s="2162"/>
      <c r="C34" s="2081"/>
      <c r="D34" s="2161" t="s">
        <v>1296</v>
      </c>
      <c r="E34" s="2080"/>
      <c r="F34" s="2081"/>
      <c r="G34" s="2157" t="s">
        <v>704</v>
      </c>
      <c r="H34" s="2158"/>
      <c r="I34" s="2159" t="s">
        <v>526</v>
      </c>
      <c r="J34" s="2160"/>
      <c r="K34" s="2157" t="s">
        <v>630</v>
      </c>
      <c r="L34" s="2158"/>
      <c r="M34" s="1401"/>
    </row>
    <row r="35" spans="1:14" x14ac:dyDescent="0.35">
      <c r="A35" s="2161" t="s">
        <v>1297</v>
      </c>
      <c r="B35" s="2162"/>
      <c r="C35" s="2081"/>
      <c r="D35" s="2161" t="s">
        <v>1256</v>
      </c>
      <c r="E35" s="2080"/>
      <c r="F35" s="2081"/>
      <c r="G35" s="2157" t="s">
        <v>704</v>
      </c>
      <c r="H35" s="2158"/>
      <c r="I35" s="2159" t="s">
        <v>527</v>
      </c>
      <c r="J35" s="2160"/>
      <c r="K35" s="2157" t="s">
        <v>536</v>
      </c>
      <c r="L35" s="2158"/>
      <c r="M35" s="1401"/>
    </row>
    <row r="36" spans="1:14" x14ac:dyDescent="0.35">
      <c r="A36" s="2161" t="s">
        <v>1298</v>
      </c>
      <c r="B36" s="2162"/>
      <c r="C36" s="2081"/>
      <c r="D36" s="2161" t="s">
        <v>1300</v>
      </c>
      <c r="E36" s="2080"/>
      <c r="F36" s="2081"/>
      <c r="G36" s="2157" t="s">
        <v>704</v>
      </c>
      <c r="H36" s="2158"/>
      <c r="I36" s="2159" t="s">
        <v>527</v>
      </c>
      <c r="J36" s="2160"/>
      <c r="K36" s="2157" t="s">
        <v>630</v>
      </c>
      <c r="L36" s="2158"/>
      <c r="M36" s="1401"/>
    </row>
    <row r="37" spans="1:14" x14ac:dyDescent="0.35">
      <c r="A37" s="2161" t="s">
        <v>1301</v>
      </c>
      <c r="B37" s="2162"/>
      <c r="C37" s="2081"/>
      <c r="D37" s="2161" t="s">
        <v>1302</v>
      </c>
      <c r="E37" s="2080"/>
      <c r="F37" s="2081"/>
      <c r="G37" s="2157" t="s">
        <v>704</v>
      </c>
      <c r="H37" s="2158"/>
      <c r="I37" s="2159" t="s">
        <v>527</v>
      </c>
      <c r="J37" s="2160"/>
      <c r="K37" s="2157" t="s">
        <v>630</v>
      </c>
      <c r="L37" s="2158"/>
      <c r="M37" s="1401"/>
    </row>
    <row r="38" spans="1:14" x14ac:dyDescent="0.35">
      <c r="A38" s="2163" t="s">
        <v>1299</v>
      </c>
      <c r="B38" s="2164"/>
      <c r="C38" s="2075"/>
      <c r="D38" s="2167" t="s">
        <v>1256</v>
      </c>
      <c r="E38" s="2074"/>
      <c r="F38" s="2075"/>
      <c r="G38" s="2168" t="s">
        <v>704</v>
      </c>
      <c r="H38" s="2169"/>
      <c r="I38" s="2155" t="s">
        <v>528</v>
      </c>
      <c r="J38" s="2156"/>
      <c r="K38" s="2168" t="s">
        <v>630</v>
      </c>
      <c r="L38" s="2169"/>
      <c r="M38" s="1402"/>
    </row>
    <row r="39" spans="1:14" x14ac:dyDescent="0.35">
      <c r="A39" s="909"/>
      <c r="B39" s="907"/>
      <c r="C39" s="907"/>
      <c r="D39" s="907"/>
      <c r="E39" s="907"/>
      <c r="F39" s="907"/>
      <c r="G39" s="907"/>
      <c r="H39" s="907"/>
      <c r="I39" s="907"/>
      <c r="J39" s="907"/>
      <c r="K39" s="907"/>
      <c r="L39" s="907"/>
      <c r="M39" s="907"/>
      <c r="N39" s="76"/>
    </row>
    <row r="40" spans="1:14" x14ac:dyDescent="0.35">
      <c r="A40" s="911" t="s">
        <v>1098</v>
      </c>
      <c r="B40" s="912"/>
      <c r="C40" s="912"/>
      <c r="D40" s="912"/>
      <c r="E40" s="912"/>
      <c r="F40" s="912"/>
      <c r="G40" s="912"/>
      <c r="H40" s="912"/>
      <c r="I40" s="912"/>
      <c r="J40" s="912"/>
      <c r="K40" s="912"/>
      <c r="L40" s="912"/>
      <c r="M40" s="913"/>
    </row>
    <row r="41" spans="1:14" x14ac:dyDescent="0.35">
      <c r="A41" s="864"/>
      <c r="B41" s="865"/>
      <c r="C41" s="865"/>
      <c r="D41" s="865"/>
      <c r="E41" s="865"/>
      <c r="F41" s="865"/>
      <c r="G41" s="865"/>
      <c r="H41" s="865"/>
      <c r="I41" s="865"/>
      <c r="J41" s="865"/>
      <c r="K41" s="865"/>
      <c r="L41" s="865"/>
      <c r="M41" s="866"/>
    </row>
    <row r="42" spans="1:14" ht="15" customHeight="1" x14ac:dyDescent="0.35">
      <c r="A42" s="867"/>
      <c r="B42" s="868"/>
      <c r="C42" s="868"/>
      <c r="D42" s="868"/>
      <c r="E42" s="868"/>
      <c r="F42" s="868"/>
      <c r="G42" s="868"/>
      <c r="H42" s="868"/>
      <c r="I42" s="868"/>
      <c r="J42" s="868"/>
      <c r="K42" s="868"/>
      <c r="L42" s="868"/>
      <c r="M42" s="869"/>
    </row>
    <row r="43" spans="1:14" ht="15" customHeight="1" x14ac:dyDescent="0.35">
      <c r="A43" s="867"/>
      <c r="B43" s="868"/>
      <c r="C43" s="868"/>
      <c r="D43" s="868"/>
      <c r="E43" s="868"/>
      <c r="F43" s="868"/>
      <c r="G43" s="868"/>
      <c r="H43" s="868"/>
      <c r="I43" s="868"/>
      <c r="J43" s="868"/>
      <c r="K43" s="868"/>
      <c r="L43" s="868"/>
      <c r="M43" s="869"/>
    </row>
    <row r="44" spans="1:14" ht="15" customHeight="1" x14ac:dyDescent="0.35">
      <c r="A44" s="867"/>
      <c r="B44" s="868"/>
      <c r="C44" s="868"/>
      <c r="D44" s="868"/>
      <c r="E44" s="868"/>
      <c r="F44" s="868"/>
      <c r="G44" s="868"/>
      <c r="H44" s="868"/>
      <c r="I44" s="868"/>
      <c r="J44" s="868"/>
      <c r="K44" s="868"/>
      <c r="L44" s="868"/>
      <c r="M44" s="869"/>
    </row>
    <row r="45" spans="1:14" x14ac:dyDescent="0.35">
      <c r="A45" s="867"/>
      <c r="B45" s="868"/>
      <c r="C45" s="868"/>
      <c r="D45" s="868"/>
      <c r="E45" s="868"/>
      <c r="F45" s="868"/>
      <c r="G45" s="868"/>
      <c r="H45" s="868"/>
      <c r="I45" s="868"/>
      <c r="J45" s="868"/>
      <c r="K45" s="868"/>
      <c r="L45" s="868"/>
      <c r="M45" s="869"/>
    </row>
    <row r="46" spans="1:14" x14ac:dyDescent="0.35">
      <c r="A46" s="867"/>
      <c r="B46" s="868"/>
      <c r="C46" s="868"/>
      <c r="D46" s="868"/>
      <c r="E46" s="868"/>
      <c r="F46" s="868"/>
      <c r="G46" s="868"/>
      <c r="H46" s="868"/>
      <c r="I46" s="868"/>
      <c r="J46" s="868"/>
      <c r="K46" s="868"/>
      <c r="L46" s="868"/>
      <c r="M46" s="869"/>
    </row>
    <row r="47" spans="1:14" x14ac:dyDescent="0.35">
      <c r="A47" s="870"/>
      <c r="B47" s="871"/>
      <c r="C47" s="871"/>
      <c r="D47" s="871"/>
      <c r="E47" s="871"/>
      <c r="F47" s="871"/>
      <c r="G47" s="871"/>
      <c r="H47" s="871"/>
      <c r="I47" s="871"/>
      <c r="J47" s="871"/>
      <c r="K47" s="871"/>
      <c r="L47" s="871"/>
      <c r="M47" s="872"/>
    </row>
    <row r="48" spans="1:14" x14ac:dyDescent="0.35">
      <c r="A48" s="1863"/>
      <c r="B48" s="1328"/>
      <c r="C48" s="1328"/>
      <c r="D48" s="1328"/>
      <c r="E48" s="1328"/>
      <c r="F48" s="1328"/>
      <c r="G48" s="1328"/>
      <c r="H48" s="1328"/>
      <c r="I48" s="1328"/>
      <c r="J48" s="1328"/>
      <c r="K48" s="1328"/>
      <c r="L48" s="1328"/>
      <c r="M48" s="1328"/>
      <c r="N48" s="76"/>
    </row>
    <row r="49" spans="1:14" hidden="1" x14ac:dyDescent="0.35">
      <c r="A49" s="902"/>
      <c r="B49" s="902"/>
      <c r="C49" s="902"/>
      <c r="D49" s="902"/>
      <c r="E49" s="902"/>
      <c r="F49" s="902"/>
      <c r="G49" s="902"/>
      <c r="H49" s="902"/>
      <c r="I49" s="902"/>
      <c r="J49" s="902"/>
      <c r="K49" s="902"/>
      <c r="L49" s="902"/>
      <c r="M49" s="902"/>
    </row>
    <row r="50" spans="1:14" x14ac:dyDescent="0.35">
      <c r="A50" s="911" t="s">
        <v>1099</v>
      </c>
      <c r="B50" s="912"/>
      <c r="C50" s="912"/>
      <c r="D50" s="912"/>
      <c r="E50" s="912"/>
      <c r="F50" s="912"/>
      <c r="G50" s="912"/>
      <c r="H50" s="912"/>
      <c r="I50" s="912"/>
      <c r="J50" s="912"/>
      <c r="K50" s="912"/>
      <c r="L50" s="912"/>
      <c r="M50" s="913"/>
    </row>
    <row r="51" spans="1:14" x14ac:dyDescent="0.35">
      <c r="A51" s="864"/>
      <c r="B51" s="865"/>
      <c r="C51" s="865"/>
      <c r="D51" s="865"/>
      <c r="E51" s="865"/>
      <c r="F51" s="865"/>
      <c r="G51" s="865"/>
      <c r="H51" s="865"/>
      <c r="I51" s="865"/>
      <c r="J51" s="865"/>
      <c r="K51" s="865"/>
      <c r="L51" s="865"/>
      <c r="M51" s="866"/>
    </row>
    <row r="52" spans="1:14" x14ac:dyDescent="0.35">
      <c r="A52" s="867"/>
      <c r="B52" s="868"/>
      <c r="C52" s="868"/>
      <c r="D52" s="868"/>
      <c r="E52" s="868"/>
      <c r="F52" s="868"/>
      <c r="G52" s="868"/>
      <c r="H52" s="868"/>
      <c r="I52" s="868"/>
      <c r="J52" s="868"/>
      <c r="K52" s="868"/>
      <c r="L52" s="868"/>
      <c r="M52" s="869"/>
    </row>
    <row r="53" spans="1:14" x14ac:dyDescent="0.35">
      <c r="A53" s="867"/>
      <c r="B53" s="868"/>
      <c r="C53" s="868"/>
      <c r="D53" s="868"/>
      <c r="E53" s="868"/>
      <c r="F53" s="868"/>
      <c r="G53" s="868"/>
      <c r="H53" s="868"/>
      <c r="I53" s="868"/>
      <c r="J53" s="868"/>
      <c r="K53" s="868"/>
      <c r="L53" s="868"/>
      <c r="M53" s="869"/>
    </row>
    <row r="54" spans="1:14" x14ac:dyDescent="0.35">
      <c r="A54" s="867"/>
      <c r="B54" s="868"/>
      <c r="C54" s="868"/>
      <c r="D54" s="868"/>
      <c r="E54" s="868"/>
      <c r="F54" s="868"/>
      <c r="G54" s="868"/>
      <c r="H54" s="868"/>
      <c r="I54" s="868"/>
      <c r="J54" s="868"/>
      <c r="K54" s="868"/>
      <c r="L54" s="868"/>
      <c r="M54" s="869"/>
    </row>
    <row r="55" spans="1:14" x14ac:dyDescent="0.35">
      <c r="A55" s="870"/>
      <c r="B55" s="871"/>
      <c r="C55" s="871"/>
      <c r="D55" s="871"/>
      <c r="E55" s="871"/>
      <c r="F55" s="871"/>
      <c r="G55" s="871"/>
      <c r="H55" s="871"/>
      <c r="I55" s="871"/>
      <c r="J55" s="871"/>
      <c r="K55" s="871"/>
      <c r="L55" s="871"/>
      <c r="M55" s="872"/>
    </row>
    <row r="56" spans="1:14" x14ac:dyDescent="0.35">
      <c r="A56" s="1863"/>
      <c r="B56" s="1328"/>
      <c r="C56" s="1328"/>
      <c r="D56" s="1328"/>
      <c r="E56" s="1328"/>
      <c r="F56" s="1328"/>
      <c r="G56" s="1328"/>
      <c r="H56" s="1328"/>
      <c r="I56" s="1328"/>
      <c r="J56" s="1328"/>
      <c r="K56" s="1328"/>
      <c r="L56" s="1328"/>
      <c r="M56" s="1328"/>
      <c r="N56" s="76"/>
    </row>
    <row r="57" spans="1:14" hidden="1" x14ac:dyDescent="0.35">
      <c r="A57" s="902"/>
      <c r="B57" s="902"/>
      <c r="C57" s="902"/>
      <c r="D57" s="902"/>
      <c r="E57" s="902"/>
      <c r="F57" s="902"/>
      <c r="G57" s="902"/>
      <c r="H57" s="902"/>
      <c r="I57" s="902"/>
      <c r="J57" s="902"/>
      <c r="K57" s="902"/>
      <c r="L57" s="902"/>
      <c r="M57" s="902"/>
    </row>
    <row r="58" spans="1:14" hidden="1" x14ac:dyDescent="0.35">
      <c r="A58" s="1824"/>
      <c r="B58" s="1824"/>
      <c r="C58" s="1824"/>
      <c r="D58" s="1824"/>
      <c r="E58" s="1824"/>
      <c r="F58" s="1824"/>
      <c r="G58" s="1824"/>
      <c r="H58" s="1824"/>
      <c r="I58" s="1824"/>
      <c r="J58" s="902"/>
      <c r="K58" s="902"/>
      <c r="L58" s="902"/>
      <c r="M58" s="902"/>
    </row>
    <row r="59" spans="1:14" hidden="1" x14ac:dyDescent="0.35">
      <c r="A59" s="1825" t="s">
        <v>627</v>
      </c>
      <c r="B59" s="1826" t="s">
        <v>761</v>
      </c>
      <c r="C59" s="1826" t="s">
        <v>1069</v>
      </c>
      <c r="D59" s="1826"/>
      <c r="E59" s="1826" t="s">
        <v>646</v>
      </c>
      <c r="F59" s="1826" t="s">
        <v>704</v>
      </c>
      <c r="G59" s="1826"/>
      <c r="H59" s="1826" t="s">
        <v>525</v>
      </c>
      <c r="I59" s="1826"/>
      <c r="J59" s="902"/>
      <c r="K59" s="902"/>
      <c r="L59" s="902"/>
      <c r="M59" s="902"/>
    </row>
    <row r="60" spans="1:14" hidden="1" x14ac:dyDescent="0.35">
      <c r="A60" s="1825" t="s">
        <v>628</v>
      </c>
      <c r="B60" s="1826" t="s">
        <v>631</v>
      </c>
      <c r="C60" s="1826" t="s">
        <v>1071</v>
      </c>
      <c r="D60" s="1826"/>
      <c r="E60" s="1826" t="s">
        <v>647</v>
      </c>
      <c r="F60" s="1826" t="s">
        <v>633</v>
      </c>
      <c r="G60" s="1826"/>
      <c r="H60" s="1826" t="s">
        <v>526</v>
      </c>
      <c r="I60" s="1826"/>
      <c r="J60" s="902"/>
      <c r="K60" s="902"/>
      <c r="L60" s="902"/>
      <c r="M60" s="902"/>
    </row>
    <row r="61" spans="1:14" hidden="1" x14ac:dyDescent="0.35">
      <c r="A61" s="1825" t="s">
        <v>629</v>
      </c>
      <c r="B61" s="1826" t="s">
        <v>632</v>
      </c>
      <c r="C61" s="1826" t="s">
        <v>1074</v>
      </c>
      <c r="D61" s="1826"/>
      <c r="E61" s="1826"/>
      <c r="F61" s="1826" t="s">
        <v>705</v>
      </c>
      <c r="G61" s="1826"/>
      <c r="H61" s="1826" t="s">
        <v>527</v>
      </c>
      <c r="I61" s="1826"/>
      <c r="J61" s="902"/>
      <c r="K61" s="902"/>
      <c r="L61" s="902"/>
      <c r="M61" s="902"/>
    </row>
    <row r="62" spans="1:14" hidden="1" x14ac:dyDescent="0.35">
      <c r="A62" s="1826" t="s">
        <v>630</v>
      </c>
      <c r="B62" s="1826" t="s">
        <v>458</v>
      </c>
      <c r="C62" s="1826" t="s">
        <v>1075</v>
      </c>
      <c r="D62" s="1826"/>
      <c r="E62" s="1826"/>
      <c r="F62" s="1826"/>
      <c r="G62" s="1826"/>
      <c r="H62" s="1826" t="s">
        <v>528</v>
      </c>
      <c r="I62" s="1826"/>
      <c r="J62" s="902"/>
      <c r="K62" s="902"/>
      <c r="L62" s="902"/>
      <c r="M62" s="902"/>
    </row>
    <row r="63" spans="1:14" hidden="1" x14ac:dyDescent="0.35">
      <c r="A63" s="1825" t="s">
        <v>536</v>
      </c>
      <c r="B63" s="1826"/>
      <c r="C63" s="1826" t="s">
        <v>1076</v>
      </c>
      <c r="D63" s="1826"/>
      <c r="E63" s="1826"/>
      <c r="F63" s="1826"/>
      <c r="G63" s="1826"/>
      <c r="H63" s="1827" t="s">
        <v>529</v>
      </c>
      <c r="I63" s="1826"/>
      <c r="J63" s="902"/>
      <c r="K63" s="902"/>
      <c r="L63" s="902"/>
      <c r="M63" s="902"/>
    </row>
    <row r="64" spans="1:14" hidden="1" x14ac:dyDescent="0.35">
      <c r="A64" s="1826" t="s">
        <v>537</v>
      </c>
      <c r="B64" s="1826"/>
      <c r="C64" s="1826" t="s">
        <v>1077</v>
      </c>
      <c r="D64" s="1826"/>
      <c r="E64" s="1826"/>
      <c r="F64" s="1826"/>
      <c r="G64" s="1826"/>
      <c r="H64" s="1826" t="s">
        <v>43</v>
      </c>
      <c r="I64" s="1826"/>
      <c r="J64" s="902"/>
      <c r="K64" s="902"/>
      <c r="L64" s="902"/>
      <c r="M64" s="902"/>
    </row>
    <row r="65" spans="1:13" hidden="1" x14ac:dyDescent="0.35">
      <c r="A65" s="1826"/>
      <c r="B65" s="1826"/>
      <c r="C65" s="1826" t="s">
        <v>43</v>
      </c>
      <c r="D65" s="1826"/>
      <c r="E65" s="1826"/>
      <c r="F65" s="1826"/>
      <c r="G65" s="1826"/>
      <c r="H65" s="1826"/>
      <c r="I65" s="1826"/>
      <c r="J65" s="902"/>
      <c r="K65" s="902"/>
      <c r="L65" s="902"/>
      <c r="M65" s="902"/>
    </row>
    <row r="66" spans="1:13" hidden="1" x14ac:dyDescent="0.35">
      <c r="A66" s="902"/>
      <c r="B66" s="902"/>
      <c r="C66" s="902"/>
      <c r="D66" s="902"/>
      <c r="E66" s="902"/>
      <c r="F66" s="902"/>
      <c r="G66" s="902"/>
      <c r="H66" s="902"/>
      <c r="I66" s="902"/>
      <c r="J66" s="902"/>
      <c r="K66" s="902"/>
      <c r="L66" s="902"/>
      <c r="M66" s="902"/>
    </row>
    <row r="67" spans="1:13" x14ac:dyDescent="0.35">
      <c r="A67" s="911" t="s">
        <v>951</v>
      </c>
      <c r="B67" s="914"/>
      <c r="C67" s="914"/>
      <c r="D67" s="914"/>
      <c r="E67" s="914"/>
      <c r="F67" s="914"/>
      <c r="G67" s="914"/>
      <c r="H67" s="914"/>
      <c r="I67" s="914"/>
      <c r="J67" s="914"/>
      <c r="K67" s="914"/>
      <c r="L67" s="914"/>
      <c r="M67" s="915"/>
    </row>
    <row r="68" spans="1:13" x14ac:dyDescent="0.35">
      <c r="A68" s="918"/>
      <c r="B68" s="919"/>
      <c r="C68" s="919"/>
      <c r="D68" s="919"/>
      <c r="E68" s="919"/>
      <c r="F68" s="919"/>
      <c r="G68" s="919"/>
      <c r="H68" s="919"/>
      <c r="I68" s="919"/>
      <c r="J68" s="919"/>
      <c r="K68" s="919"/>
      <c r="L68" s="919"/>
      <c r="M68" s="920"/>
    </row>
    <row r="69" spans="1:13" x14ac:dyDescent="0.35">
      <c r="A69" s="921"/>
      <c r="B69" s="922"/>
      <c r="C69" s="922"/>
      <c r="D69" s="922"/>
      <c r="E69" s="922"/>
      <c r="F69" s="922"/>
      <c r="G69" s="922"/>
      <c r="H69" s="922"/>
      <c r="I69" s="922"/>
      <c r="J69" s="922"/>
      <c r="K69" s="922"/>
      <c r="L69" s="922"/>
      <c r="M69" s="923"/>
    </row>
    <row r="70" spans="1:13" x14ac:dyDescent="0.35">
      <c r="A70" s="921"/>
      <c r="B70" s="922"/>
      <c r="C70" s="922"/>
      <c r="D70" s="922"/>
      <c r="E70" s="922"/>
      <c r="F70" s="922"/>
      <c r="G70" s="922"/>
      <c r="H70" s="922"/>
      <c r="I70" s="922"/>
      <c r="J70" s="922"/>
      <c r="K70" s="922"/>
      <c r="L70" s="922"/>
      <c r="M70" s="923"/>
    </row>
    <row r="71" spans="1:13" x14ac:dyDescent="0.35">
      <c r="A71" s="921"/>
      <c r="B71" s="922"/>
      <c r="C71" s="922"/>
      <c r="D71" s="922"/>
      <c r="E71" s="922"/>
      <c r="F71" s="922"/>
      <c r="G71" s="922"/>
      <c r="H71" s="922"/>
      <c r="I71" s="922"/>
      <c r="J71" s="922"/>
      <c r="K71" s="922"/>
      <c r="L71" s="922"/>
      <c r="M71" s="923"/>
    </row>
    <row r="72" spans="1:13" x14ac:dyDescent="0.35">
      <c r="A72" s="900"/>
      <c r="B72" s="900"/>
      <c r="C72" s="900"/>
      <c r="D72" s="900"/>
      <c r="E72" s="900"/>
      <c r="F72" s="900"/>
      <c r="G72" s="900"/>
      <c r="H72" s="900"/>
      <c r="I72" s="900"/>
      <c r="J72" s="900"/>
      <c r="K72" s="900"/>
      <c r="L72" s="900"/>
      <c r="M72" s="900"/>
    </row>
    <row r="73" spans="1:13" x14ac:dyDescent="0.35">
      <c r="A73" s="911" t="s">
        <v>315</v>
      </c>
      <c r="B73" s="912"/>
      <c r="C73" s="912"/>
      <c r="D73" s="912"/>
      <c r="E73" s="912"/>
      <c r="F73" s="912"/>
      <c r="G73" s="912"/>
      <c r="H73" s="912"/>
      <c r="I73" s="914"/>
      <c r="J73" s="914"/>
      <c r="K73" s="914"/>
      <c r="L73" s="914"/>
      <c r="M73" s="915"/>
    </row>
    <row r="74" spans="1:13" x14ac:dyDescent="0.35">
      <c r="A74" s="1859" t="s">
        <v>646</v>
      </c>
      <c r="B74" s="1860" t="s">
        <v>311</v>
      </c>
      <c r="C74" s="1861"/>
      <c r="D74"/>
      <c r="E74"/>
      <c r="F74"/>
      <c r="G74"/>
      <c r="H74"/>
      <c r="I74"/>
      <c r="J74"/>
      <c r="K74"/>
      <c r="L74"/>
      <c r="M74"/>
    </row>
    <row r="75" spans="1:13" x14ac:dyDescent="0.35">
      <c r="A75" s="1853"/>
      <c r="B75" s="1856" t="s">
        <v>312</v>
      </c>
      <c r="C75" s="1862" t="s">
        <v>646</v>
      </c>
      <c r="D75" s="895"/>
      <c r="E75" s="895"/>
      <c r="F75" s="895"/>
      <c r="G75" s="895"/>
      <c r="H75" s="895"/>
      <c r="I75" s="900"/>
      <c r="J75" s="900"/>
      <c r="K75" s="900"/>
      <c r="L75" s="900"/>
      <c r="M75" s="900"/>
    </row>
    <row r="76" spans="1:13" x14ac:dyDescent="0.35">
      <c r="A76" s="1854"/>
      <c r="B76" s="904" t="s">
        <v>313</v>
      </c>
      <c r="C76" s="1862" t="s">
        <v>646</v>
      </c>
      <c r="D76" s="895"/>
      <c r="E76" s="895"/>
      <c r="F76" s="895"/>
      <c r="G76" s="895"/>
      <c r="H76" s="895"/>
      <c r="I76" s="900"/>
      <c r="J76" s="900"/>
      <c r="K76" s="900"/>
      <c r="L76" s="900"/>
      <c r="M76" s="900"/>
    </row>
    <row r="77" spans="1:13" x14ac:dyDescent="0.35">
      <c r="A77" s="1854"/>
      <c r="B77" s="904" t="s">
        <v>1138</v>
      </c>
      <c r="C77" s="1862" t="s">
        <v>646</v>
      </c>
      <c r="D77" s="895"/>
      <c r="E77" s="895"/>
      <c r="F77" s="895"/>
      <c r="G77" s="895"/>
      <c r="H77" s="895"/>
      <c r="I77" s="900"/>
      <c r="J77" s="900"/>
      <c r="K77" s="900"/>
      <c r="L77" s="900"/>
      <c r="M77" s="900"/>
    </row>
    <row r="78" spans="1:13" x14ac:dyDescent="0.35">
      <c r="A78" s="1854"/>
      <c r="B78" s="904" t="s">
        <v>314</v>
      </c>
      <c r="C78" s="1862" t="s">
        <v>646</v>
      </c>
      <c r="D78" s="895"/>
      <c r="E78" s="895"/>
      <c r="F78" s="895"/>
      <c r="G78" s="895"/>
      <c r="H78" s="895"/>
      <c r="I78" s="900"/>
      <c r="J78" s="900"/>
      <c r="K78" s="900"/>
      <c r="L78" s="900"/>
      <c r="M78" s="900"/>
    </row>
    <row r="79" spans="1:13" x14ac:dyDescent="0.35">
      <c r="A79" s="1855"/>
      <c r="B79" s="1857" t="s">
        <v>43</v>
      </c>
      <c r="C79" s="1862" t="s">
        <v>646</v>
      </c>
      <c r="D79" s="895"/>
      <c r="E79" s="895"/>
      <c r="F79" s="895"/>
      <c r="G79" s="895"/>
      <c r="H79" s="895"/>
      <c r="I79" s="900"/>
      <c r="J79" s="900"/>
      <c r="K79" s="900"/>
      <c r="L79" s="900"/>
      <c r="M79" s="900"/>
    </row>
    <row r="80" spans="1:13" x14ac:dyDescent="0.35">
      <c r="D80" s="171"/>
      <c r="E80" s="1858"/>
      <c r="F80" s="1858"/>
      <c r="G80" s="1858"/>
      <c r="H80" s="1858"/>
      <c r="I80" s="1858"/>
      <c r="J80" s="1858"/>
      <c r="K80" s="1858"/>
      <c r="L80" s="1858"/>
      <c r="M80" s="1858"/>
    </row>
    <row r="81" spans="1:2" hidden="1" x14ac:dyDescent="0.35">
      <c r="A81" s="270"/>
    </row>
    <row r="82" spans="1:2" hidden="1" x14ac:dyDescent="0.35">
      <c r="A82" s="270"/>
    </row>
    <row r="83" spans="1:2" hidden="1" x14ac:dyDescent="0.35">
      <c r="A83" s="270"/>
    </row>
    <row r="84" spans="1:2" hidden="1" x14ac:dyDescent="0.35"/>
    <row r="85" spans="1:2" hidden="1" x14ac:dyDescent="0.35"/>
    <row r="86" spans="1:2" ht="0.75" hidden="1" customHeight="1" x14ac:dyDescent="0.35"/>
    <row r="87" spans="1:2" hidden="1" x14ac:dyDescent="0.35"/>
    <row r="88" spans="1:2" hidden="1" x14ac:dyDescent="0.35">
      <c r="B88" s="45" t="s">
        <v>646</v>
      </c>
    </row>
    <row r="89" spans="1:2" hidden="1" x14ac:dyDescent="0.35">
      <c r="B89" s="45" t="s">
        <v>647</v>
      </c>
    </row>
  </sheetData>
  <sheetProtection password="813F" sheet="1" objects="1" scenarios="1" selectLockedCells="1"/>
  <customSheetViews>
    <customSheetView guid="{51165254-F18A-4CD1-9981-8F2DE14CC76C}" showGridLines="0" fitToPage="1" hiddenRows="1" hiddenColumns="1" showRuler="0">
      <selection activeCell="A8" sqref="A8:C8"/>
      <colBreaks count="1" manualBreakCount="1">
        <brk id="4" max="1048575" man="1"/>
      </colBreaks>
      <pageMargins left="0.78740157480314965" right="0.78740157480314965" top="0.98425196850393704" bottom="0.98425196850393704" header="0.51181102362204722" footer="0.51181102362204722"/>
      <printOptions horizontalCentered="1" verticalCentered="1"/>
      <pageSetup paperSize="9" scale="53" orientation="portrait" r:id="rId1"/>
      <headerFooter alignWithMargins="0">
        <oddHeader>&amp;L&amp;F</oddHeader>
        <oddFooter xml:space="preserve">&amp;LDAF Dealer Business Plan&amp;CPrint date: &amp;D&amp;R&amp;P/&amp;N | DAF Trucks NV    </oddFooter>
      </headerFooter>
    </customSheetView>
  </customSheetViews>
  <mergeCells count="108">
    <mergeCell ref="K7:L7"/>
    <mergeCell ref="K8:L8"/>
    <mergeCell ref="K9:L9"/>
    <mergeCell ref="K10:L10"/>
    <mergeCell ref="K11:L11"/>
    <mergeCell ref="G29:H29"/>
    <mergeCell ref="A14:C14"/>
    <mergeCell ref="A15:C15"/>
    <mergeCell ref="A36:C36"/>
    <mergeCell ref="I7:J7"/>
    <mergeCell ref="G7:H7"/>
    <mergeCell ref="G28:H28"/>
    <mergeCell ref="G15:H15"/>
    <mergeCell ref="G16:H16"/>
    <mergeCell ref="G8:H8"/>
    <mergeCell ref="G30:H30"/>
    <mergeCell ref="D7:F7"/>
    <mergeCell ref="D28:F28"/>
    <mergeCell ref="I8:J8"/>
    <mergeCell ref="I9:J9"/>
    <mergeCell ref="I10:J10"/>
    <mergeCell ref="I11:J11"/>
    <mergeCell ref="I29:J29"/>
    <mergeCell ref="I30:J30"/>
    <mergeCell ref="A30:C30"/>
    <mergeCell ref="G38:H38"/>
    <mergeCell ref="A35:C35"/>
    <mergeCell ref="D36:F36"/>
    <mergeCell ref="G9:H9"/>
    <mergeCell ref="G10:H10"/>
    <mergeCell ref="G11:H11"/>
    <mergeCell ref="G12:H12"/>
    <mergeCell ref="G33:H33"/>
    <mergeCell ref="G34:H34"/>
    <mergeCell ref="G35:H35"/>
    <mergeCell ref="G17:H17"/>
    <mergeCell ref="G13:H13"/>
    <mergeCell ref="G14:H14"/>
    <mergeCell ref="D38:F38"/>
    <mergeCell ref="D37:F37"/>
    <mergeCell ref="A32:C32"/>
    <mergeCell ref="A31:C31"/>
    <mergeCell ref="A33:C33"/>
    <mergeCell ref="A34:C34"/>
    <mergeCell ref="K12:L12"/>
    <mergeCell ref="K13:L13"/>
    <mergeCell ref="K14:L14"/>
    <mergeCell ref="K15:L15"/>
    <mergeCell ref="K31:L31"/>
    <mergeCell ref="K32:L32"/>
    <mergeCell ref="K37:L37"/>
    <mergeCell ref="D30:F30"/>
    <mergeCell ref="I15:J15"/>
    <mergeCell ref="I16:J16"/>
    <mergeCell ref="I17:J17"/>
    <mergeCell ref="I28:J28"/>
    <mergeCell ref="G37:H37"/>
    <mergeCell ref="I12:J12"/>
    <mergeCell ref="I13:J13"/>
    <mergeCell ref="I14:J14"/>
    <mergeCell ref="D33:F33"/>
    <mergeCell ref="D34:F34"/>
    <mergeCell ref="D35:F35"/>
    <mergeCell ref="I33:J33"/>
    <mergeCell ref="I34:J34"/>
    <mergeCell ref="G31:H31"/>
    <mergeCell ref="K38:L38"/>
    <mergeCell ref="K16:L16"/>
    <mergeCell ref="K17:L17"/>
    <mergeCell ref="K29:L29"/>
    <mergeCell ref="K30:L30"/>
    <mergeCell ref="K33:L33"/>
    <mergeCell ref="K34:L34"/>
    <mergeCell ref="K35:L35"/>
    <mergeCell ref="K36:L36"/>
    <mergeCell ref="K28:L28"/>
    <mergeCell ref="A8:C8"/>
    <mergeCell ref="A9:C9"/>
    <mergeCell ref="D17:F17"/>
    <mergeCell ref="D8:F8"/>
    <mergeCell ref="D9:F9"/>
    <mergeCell ref="D10:F10"/>
    <mergeCell ref="D11:F11"/>
    <mergeCell ref="A10:C10"/>
    <mergeCell ref="D29:F29"/>
    <mergeCell ref="A11:C11"/>
    <mergeCell ref="A13:C13"/>
    <mergeCell ref="D13:F13"/>
    <mergeCell ref="D14:F14"/>
    <mergeCell ref="D15:F15"/>
    <mergeCell ref="D16:F16"/>
    <mergeCell ref="D12:F12"/>
    <mergeCell ref="A12:C12"/>
    <mergeCell ref="A16:C16"/>
    <mergeCell ref="A17:C17"/>
    <mergeCell ref="A29:C29"/>
    <mergeCell ref="I38:J38"/>
    <mergeCell ref="G36:H36"/>
    <mergeCell ref="G32:H32"/>
    <mergeCell ref="I35:J35"/>
    <mergeCell ref="I36:J36"/>
    <mergeCell ref="A37:C37"/>
    <mergeCell ref="I37:J37"/>
    <mergeCell ref="D31:F31"/>
    <mergeCell ref="D32:F32"/>
    <mergeCell ref="I31:J31"/>
    <mergeCell ref="I32:J32"/>
    <mergeCell ref="A38:C38"/>
  </mergeCells>
  <phoneticPr fontId="11" type="noConversion"/>
  <dataValidations count="7">
    <dataValidation type="list" allowBlank="1" showInputMessage="1" showErrorMessage="1" sqref="A74">
      <formula1>$E$58:$E$60</formula1>
    </dataValidation>
    <dataValidation type="list" allowBlank="1" showInputMessage="1" showErrorMessage="1" sqref="K8:L17 K29:L38">
      <formula1>$A$58:$A$64</formula1>
    </dataValidation>
    <dataValidation type="list" allowBlank="1" showInputMessage="1" showErrorMessage="1" sqref="G29:H38 G8:H17">
      <formula1>$F$58:$F$61</formula1>
    </dataValidation>
    <dataValidation type="list" allowBlank="1" showInputMessage="1" showErrorMessage="1" sqref="M8:M17 M30:M38">
      <formula1>$B$58:$B$62</formula1>
    </dataValidation>
    <dataValidation type="list" allowBlank="1" showInputMessage="1" showErrorMessage="1" sqref="I8:I17 I29:I38">
      <formula1>$H$58:$H$64</formula1>
    </dataValidation>
    <dataValidation type="list" allowBlank="1" showInputMessage="1" showErrorMessage="1" sqref="M29">
      <formula1>$C$58:$C$65</formula1>
    </dataValidation>
    <dataValidation type="list" allowBlank="1" showInputMessage="1" showErrorMessage="1" sqref="C75:C79">
      <formula1>$B$87:$B$89</formula1>
    </dataValidation>
  </dataValidations>
  <printOptions horizontalCentered="1" verticalCentered="1"/>
  <pageMargins left="0.78740157480314965" right="0.78740157480314965" top="0.98425196850393704" bottom="0.98425196850393704" header="0.51181102362204722" footer="0.51181102362204722"/>
  <pageSetup paperSize="9" scale="53" orientation="portrait" r:id="rId2"/>
  <headerFooter alignWithMargins="0">
    <oddHeader>&amp;L&amp;F</oddHeader>
    <oddFooter xml:space="preserve">&amp;LDAF Dealer Business Plan - Version January 2011&amp;CPrint date: &amp;D&amp;R&amp;P/&amp;N | DAF Trucks NV    </oddFooter>
  </headerFooter>
  <colBreaks count="1" manualBreakCount="1">
    <brk id="4" max="1048575" man="1"/>
  </colBreaks>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8">
    <tabColor indexed="55"/>
    <pageSetUpPr fitToPage="1"/>
  </sheetPr>
  <dimension ref="A1:Q65"/>
  <sheetViews>
    <sheetView showGridLines="0" zoomScaleNormal="100" workbookViewId="0">
      <pane ySplit="4" topLeftCell="A12" activePane="bottomLeft" state="frozen"/>
      <selection pane="bottomLeft" activeCell="A45" sqref="A45"/>
    </sheetView>
  </sheetViews>
  <sheetFormatPr baseColWidth="10" defaultColWidth="0" defaultRowHeight="14.4" zeroHeight="1" x14ac:dyDescent="0.35"/>
  <cols>
    <col min="1" max="10" width="11.6640625" style="45" customWidth="1"/>
    <col min="11" max="11" width="32" style="45" bestFit="1" customWidth="1"/>
    <col min="12" max="12" width="1.77734375" style="44" customWidth="1"/>
    <col min="13" max="16384" width="9.109375" style="45" hidden="1"/>
  </cols>
  <sheetData>
    <row r="1" spans="1:12" s="209" customFormat="1" ht="28.8" x14ac:dyDescent="0.55000000000000004">
      <c r="A1" s="200" t="s">
        <v>679</v>
      </c>
      <c r="B1" s="201"/>
      <c r="C1" s="201"/>
      <c r="D1" s="201"/>
      <c r="E1" s="201"/>
      <c r="F1" s="201"/>
      <c r="G1" s="201"/>
      <c r="H1" s="201"/>
      <c r="I1" s="201"/>
      <c r="J1" s="201"/>
      <c r="K1" s="202" t="s">
        <v>686</v>
      </c>
      <c r="L1" s="1569"/>
    </row>
    <row r="2" spans="1:12" s="209" customFormat="1" ht="22.2" x14ac:dyDescent="0.45">
      <c r="A2" s="135"/>
      <c r="B2" s="169"/>
      <c r="C2" s="170"/>
      <c r="D2" s="171"/>
      <c r="E2" s="172"/>
      <c r="F2" s="136"/>
      <c r="G2" s="136"/>
      <c r="H2" s="173"/>
      <c r="I2" s="171"/>
      <c r="J2" s="171"/>
      <c r="K2" s="174"/>
      <c r="L2" s="1569"/>
    </row>
    <row r="3" spans="1:12" x14ac:dyDescent="0.35">
      <c r="A3" s="135" t="s">
        <v>1049</v>
      </c>
      <c r="B3" s="169"/>
      <c r="C3" s="164" t="str">
        <f>'Reference sheet'!C12</f>
        <v>TRUCK INTERNATIONAL MOBILITY SA</v>
      </c>
      <c r="D3" s="171"/>
      <c r="E3" s="172"/>
      <c r="F3" s="136"/>
      <c r="G3" s="175" t="s">
        <v>1037</v>
      </c>
      <c r="H3" s="862" t="str">
        <f>'Reference sheet'!C17</f>
        <v>October</v>
      </c>
      <c r="I3" s="863">
        <f>'Reference sheet'!D17</f>
        <v>2018</v>
      </c>
      <c r="J3" s="175" t="s">
        <v>1036</v>
      </c>
      <c r="K3" s="177">
        <f>'Reference sheet'!C15</f>
        <v>2</v>
      </c>
    </row>
    <row r="4" spans="1:12" x14ac:dyDescent="0.35">
      <c r="A4" s="145"/>
      <c r="B4" s="178"/>
      <c r="C4" s="146"/>
      <c r="D4" s="146"/>
      <c r="E4" s="146"/>
      <c r="F4" s="146"/>
      <c r="G4" s="179"/>
      <c r="H4" s="146"/>
      <c r="I4" s="146"/>
      <c r="J4" s="146"/>
      <c r="K4" s="180"/>
    </row>
    <row r="5" spans="1:12" ht="13.2" customHeight="1" x14ac:dyDescent="0.35"/>
    <row r="6" spans="1:12" ht="13.2" customHeight="1" x14ac:dyDescent="0.35">
      <c r="A6" s="832" t="s">
        <v>1154</v>
      </c>
      <c r="B6" s="835"/>
      <c r="C6" s="835"/>
      <c r="D6" s="835"/>
      <c r="E6" s="835"/>
      <c r="F6" s="835"/>
      <c r="G6" s="835"/>
      <c r="H6" s="835"/>
      <c r="I6" s="835"/>
      <c r="J6" s="835"/>
      <c r="K6" s="836"/>
    </row>
    <row r="7" spans="1:12" ht="13.2" customHeight="1" x14ac:dyDescent="0.35">
      <c r="A7" s="147"/>
      <c r="B7" s="148"/>
      <c r="C7" s="148">
        <f>E7-1</f>
        <v>2017</v>
      </c>
      <c r="D7" s="148"/>
      <c r="E7" s="148">
        <f>G7-1</f>
        <v>2018</v>
      </c>
      <c r="F7" s="148"/>
      <c r="G7" s="148">
        <f>'Reference sheet'!C18</f>
        <v>2019</v>
      </c>
      <c r="H7" s="148"/>
      <c r="I7" s="271" t="s">
        <v>1056</v>
      </c>
      <c r="J7" s="148"/>
      <c r="K7" s="272" t="s">
        <v>1120</v>
      </c>
    </row>
    <row r="8" spans="1:12" ht="13.2" customHeight="1" x14ac:dyDescent="0.35">
      <c r="A8" s="135" t="s">
        <v>1061</v>
      </c>
      <c r="B8" s="136"/>
      <c r="C8" s="399">
        <f>'5.1 DAF Vehicle Parc Input'!G27</f>
        <v>0</v>
      </c>
      <c r="D8" s="171"/>
      <c r="E8" s="399">
        <f>'5.1 DAF Vehicle Parc Input'!F27</f>
        <v>0</v>
      </c>
      <c r="F8" s="171"/>
      <c r="G8" s="399">
        <f>'5.1 DAF Vehicle Parc Input'!E27</f>
        <v>0</v>
      </c>
      <c r="H8" s="171"/>
      <c r="I8" s="171">
        <f t="shared" ref="I8:I13" si="0">SUM(C8:G8)</f>
        <v>0</v>
      </c>
      <c r="J8" s="171"/>
      <c r="K8" s="273">
        <f t="shared" ref="K8:K14" si="1">IF($I$14=0,0,I8/$I$14)</f>
        <v>0</v>
      </c>
    </row>
    <row r="9" spans="1:12" ht="13.2" customHeight="1" x14ac:dyDescent="0.35">
      <c r="A9" s="135" t="s">
        <v>1062</v>
      </c>
      <c r="B9" s="136"/>
      <c r="C9" s="399">
        <f>'5.1 DAF Vehicle Parc Input'!G28</f>
        <v>0</v>
      </c>
      <c r="D9" s="171"/>
      <c r="E9" s="399">
        <f>'5.1 DAF Vehicle Parc Input'!F28</f>
        <v>0</v>
      </c>
      <c r="F9" s="171"/>
      <c r="G9" s="399">
        <f>'5.1 DAF Vehicle Parc Input'!E28</f>
        <v>0</v>
      </c>
      <c r="H9" s="171"/>
      <c r="I9" s="171">
        <f t="shared" si="0"/>
        <v>0</v>
      </c>
      <c r="J9" s="171"/>
      <c r="K9" s="273">
        <f t="shared" si="1"/>
        <v>0</v>
      </c>
    </row>
    <row r="10" spans="1:12" ht="13.2" customHeight="1" x14ac:dyDescent="0.35">
      <c r="A10" s="135" t="s">
        <v>1063</v>
      </c>
      <c r="B10" s="136"/>
      <c r="C10" s="399">
        <f>'5.1 DAF Vehicle Parc Input'!G29</f>
        <v>0</v>
      </c>
      <c r="D10" s="171"/>
      <c r="E10" s="399">
        <f>'5.1 DAF Vehicle Parc Input'!F29</f>
        <v>0</v>
      </c>
      <c r="F10" s="171"/>
      <c r="G10" s="399">
        <f>'5.1 DAF Vehicle Parc Input'!E29</f>
        <v>0</v>
      </c>
      <c r="H10" s="171"/>
      <c r="I10" s="171">
        <f t="shared" si="0"/>
        <v>0</v>
      </c>
      <c r="J10" s="171"/>
      <c r="K10" s="273">
        <f t="shared" si="1"/>
        <v>0</v>
      </c>
    </row>
    <row r="11" spans="1:12" ht="13.2" customHeight="1" x14ac:dyDescent="0.35">
      <c r="A11" s="135" t="s">
        <v>1064</v>
      </c>
      <c r="B11" s="136"/>
      <c r="C11" s="399">
        <f>'5.1 DAF Vehicle Parc Input'!G30</f>
        <v>0</v>
      </c>
      <c r="D11" s="171"/>
      <c r="E11" s="399">
        <f>'5.1 DAF Vehicle Parc Input'!F30</f>
        <v>0</v>
      </c>
      <c r="F11" s="171"/>
      <c r="G11" s="399">
        <f>'5.1 DAF Vehicle Parc Input'!E30</f>
        <v>0</v>
      </c>
      <c r="H11" s="171"/>
      <c r="I11" s="171">
        <f t="shared" si="0"/>
        <v>0</v>
      </c>
      <c r="J11" s="171"/>
      <c r="K11" s="273">
        <f t="shared" si="1"/>
        <v>0</v>
      </c>
    </row>
    <row r="12" spans="1:12" ht="13.2" customHeight="1" x14ac:dyDescent="0.35">
      <c r="A12" s="135" t="s">
        <v>1065</v>
      </c>
      <c r="B12" s="136"/>
      <c r="C12" s="399">
        <f>'5.1 DAF Vehicle Parc Input'!G31</f>
        <v>22</v>
      </c>
      <c r="D12" s="171"/>
      <c r="E12" s="399">
        <f>'5.1 DAF Vehicle Parc Input'!F31</f>
        <v>19</v>
      </c>
      <c r="F12" s="171"/>
      <c r="G12" s="399">
        <f>'5.1 DAF Vehicle Parc Input'!E31</f>
        <v>17</v>
      </c>
      <c r="H12" s="171"/>
      <c r="I12" s="171">
        <f t="shared" si="0"/>
        <v>58</v>
      </c>
      <c r="J12" s="171"/>
      <c r="K12" s="273">
        <f t="shared" si="1"/>
        <v>1</v>
      </c>
    </row>
    <row r="13" spans="1:12" ht="13.2" customHeight="1" x14ac:dyDescent="0.35">
      <c r="A13" s="135" t="s">
        <v>562</v>
      </c>
      <c r="B13" s="136"/>
      <c r="C13" s="2005">
        <f>'5.1 DAF Vehicle Parc Input'!G33</f>
        <v>0</v>
      </c>
      <c r="D13" s="171"/>
      <c r="E13" s="2005">
        <f>'5.1 DAF Vehicle Parc Input'!F33</f>
        <v>0</v>
      </c>
      <c r="F13" s="171"/>
      <c r="G13" s="2005">
        <f>'5.1 DAF Vehicle Parc Input'!E33</f>
        <v>0</v>
      </c>
      <c r="H13" s="171"/>
      <c r="I13" s="224">
        <f t="shared" si="0"/>
        <v>0</v>
      </c>
      <c r="J13" s="171"/>
      <c r="K13" s="273">
        <f t="shared" si="1"/>
        <v>0</v>
      </c>
    </row>
    <row r="14" spans="1:12" ht="13.2" customHeight="1" x14ac:dyDescent="0.35">
      <c r="A14" s="145" t="s">
        <v>1056</v>
      </c>
      <c r="B14" s="146"/>
      <c r="C14" s="146">
        <f>SUM(C8:C13)</f>
        <v>22</v>
      </c>
      <c r="D14" s="146"/>
      <c r="E14" s="146">
        <f>SUM(E8:E13)</f>
        <v>19</v>
      </c>
      <c r="F14" s="224"/>
      <c r="G14" s="146">
        <f>SUM(G8:G13)</f>
        <v>17</v>
      </c>
      <c r="H14" s="224"/>
      <c r="I14" s="146">
        <f>SUM(I8:I13)</f>
        <v>58</v>
      </c>
      <c r="J14" s="224"/>
      <c r="K14" s="274">
        <f t="shared" si="1"/>
        <v>1</v>
      </c>
    </row>
    <row r="15" spans="1:12" ht="13.2" customHeight="1" x14ac:dyDescent="0.35">
      <c r="A15" s="136"/>
      <c r="B15" s="136"/>
      <c r="C15" s="136"/>
      <c r="D15" s="136"/>
      <c r="E15" s="136"/>
      <c r="F15" s="136"/>
      <c r="G15" s="136"/>
      <c r="H15" s="136"/>
      <c r="I15" s="136"/>
      <c r="J15" s="136"/>
      <c r="K15" s="136"/>
    </row>
    <row r="16" spans="1:12" ht="13.2" customHeight="1" x14ac:dyDescent="0.35">
      <c r="A16" s="832" t="s">
        <v>1028</v>
      </c>
      <c r="B16" s="835"/>
      <c r="C16" s="835"/>
      <c r="D16" s="835"/>
      <c r="E16" s="835"/>
      <c r="F16" s="835"/>
      <c r="G16" s="835"/>
      <c r="H16" s="835"/>
      <c r="I16" s="835"/>
      <c r="J16" s="835"/>
      <c r="K16" s="836"/>
    </row>
    <row r="17" spans="1:17" ht="13.2" customHeight="1" x14ac:dyDescent="0.35">
      <c r="A17" s="853"/>
      <c r="B17" s="854"/>
      <c r="C17" s="854"/>
      <c r="D17" s="854"/>
      <c r="E17" s="854"/>
      <c r="F17" s="854"/>
      <c r="G17" s="854"/>
      <c r="H17" s="854"/>
      <c r="I17" s="854"/>
      <c r="J17" s="854"/>
      <c r="K17" s="855"/>
    </row>
    <row r="18" spans="1:17" ht="13.2" customHeight="1" x14ac:dyDescent="0.35">
      <c r="A18" s="856"/>
      <c r="B18" s="852"/>
      <c r="C18" s="852"/>
      <c r="D18" s="852"/>
      <c r="E18" s="852"/>
      <c r="F18" s="852"/>
      <c r="G18" s="852"/>
      <c r="H18" s="852"/>
      <c r="I18" s="852"/>
      <c r="J18" s="852"/>
      <c r="K18" s="857"/>
    </row>
    <row r="19" spans="1:17" ht="13.2" customHeight="1" x14ac:dyDescent="0.35">
      <c r="A19" s="856"/>
      <c r="B19" s="852"/>
      <c r="C19" s="852"/>
      <c r="D19" s="852"/>
      <c r="E19" s="852"/>
      <c r="F19" s="852"/>
      <c r="G19" s="852"/>
      <c r="H19" s="852"/>
      <c r="I19" s="852"/>
      <c r="J19" s="852"/>
      <c r="K19" s="857"/>
    </row>
    <row r="20" spans="1:17" ht="13.2" customHeight="1" x14ac:dyDescent="0.35">
      <c r="A20" s="858"/>
      <c r="B20" s="859"/>
      <c r="C20" s="859"/>
      <c r="D20" s="859"/>
      <c r="E20" s="859"/>
      <c r="F20" s="859"/>
      <c r="G20" s="859"/>
      <c r="H20" s="859"/>
      <c r="I20" s="859"/>
      <c r="J20" s="859"/>
      <c r="K20" s="860"/>
    </row>
    <row r="21" spans="1:17" ht="13.2" customHeight="1" x14ac:dyDescent="0.35">
      <c r="Q21" s="219"/>
    </row>
    <row r="22" spans="1:17" ht="13.2" customHeight="1" x14ac:dyDescent="0.35">
      <c r="A22" s="832" t="s">
        <v>721</v>
      </c>
      <c r="B22" s="833"/>
      <c r="C22" s="833"/>
      <c r="D22" s="833"/>
      <c r="E22" s="833"/>
      <c r="F22" s="833"/>
      <c r="G22" s="833"/>
      <c r="H22" s="833"/>
      <c r="I22" s="833"/>
      <c r="J22" s="833"/>
      <c r="K22" s="834"/>
    </row>
    <row r="23" spans="1:17" ht="13.2" customHeight="1" x14ac:dyDescent="0.35">
      <c r="A23" s="853"/>
      <c r="B23" s="854"/>
      <c r="C23" s="854"/>
      <c r="D23" s="854"/>
      <c r="E23" s="854"/>
      <c r="F23" s="854"/>
      <c r="G23" s="854"/>
      <c r="H23" s="854"/>
      <c r="I23" s="854"/>
      <c r="J23" s="854"/>
      <c r="K23" s="855"/>
    </row>
    <row r="24" spans="1:17" ht="13.2" customHeight="1" x14ac:dyDescent="0.35">
      <c r="A24" s="856"/>
      <c r="B24" s="852"/>
      <c r="C24" s="852"/>
      <c r="D24" s="852"/>
      <c r="E24" s="852"/>
      <c r="F24" s="852"/>
      <c r="G24" s="852"/>
      <c r="H24" s="852"/>
      <c r="I24" s="852"/>
      <c r="J24" s="852"/>
      <c r="K24" s="857"/>
    </row>
    <row r="25" spans="1:17" ht="13.2" customHeight="1" x14ac:dyDescent="0.35">
      <c r="A25" s="856"/>
      <c r="B25" s="852"/>
      <c r="C25" s="852"/>
      <c r="D25" s="852"/>
      <c r="E25" s="852"/>
      <c r="F25" s="852"/>
      <c r="G25" s="852"/>
      <c r="H25" s="852"/>
      <c r="I25" s="852"/>
      <c r="J25" s="852"/>
      <c r="K25" s="857"/>
    </row>
    <row r="26" spans="1:17" ht="13.2" customHeight="1" x14ac:dyDescent="0.35">
      <c r="A26" s="858"/>
      <c r="B26" s="859"/>
      <c r="C26" s="859"/>
      <c r="D26" s="859"/>
      <c r="E26" s="859"/>
      <c r="F26" s="859"/>
      <c r="G26" s="859"/>
      <c r="H26" s="859"/>
      <c r="I26" s="859"/>
      <c r="J26" s="859"/>
      <c r="K26" s="860"/>
    </row>
    <row r="27" spans="1:17" ht="13.2" customHeight="1" x14ac:dyDescent="0.35"/>
    <row r="28" spans="1:17" ht="13.2" customHeight="1" x14ac:dyDescent="0.35">
      <c r="A28" s="832" t="s">
        <v>720</v>
      </c>
      <c r="B28" s="833"/>
      <c r="C28" s="833"/>
      <c r="D28" s="833"/>
      <c r="E28" s="833"/>
      <c r="F28" s="833"/>
      <c r="G28" s="833"/>
      <c r="H28" s="833"/>
      <c r="I28" s="833"/>
      <c r="J28" s="833"/>
      <c r="K28" s="834"/>
    </row>
    <row r="29" spans="1:17" ht="13.2" customHeight="1" x14ac:dyDescent="0.35">
      <c r="A29" s="853"/>
      <c r="B29" s="854"/>
      <c r="C29" s="854"/>
      <c r="D29" s="854"/>
      <c r="E29" s="854"/>
      <c r="F29" s="854"/>
      <c r="G29" s="854"/>
      <c r="H29" s="854"/>
      <c r="I29" s="854"/>
      <c r="J29" s="854"/>
      <c r="K29" s="855"/>
    </row>
    <row r="30" spans="1:17" ht="13.2" customHeight="1" x14ac:dyDescent="0.35">
      <c r="A30" s="856"/>
      <c r="B30" s="852"/>
      <c r="C30" s="852"/>
      <c r="D30" s="852"/>
      <c r="E30" s="852"/>
      <c r="F30" s="852"/>
      <c r="G30" s="852"/>
      <c r="H30" s="852"/>
      <c r="I30" s="852"/>
      <c r="J30" s="852"/>
      <c r="K30" s="857"/>
    </row>
    <row r="31" spans="1:17" ht="13.2" customHeight="1" x14ac:dyDescent="0.35">
      <c r="A31" s="856"/>
      <c r="B31" s="852"/>
      <c r="C31" s="852"/>
      <c r="D31" s="852"/>
      <c r="E31" s="852"/>
      <c r="F31" s="852"/>
      <c r="G31" s="852"/>
      <c r="H31" s="852"/>
      <c r="I31" s="852"/>
      <c r="J31" s="852"/>
      <c r="K31" s="857"/>
    </row>
    <row r="32" spans="1:17" ht="13.2" customHeight="1" x14ac:dyDescent="0.35">
      <c r="A32" s="858"/>
      <c r="B32" s="859"/>
      <c r="C32" s="859"/>
      <c r="D32" s="859"/>
      <c r="E32" s="859"/>
      <c r="F32" s="859"/>
      <c r="G32" s="859"/>
      <c r="H32" s="859"/>
      <c r="I32" s="859"/>
      <c r="J32" s="859"/>
      <c r="K32" s="860"/>
    </row>
    <row r="33" spans="1:12" x14ac:dyDescent="0.35"/>
    <row r="34" spans="1:12" s="199" customFormat="1" x14ac:dyDescent="0.35">
      <c r="A34" s="832" t="s">
        <v>954</v>
      </c>
      <c r="B34" s="833"/>
      <c r="C34" s="833"/>
      <c r="D34" s="833"/>
      <c r="E34" s="833"/>
      <c r="F34" s="833"/>
      <c r="G34" s="833"/>
      <c r="H34" s="833"/>
      <c r="I34" s="833"/>
      <c r="J34" s="833"/>
      <c r="K34" s="834"/>
      <c r="L34" s="44"/>
    </row>
    <row r="35" spans="1:12" s="199" customFormat="1" x14ac:dyDescent="0.35">
      <c r="A35" s="853"/>
      <c r="B35" s="854"/>
      <c r="C35" s="854"/>
      <c r="D35" s="854"/>
      <c r="E35" s="854"/>
      <c r="F35" s="854"/>
      <c r="G35" s="854"/>
      <c r="H35" s="854"/>
      <c r="I35" s="854"/>
      <c r="J35" s="854"/>
      <c r="K35" s="855"/>
      <c r="L35" s="44"/>
    </row>
    <row r="36" spans="1:12" s="199" customFormat="1" x14ac:dyDescent="0.35">
      <c r="A36" s="856"/>
      <c r="B36" s="852"/>
      <c r="C36" s="852"/>
      <c r="D36" s="852"/>
      <c r="E36" s="852"/>
      <c r="F36" s="852"/>
      <c r="G36" s="852"/>
      <c r="H36" s="852"/>
      <c r="I36" s="852"/>
      <c r="J36" s="852"/>
      <c r="K36" s="857"/>
      <c r="L36" s="44"/>
    </row>
    <row r="37" spans="1:12" s="199" customFormat="1" x14ac:dyDescent="0.35">
      <c r="A37" s="856"/>
      <c r="B37" s="852"/>
      <c r="C37" s="852"/>
      <c r="D37" s="852"/>
      <c r="E37" s="852"/>
      <c r="F37" s="852"/>
      <c r="G37" s="852"/>
      <c r="H37" s="852"/>
      <c r="I37" s="852"/>
      <c r="J37" s="852"/>
      <c r="K37" s="857"/>
      <c r="L37" s="44"/>
    </row>
    <row r="38" spans="1:12" s="199" customFormat="1" x14ac:dyDescent="0.35">
      <c r="A38" s="858"/>
      <c r="B38" s="859"/>
      <c r="C38" s="859"/>
      <c r="D38" s="859"/>
      <c r="E38" s="859"/>
      <c r="F38" s="859"/>
      <c r="G38" s="859"/>
      <c r="H38" s="859"/>
      <c r="I38" s="859"/>
      <c r="J38" s="859"/>
      <c r="K38" s="860"/>
      <c r="L38" s="44"/>
    </row>
    <row r="39" spans="1:12" s="199" customFormat="1" x14ac:dyDescent="0.35">
      <c r="A39" s="171"/>
      <c r="B39" s="171"/>
      <c r="C39" s="171"/>
      <c r="D39" s="171"/>
      <c r="E39" s="171"/>
      <c r="F39" s="171"/>
      <c r="G39" s="171"/>
      <c r="H39" s="171"/>
      <c r="I39" s="171"/>
      <c r="J39" s="171"/>
      <c r="K39" s="171"/>
      <c r="L39" s="44"/>
    </row>
    <row r="40" spans="1:12" s="199" customFormat="1" x14ac:dyDescent="0.35">
      <c r="A40" s="832" t="s">
        <v>955</v>
      </c>
      <c r="B40" s="833"/>
      <c r="C40" s="833"/>
      <c r="D40" s="833"/>
      <c r="E40" s="833"/>
      <c r="F40" s="833"/>
      <c r="G40" s="833"/>
      <c r="H40" s="833"/>
      <c r="I40" s="833"/>
      <c r="J40" s="833"/>
      <c r="K40" s="834"/>
      <c r="L40" s="44"/>
    </row>
    <row r="41" spans="1:12" s="199" customFormat="1" x14ac:dyDescent="0.35">
      <c r="A41" s="853"/>
      <c r="B41" s="854"/>
      <c r="C41" s="854"/>
      <c r="D41" s="854"/>
      <c r="E41" s="854"/>
      <c r="F41" s="854"/>
      <c r="G41" s="854"/>
      <c r="H41" s="854"/>
      <c r="I41" s="854"/>
      <c r="J41" s="854"/>
      <c r="K41" s="855"/>
      <c r="L41" s="44"/>
    </row>
    <row r="42" spans="1:12" s="199" customFormat="1" x14ac:dyDescent="0.35">
      <c r="A42" s="856"/>
      <c r="B42" s="852"/>
      <c r="C42" s="852"/>
      <c r="D42" s="852"/>
      <c r="E42" s="852"/>
      <c r="F42" s="852"/>
      <c r="G42" s="852"/>
      <c r="H42" s="852"/>
      <c r="I42" s="852"/>
      <c r="J42" s="852"/>
      <c r="K42" s="857"/>
      <c r="L42" s="44"/>
    </row>
    <row r="43" spans="1:12" s="199" customFormat="1" x14ac:dyDescent="0.35">
      <c r="A43" s="856"/>
      <c r="B43" s="852"/>
      <c r="C43" s="852"/>
      <c r="D43" s="852"/>
      <c r="E43" s="852"/>
      <c r="F43" s="852"/>
      <c r="G43" s="852"/>
      <c r="H43" s="852"/>
      <c r="I43" s="852"/>
      <c r="J43" s="852"/>
      <c r="K43" s="857"/>
      <c r="L43" s="44"/>
    </row>
    <row r="44" spans="1:12" s="199" customFormat="1" x14ac:dyDescent="0.35">
      <c r="A44" s="858"/>
      <c r="B44" s="859"/>
      <c r="C44" s="859"/>
      <c r="D44" s="859"/>
      <c r="E44" s="859"/>
      <c r="F44" s="859"/>
      <c r="G44" s="859"/>
      <c r="H44" s="859"/>
      <c r="I44" s="859"/>
      <c r="J44" s="859"/>
      <c r="K44" s="860" t="s">
        <v>1319</v>
      </c>
      <c r="L44" s="44"/>
    </row>
    <row r="45" spans="1:12" s="199" customFormat="1" x14ac:dyDescent="0.35">
      <c r="A45" s="225"/>
      <c r="B45" s="231"/>
      <c r="C45" s="231"/>
      <c r="D45" s="231"/>
      <c r="E45" s="231"/>
      <c r="F45" s="231"/>
      <c r="G45" s="231"/>
      <c r="H45" s="231"/>
      <c r="I45" s="231"/>
      <c r="J45" s="231"/>
      <c r="K45" s="225"/>
      <c r="L45" s="44"/>
    </row>
    <row r="46" spans="1:12" x14ac:dyDescent="0.35">
      <c r="A46" s="832" t="s">
        <v>915</v>
      </c>
      <c r="B46" s="835"/>
      <c r="C46" s="835"/>
      <c r="D46" s="835"/>
      <c r="E46" s="835"/>
      <c r="F46" s="835"/>
      <c r="G46" s="835"/>
      <c r="H46" s="835"/>
      <c r="I46" s="835"/>
      <c r="J46" s="835"/>
      <c r="K46" s="836"/>
    </row>
    <row r="47" spans="1:12" x14ac:dyDescent="0.35">
      <c r="A47" s="853"/>
      <c r="B47" s="854"/>
      <c r="C47" s="854"/>
      <c r="D47" s="854"/>
      <c r="E47" s="854"/>
      <c r="F47" s="854"/>
      <c r="G47" s="854"/>
      <c r="H47" s="854"/>
      <c r="I47" s="854"/>
      <c r="J47" s="854"/>
      <c r="K47" s="855"/>
    </row>
    <row r="48" spans="1:12" x14ac:dyDescent="0.35">
      <c r="A48" s="856"/>
      <c r="B48" s="852"/>
      <c r="C48" s="852"/>
      <c r="D48" s="852"/>
      <c r="E48" s="852"/>
      <c r="F48" s="852"/>
      <c r="G48" s="852"/>
      <c r="H48" s="852"/>
      <c r="I48" s="852"/>
      <c r="J48" s="852"/>
      <c r="K48" s="857"/>
    </row>
    <row r="49" spans="1:12" x14ac:dyDescent="0.35">
      <c r="A49" s="856"/>
      <c r="B49" s="852"/>
      <c r="C49" s="852"/>
      <c r="D49" s="852"/>
      <c r="E49" s="852"/>
      <c r="F49" s="852"/>
      <c r="G49" s="852"/>
      <c r="H49" s="852"/>
      <c r="I49" s="852"/>
      <c r="J49" s="852"/>
      <c r="K49" s="857"/>
    </row>
    <row r="50" spans="1:12" x14ac:dyDescent="0.35">
      <c r="A50" s="858"/>
      <c r="B50" s="859"/>
      <c r="C50" s="859"/>
      <c r="D50" s="859"/>
      <c r="E50" s="859"/>
      <c r="F50" s="859"/>
      <c r="G50" s="859"/>
      <c r="H50" s="859"/>
      <c r="I50" s="859"/>
      <c r="J50" s="859"/>
      <c r="K50" s="860"/>
    </row>
    <row r="51" spans="1:12" x14ac:dyDescent="0.35"/>
    <row r="52" spans="1:12" x14ac:dyDescent="0.35">
      <c r="A52" s="832" t="s">
        <v>916</v>
      </c>
      <c r="B52" s="835"/>
      <c r="C52" s="835"/>
      <c r="D52" s="835"/>
      <c r="E52" s="835"/>
      <c r="F52" s="835"/>
      <c r="G52" s="835"/>
      <c r="H52" s="835"/>
      <c r="I52" s="835"/>
      <c r="J52" s="835"/>
      <c r="K52" s="836"/>
    </row>
    <row r="53" spans="1:12" x14ac:dyDescent="0.35">
      <c r="A53" s="853"/>
      <c r="B53" s="854"/>
      <c r="C53" s="854"/>
      <c r="D53" s="854"/>
      <c r="E53" s="854"/>
      <c r="F53" s="854"/>
      <c r="G53" s="854"/>
      <c r="H53" s="854"/>
      <c r="I53" s="854"/>
      <c r="J53" s="854"/>
      <c r="K53" s="855"/>
    </row>
    <row r="54" spans="1:12" hidden="1" x14ac:dyDescent="0.35">
      <c r="A54" s="856"/>
      <c r="B54" s="852"/>
      <c r="C54" s="852"/>
      <c r="D54" s="852"/>
      <c r="E54" s="852"/>
      <c r="F54" s="852"/>
      <c r="G54" s="852"/>
      <c r="H54" s="852"/>
      <c r="I54" s="852"/>
      <c r="J54" s="852"/>
      <c r="K54" s="857"/>
    </row>
    <row r="55" spans="1:12" hidden="1" x14ac:dyDescent="0.35">
      <c r="A55" s="856"/>
      <c r="B55" s="852"/>
      <c r="C55" s="852"/>
      <c r="D55" s="852"/>
      <c r="E55" s="852"/>
      <c r="F55" s="852"/>
      <c r="G55" s="852"/>
      <c r="H55" s="852"/>
      <c r="I55" s="852"/>
      <c r="J55" s="852"/>
      <c r="K55" s="857"/>
    </row>
    <row r="56" spans="1:12" hidden="1" x14ac:dyDescent="0.35">
      <c r="A56" s="858"/>
      <c r="B56" s="859"/>
      <c r="C56" s="859"/>
      <c r="D56" s="859"/>
      <c r="E56" s="859"/>
      <c r="F56" s="859"/>
      <c r="G56" s="859"/>
      <c r="H56" s="859"/>
      <c r="I56" s="859"/>
      <c r="J56" s="859"/>
      <c r="K56" s="860"/>
    </row>
    <row r="57" spans="1:12" hidden="1" x14ac:dyDescent="0.35"/>
    <row r="58" spans="1:12" s="167" customFormat="1" hidden="1" x14ac:dyDescent="0.35">
      <c r="A58" s="832" t="s">
        <v>917</v>
      </c>
      <c r="B58" s="833"/>
      <c r="C58" s="833"/>
      <c r="D58" s="833"/>
      <c r="E58" s="833"/>
      <c r="F58" s="833"/>
      <c r="G58" s="833"/>
      <c r="H58" s="833"/>
      <c r="I58" s="833"/>
      <c r="J58" s="833"/>
      <c r="K58" s="834"/>
      <c r="L58" s="44"/>
    </row>
    <row r="59" spans="1:12" hidden="1" x14ac:dyDescent="0.35">
      <c r="A59" s="853"/>
      <c r="B59" s="854"/>
      <c r="C59" s="854"/>
      <c r="D59" s="854"/>
      <c r="E59" s="854"/>
      <c r="F59" s="854"/>
      <c r="G59" s="854"/>
      <c r="H59" s="854"/>
      <c r="I59" s="854"/>
      <c r="J59" s="854"/>
      <c r="K59" s="855"/>
    </row>
    <row r="60" spans="1:12" hidden="1" x14ac:dyDescent="0.35">
      <c r="A60" s="858"/>
      <c r="B60" s="859"/>
      <c r="C60" s="859"/>
      <c r="D60" s="859"/>
      <c r="E60" s="859"/>
      <c r="F60" s="859"/>
      <c r="G60" s="859"/>
      <c r="H60" s="859"/>
      <c r="I60" s="859"/>
      <c r="J60" s="859"/>
      <c r="K60" s="860"/>
    </row>
    <row r="61" spans="1:12" hidden="1" x14ac:dyDescent="0.35"/>
    <row r="62" spans="1:12" hidden="1" x14ac:dyDescent="0.35"/>
    <row r="63" spans="1:12" hidden="1" x14ac:dyDescent="0.35"/>
    <row r="64" spans="1:12" x14ac:dyDescent="0.35"/>
    <row r="65" x14ac:dyDescent="0.35"/>
  </sheetData>
  <sheetProtection password="813F" sheet="1" objects="1" scenarios="1" selectLockedCells="1"/>
  <customSheetViews>
    <customSheetView guid="{51165254-F18A-4CD1-9981-8F2DE14CC76C}" showGridLines="0" fitToPage="1" hiddenRows="1" hiddenColumns="1" showRuler="0">
      <pane ySplit="4" topLeftCell="A11" activePane="bottomLeft" state="frozen"/>
      <selection pane="bottomLeft" activeCell="A43" sqref="A43:L44"/>
      <pageMargins left="0.78740157480314965" right="0.78740157480314965" top="0.98425196850393704" bottom="0.98425196850393704" header="0.51181102362204722" footer="0.51181102362204722"/>
      <printOptions horizontalCentered="1" verticalCentered="1"/>
      <pageSetup paperSize="9" scale="58"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8"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9">
    <tabColor indexed="55"/>
    <pageSetUpPr fitToPage="1"/>
  </sheetPr>
  <dimension ref="A1:W60"/>
  <sheetViews>
    <sheetView showGridLines="0" topLeftCell="A18" zoomScale="133" workbookViewId="0">
      <selection activeCell="C8" sqref="C8"/>
    </sheetView>
  </sheetViews>
  <sheetFormatPr baseColWidth="10" defaultColWidth="0" defaultRowHeight="14.4" zeroHeight="1" x14ac:dyDescent="0.35"/>
  <cols>
    <col min="1" max="1" width="14.6640625" style="135" customWidth="1"/>
    <col min="2" max="10" width="14.6640625" style="136" customWidth="1"/>
    <col min="11" max="11" width="9.109375" style="425" customWidth="1"/>
    <col min="12" max="12" width="1.109375" style="76" customWidth="1"/>
    <col min="13" max="23" width="9.109375" style="210" hidden="1" customWidth="1"/>
    <col min="24" max="16384" width="9.109375" style="136" hidden="1"/>
  </cols>
  <sheetData>
    <row r="1" spans="1:23" s="220" customFormat="1" ht="28.8" x14ac:dyDescent="0.55000000000000004">
      <c r="A1" s="200" t="str">
        <f>'6.0 New Truck Sales'!A1</f>
        <v>Strategy and Implementation</v>
      </c>
      <c r="B1" s="201"/>
      <c r="C1" s="201"/>
      <c r="D1" s="201"/>
      <c r="E1" s="201"/>
      <c r="F1" s="201"/>
      <c r="G1" s="201"/>
      <c r="H1" s="201"/>
      <c r="I1" s="201"/>
      <c r="J1" s="201"/>
      <c r="K1" s="202" t="s">
        <v>692</v>
      </c>
      <c r="L1" s="1579"/>
      <c r="M1" s="806"/>
      <c r="N1" s="806"/>
      <c r="O1" s="806"/>
      <c r="P1" s="806"/>
      <c r="Q1" s="806"/>
      <c r="R1" s="806"/>
      <c r="S1" s="806"/>
      <c r="T1" s="806"/>
      <c r="U1" s="806"/>
      <c r="V1" s="806"/>
      <c r="W1" s="806"/>
    </row>
    <row r="2" spans="1:23" s="237" customFormat="1" ht="13.2" customHeight="1" x14ac:dyDescent="0.45">
      <c r="A2" s="135"/>
      <c r="B2" s="169"/>
      <c r="C2" s="170"/>
      <c r="D2" s="171"/>
      <c r="E2" s="172"/>
      <c r="F2" s="136"/>
      <c r="G2" s="136"/>
      <c r="H2" s="173"/>
      <c r="I2" s="171"/>
      <c r="J2" s="171"/>
      <c r="K2" s="802"/>
      <c r="L2" s="1580"/>
      <c r="M2" s="807"/>
      <c r="N2" s="807"/>
      <c r="O2" s="807"/>
      <c r="P2" s="807"/>
      <c r="Q2" s="807"/>
      <c r="R2" s="807"/>
      <c r="S2" s="807"/>
      <c r="T2" s="807"/>
      <c r="U2" s="807"/>
      <c r="V2" s="807"/>
      <c r="W2" s="807"/>
    </row>
    <row r="3" spans="1:23" x14ac:dyDescent="0.35">
      <c r="A3" s="135" t="s">
        <v>1049</v>
      </c>
      <c r="B3" s="169"/>
      <c r="C3" s="164" t="str">
        <f>'Reference sheet'!C12</f>
        <v>TRUCK INTERNATIONAL MOBILITY SA</v>
      </c>
      <c r="D3" s="171"/>
      <c r="E3" s="172"/>
      <c r="G3" s="175" t="s">
        <v>1037</v>
      </c>
      <c r="H3" s="863" t="str">
        <f>'Reference sheet'!C17</f>
        <v>October</v>
      </c>
      <c r="I3" s="863">
        <f>'Reference sheet'!D17</f>
        <v>2018</v>
      </c>
      <c r="J3" s="175" t="s">
        <v>1036</v>
      </c>
      <c r="K3" s="803">
        <f>'Reference sheet'!C15</f>
        <v>2</v>
      </c>
    </row>
    <row r="4" spans="1:23" x14ac:dyDescent="0.35">
      <c r="A4" s="145"/>
      <c r="B4" s="178"/>
      <c r="C4" s="146"/>
      <c r="D4" s="146"/>
      <c r="E4" s="146"/>
      <c r="F4" s="146"/>
      <c r="G4" s="179"/>
      <c r="H4" s="146"/>
      <c r="I4" s="146"/>
      <c r="J4" s="146"/>
      <c r="K4" s="804"/>
    </row>
    <row r="5" spans="1:23" ht="13.2" customHeight="1" x14ac:dyDescent="0.35">
      <c r="A5" s="184"/>
    </row>
    <row r="6" spans="1:23" ht="13.2" customHeight="1" x14ac:dyDescent="0.35">
      <c r="A6" s="832" t="s">
        <v>1155</v>
      </c>
      <c r="B6" s="835"/>
      <c r="C6" s="835"/>
      <c r="D6" s="835"/>
      <c r="E6" s="835"/>
      <c r="F6" s="835"/>
      <c r="G6" s="835"/>
      <c r="H6" s="835"/>
      <c r="I6" s="835"/>
      <c r="J6" s="835"/>
      <c r="K6" s="928"/>
    </row>
    <row r="7" spans="1:23" ht="13.2" customHeight="1" x14ac:dyDescent="0.35">
      <c r="A7" s="147"/>
      <c r="B7" s="148"/>
      <c r="C7" s="148">
        <f>E7-1</f>
        <v>2016</v>
      </c>
      <c r="D7" s="148"/>
      <c r="E7" s="148">
        <f>G7-1</f>
        <v>2017</v>
      </c>
      <c r="F7" s="148"/>
      <c r="G7" s="148">
        <f>'6.0 New Truck Sales'!G7-1</f>
        <v>2018</v>
      </c>
      <c r="H7" s="148"/>
      <c r="I7" s="271" t="s">
        <v>1056</v>
      </c>
      <c r="J7" s="148"/>
      <c r="K7" s="766"/>
    </row>
    <row r="8" spans="1:23" ht="13.2" customHeight="1" x14ac:dyDescent="0.35">
      <c r="A8" s="135" t="s">
        <v>1056</v>
      </c>
      <c r="C8" s="2000">
        <f>'5.1 DAF Vehicle Parc Input'!E43</f>
        <v>0</v>
      </c>
      <c r="E8" s="2000">
        <f>'5.1 DAF Vehicle Parc Input'!G43</f>
        <v>0</v>
      </c>
      <c r="F8" s="171"/>
      <c r="G8" s="2000">
        <f>'5.1 DAF Vehicle Parc Input'!I43</f>
        <v>0</v>
      </c>
      <c r="H8" s="171"/>
      <c r="I8" s="275">
        <f>SUM(C8:G8)</f>
        <v>0</v>
      </c>
      <c r="J8" s="171"/>
    </row>
    <row r="9" spans="1:23" ht="13.2" customHeight="1" x14ac:dyDescent="0.35">
      <c r="A9" s="145"/>
      <c r="B9" s="146"/>
      <c r="C9" s="146"/>
      <c r="D9" s="146"/>
      <c r="E9" s="146"/>
      <c r="F9" s="146"/>
      <c r="G9" s="146"/>
      <c r="H9" s="146"/>
      <c r="I9" s="146"/>
      <c r="J9" s="146"/>
      <c r="K9" s="805"/>
    </row>
    <row r="10" spans="1:23" ht="13.2" customHeight="1" x14ac:dyDescent="0.35">
      <c r="A10" s="184"/>
      <c r="K10" s="184"/>
    </row>
    <row r="11" spans="1:23" ht="13.2" customHeight="1" x14ac:dyDescent="0.35">
      <c r="A11" s="832" t="s">
        <v>1156</v>
      </c>
      <c r="B11" s="835"/>
      <c r="C11" s="835"/>
      <c r="D11" s="835"/>
      <c r="E11" s="835"/>
      <c r="F11" s="835"/>
      <c r="G11" s="835"/>
      <c r="H11" s="835"/>
      <c r="I11" s="835"/>
      <c r="J11" s="835"/>
      <c r="K11" s="928"/>
    </row>
    <row r="12" spans="1:23" ht="13.2" customHeight="1" x14ac:dyDescent="0.35">
      <c r="A12" s="853"/>
      <c r="B12" s="854"/>
      <c r="C12" s="854"/>
      <c r="D12" s="854"/>
      <c r="E12" s="854"/>
      <c r="F12" s="854"/>
      <c r="G12" s="854"/>
      <c r="H12" s="854"/>
      <c r="I12" s="854"/>
      <c r="J12" s="854"/>
      <c r="K12" s="925"/>
    </row>
    <row r="13" spans="1:23" ht="13.2" customHeight="1" x14ac:dyDescent="0.35">
      <c r="A13" s="856"/>
      <c r="B13" s="852"/>
      <c r="C13" s="852"/>
      <c r="D13" s="852"/>
      <c r="E13" s="852"/>
      <c r="F13" s="852"/>
      <c r="G13" s="852"/>
      <c r="H13" s="852"/>
      <c r="I13" s="852"/>
      <c r="J13" s="852"/>
      <c r="K13" s="926"/>
    </row>
    <row r="14" spans="1:23" ht="13.2" customHeight="1" x14ac:dyDescent="0.35">
      <c r="A14" s="856"/>
      <c r="B14" s="852"/>
      <c r="C14" s="852"/>
      <c r="D14" s="852"/>
      <c r="E14" s="852"/>
      <c r="F14" s="852"/>
      <c r="G14" s="852"/>
      <c r="H14" s="852"/>
      <c r="I14" s="852"/>
      <c r="J14" s="852"/>
      <c r="K14" s="926"/>
    </row>
    <row r="15" spans="1:23" ht="13.2" customHeight="1" x14ac:dyDescent="0.35">
      <c r="A15" s="856"/>
      <c r="B15" s="852"/>
      <c r="C15" s="852"/>
      <c r="D15" s="852"/>
      <c r="E15" s="852"/>
      <c r="F15" s="852"/>
      <c r="G15" s="852"/>
      <c r="H15" s="852"/>
      <c r="I15" s="852"/>
      <c r="J15" s="852"/>
      <c r="K15" s="926"/>
    </row>
    <row r="16" spans="1:23" ht="13.2" customHeight="1" x14ac:dyDescent="0.35">
      <c r="A16" s="856"/>
      <c r="B16" s="852"/>
      <c r="C16" s="852"/>
      <c r="D16" s="852"/>
      <c r="E16" s="852"/>
      <c r="F16" s="852"/>
      <c r="G16" s="852"/>
      <c r="H16" s="852"/>
      <c r="I16" s="852"/>
      <c r="J16" s="852"/>
      <c r="K16" s="926"/>
    </row>
    <row r="17" spans="1:11" ht="13.2" customHeight="1" x14ac:dyDescent="0.35">
      <c r="A17" s="858"/>
      <c r="B17" s="859"/>
      <c r="C17" s="859"/>
      <c r="D17" s="859"/>
      <c r="E17" s="859"/>
      <c r="F17" s="859"/>
      <c r="G17" s="859"/>
      <c r="H17" s="859"/>
      <c r="I17" s="859"/>
      <c r="J17" s="859"/>
      <c r="K17" s="927"/>
    </row>
    <row r="18" spans="1:11" ht="13.2" customHeight="1" x14ac:dyDescent="0.35">
      <c r="A18" s="184"/>
      <c r="K18" s="184"/>
    </row>
    <row r="19" spans="1:11" ht="13.2" customHeight="1" x14ac:dyDescent="0.35">
      <c r="A19" s="832" t="s">
        <v>721</v>
      </c>
      <c r="B19" s="833"/>
      <c r="C19" s="833"/>
      <c r="D19" s="833"/>
      <c r="E19" s="833"/>
      <c r="F19" s="833"/>
      <c r="G19" s="833"/>
      <c r="H19" s="833"/>
      <c r="I19" s="833"/>
      <c r="J19" s="833"/>
      <c r="K19" s="929"/>
    </row>
    <row r="20" spans="1:11" ht="13.2" customHeight="1" x14ac:dyDescent="0.35">
      <c r="A20" s="853"/>
      <c r="B20" s="854"/>
      <c r="C20" s="854"/>
      <c r="D20" s="854"/>
      <c r="E20" s="854"/>
      <c r="F20" s="854"/>
      <c r="G20" s="854"/>
      <c r="H20" s="854"/>
      <c r="I20" s="854"/>
      <c r="J20" s="854"/>
      <c r="K20" s="925"/>
    </row>
    <row r="21" spans="1:11" ht="13.2" customHeight="1" x14ac:dyDescent="0.35">
      <c r="A21" s="856"/>
      <c r="B21" s="852"/>
      <c r="C21" s="852"/>
      <c r="D21" s="852"/>
      <c r="E21" s="852"/>
      <c r="F21" s="852"/>
      <c r="G21" s="852"/>
      <c r="H21" s="852"/>
      <c r="I21" s="852"/>
      <c r="J21" s="852"/>
      <c r="K21" s="926"/>
    </row>
    <row r="22" spans="1:11" ht="13.2" customHeight="1" x14ac:dyDescent="0.35">
      <c r="A22" s="856"/>
      <c r="B22" s="852"/>
      <c r="C22" s="852"/>
      <c r="D22" s="852"/>
      <c r="E22" s="852"/>
      <c r="F22" s="852"/>
      <c r="G22" s="852"/>
      <c r="H22" s="852"/>
      <c r="I22" s="852"/>
      <c r="J22" s="852"/>
      <c r="K22" s="926"/>
    </row>
    <row r="23" spans="1:11" x14ac:dyDescent="0.35">
      <c r="A23" s="858"/>
      <c r="B23" s="859"/>
      <c r="C23" s="859"/>
      <c r="D23" s="859"/>
      <c r="E23" s="859"/>
      <c r="F23" s="859"/>
      <c r="G23" s="859"/>
      <c r="H23" s="859"/>
      <c r="I23" s="859"/>
      <c r="J23" s="859"/>
      <c r="K23" s="927"/>
    </row>
    <row r="24" spans="1:11" x14ac:dyDescent="0.35">
      <c r="A24" s="184"/>
      <c r="K24" s="184"/>
    </row>
    <row r="25" spans="1:11" x14ac:dyDescent="0.35">
      <c r="A25" s="832" t="s">
        <v>720</v>
      </c>
      <c r="B25" s="833"/>
      <c r="C25" s="833"/>
      <c r="D25" s="833"/>
      <c r="E25" s="833"/>
      <c r="F25" s="833"/>
      <c r="G25" s="833"/>
      <c r="H25" s="833"/>
      <c r="I25" s="833"/>
      <c r="J25" s="833"/>
      <c r="K25" s="929"/>
    </row>
    <row r="26" spans="1:11" x14ac:dyDescent="0.35">
      <c r="A26" s="853"/>
      <c r="B26" s="854"/>
      <c r="C26" s="854"/>
      <c r="D26" s="854"/>
      <c r="E26" s="854"/>
      <c r="F26" s="854"/>
      <c r="G26" s="854"/>
      <c r="H26" s="854"/>
      <c r="I26" s="854"/>
      <c r="J26" s="854"/>
      <c r="K26" s="925"/>
    </row>
    <row r="27" spans="1:11" x14ac:dyDescent="0.35">
      <c r="A27" s="856"/>
      <c r="B27" s="852"/>
      <c r="C27" s="852"/>
      <c r="D27" s="852"/>
      <c r="E27" s="852"/>
      <c r="F27" s="852"/>
      <c r="G27" s="852"/>
      <c r="H27" s="852"/>
      <c r="I27" s="852"/>
      <c r="J27" s="852"/>
      <c r="K27" s="926"/>
    </row>
    <row r="28" spans="1:11" x14ac:dyDescent="0.35">
      <c r="A28" s="856"/>
      <c r="B28" s="852"/>
      <c r="C28" s="852"/>
      <c r="D28" s="852"/>
      <c r="E28" s="852"/>
      <c r="F28" s="852"/>
      <c r="G28" s="852"/>
      <c r="H28" s="852"/>
      <c r="I28" s="852"/>
      <c r="J28" s="852"/>
      <c r="K28" s="926"/>
    </row>
    <row r="29" spans="1:11" x14ac:dyDescent="0.35">
      <c r="A29" s="858"/>
      <c r="B29" s="859"/>
      <c r="C29" s="859"/>
      <c r="D29" s="859"/>
      <c r="E29" s="859"/>
      <c r="F29" s="859"/>
      <c r="G29" s="859"/>
      <c r="H29" s="859"/>
      <c r="I29" s="859"/>
      <c r="J29" s="859"/>
      <c r="K29" s="927"/>
    </row>
    <row r="30" spans="1:11" x14ac:dyDescent="0.35">
      <c r="A30" s="184"/>
      <c r="K30" s="184"/>
    </row>
    <row r="31" spans="1:11" x14ac:dyDescent="0.35">
      <c r="A31" s="832" t="s">
        <v>954</v>
      </c>
      <c r="B31" s="833"/>
      <c r="C31" s="833"/>
      <c r="D31" s="833"/>
      <c r="E31" s="833"/>
      <c r="F31" s="833"/>
      <c r="G31" s="833"/>
      <c r="H31" s="833"/>
      <c r="I31" s="833"/>
      <c r="J31" s="833"/>
      <c r="K31" s="929"/>
    </row>
    <row r="32" spans="1:11" x14ac:dyDescent="0.35">
      <c r="A32" s="853"/>
      <c r="B32" s="854"/>
      <c r="C32" s="854"/>
      <c r="D32" s="854"/>
      <c r="E32" s="854"/>
      <c r="F32" s="854"/>
      <c r="G32" s="854"/>
      <c r="H32" s="854"/>
      <c r="I32" s="854"/>
      <c r="J32" s="854"/>
      <c r="K32" s="925"/>
    </row>
    <row r="33" spans="1:11" x14ac:dyDescent="0.35">
      <c r="A33" s="856"/>
      <c r="B33" s="852"/>
      <c r="C33" s="852"/>
      <c r="D33" s="852"/>
      <c r="E33" s="852"/>
      <c r="F33" s="852"/>
      <c r="G33" s="852"/>
      <c r="H33" s="852"/>
      <c r="I33" s="852"/>
      <c r="J33" s="852"/>
      <c r="K33" s="926"/>
    </row>
    <row r="34" spans="1:11" x14ac:dyDescent="0.35">
      <c r="A34" s="856"/>
      <c r="B34" s="852"/>
      <c r="C34" s="852"/>
      <c r="D34" s="852"/>
      <c r="E34" s="852"/>
      <c r="F34" s="852"/>
      <c r="G34" s="852"/>
      <c r="H34" s="852"/>
      <c r="I34" s="852"/>
      <c r="J34" s="852"/>
      <c r="K34" s="926"/>
    </row>
    <row r="35" spans="1:11" x14ac:dyDescent="0.35">
      <c r="A35" s="858"/>
      <c r="B35" s="859"/>
      <c r="C35" s="859"/>
      <c r="D35" s="859"/>
      <c r="E35" s="859"/>
      <c r="F35" s="859"/>
      <c r="G35" s="859"/>
      <c r="H35" s="859"/>
      <c r="I35" s="859"/>
      <c r="J35" s="859"/>
      <c r="K35" s="927"/>
    </row>
    <row r="36" spans="1:11" x14ac:dyDescent="0.35">
      <c r="A36" s="217"/>
      <c r="B36" s="171"/>
      <c r="C36" s="171"/>
      <c r="D36" s="171"/>
      <c r="E36" s="171"/>
      <c r="F36" s="171"/>
      <c r="G36" s="171"/>
      <c r="H36" s="171"/>
      <c r="I36" s="171"/>
      <c r="J36" s="171"/>
      <c r="K36" s="217"/>
    </row>
    <row r="37" spans="1:11" x14ac:dyDescent="0.35">
      <c r="A37" s="832" t="s">
        <v>955</v>
      </c>
      <c r="B37" s="833"/>
      <c r="C37" s="833"/>
      <c r="D37" s="833"/>
      <c r="E37" s="833"/>
      <c r="F37" s="833"/>
      <c r="G37" s="833"/>
      <c r="H37" s="833"/>
      <c r="I37" s="833"/>
      <c r="J37" s="833"/>
      <c r="K37" s="929"/>
    </row>
    <row r="38" spans="1:11" x14ac:dyDescent="0.35">
      <c r="A38" s="853"/>
      <c r="B38" s="854"/>
      <c r="C38" s="854"/>
      <c r="D38" s="854"/>
      <c r="E38" s="854"/>
      <c r="F38" s="854"/>
      <c r="G38" s="854"/>
      <c r="H38" s="854"/>
      <c r="I38" s="854"/>
      <c r="J38" s="854"/>
      <c r="K38" s="925"/>
    </row>
    <row r="39" spans="1:11" x14ac:dyDescent="0.35">
      <c r="A39" s="856"/>
      <c r="B39" s="852"/>
      <c r="C39" s="852"/>
      <c r="D39" s="852"/>
      <c r="E39" s="852"/>
      <c r="F39" s="852"/>
      <c r="G39" s="852"/>
      <c r="H39" s="852"/>
      <c r="I39" s="852"/>
      <c r="J39" s="852"/>
      <c r="K39" s="926"/>
    </row>
    <row r="40" spans="1:11" x14ac:dyDescent="0.35">
      <c r="A40" s="856"/>
      <c r="B40" s="852"/>
      <c r="C40" s="852"/>
      <c r="D40" s="852"/>
      <c r="E40" s="852"/>
      <c r="F40" s="852"/>
      <c r="G40" s="852"/>
      <c r="H40" s="852"/>
      <c r="I40" s="852"/>
      <c r="J40" s="852"/>
      <c r="K40" s="926"/>
    </row>
    <row r="41" spans="1:11" x14ac:dyDescent="0.35">
      <c r="A41" s="858"/>
      <c r="B41" s="859"/>
      <c r="C41" s="859"/>
      <c r="D41" s="859"/>
      <c r="E41" s="859"/>
      <c r="F41" s="859"/>
      <c r="G41" s="859"/>
      <c r="H41" s="859"/>
      <c r="I41" s="859"/>
      <c r="J41" s="859"/>
      <c r="K41" s="927"/>
    </row>
    <row r="42" spans="1:11" x14ac:dyDescent="0.35">
      <c r="A42" s="216"/>
      <c r="B42" s="171"/>
      <c r="C42" s="171"/>
      <c r="D42" s="171"/>
      <c r="E42" s="171"/>
      <c r="F42" s="171"/>
      <c r="G42" s="171"/>
      <c r="H42" s="171"/>
      <c r="I42" s="171"/>
      <c r="J42" s="171"/>
      <c r="K42" s="217"/>
    </row>
    <row r="43" spans="1:11" x14ac:dyDescent="0.35">
      <c r="A43" s="832" t="s">
        <v>918</v>
      </c>
      <c r="B43" s="833"/>
      <c r="C43" s="833"/>
      <c r="D43" s="833"/>
      <c r="E43" s="833"/>
      <c r="F43" s="833"/>
      <c r="G43" s="833"/>
      <c r="H43" s="833"/>
      <c r="I43" s="833"/>
      <c r="J43" s="833"/>
      <c r="K43" s="929"/>
    </row>
    <row r="44" spans="1:11" x14ac:dyDescent="0.35">
      <c r="A44" s="853"/>
      <c r="B44" s="854"/>
      <c r="C44" s="854"/>
      <c r="D44" s="854"/>
      <c r="E44" s="854"/>
      <c r="F44" s="854"/>
      <c r="G44" s="854"/>
      <c r="H44" s="854"/>
      <c r="I44" s="854"/>
      <c r="J44" s="854"/>
      <c r="K44" s="925"/>
    </row>
    <row r="45" spans="1:11" x14ac:dyDescent="0.35">
      <c r="A45" s="856"/>
      <c r="B45" s="852"/>
      <c r="C45" s="852"/>
      <c r="D45" s="852"/>
      <c r="E45" s="852"/>
      <c r="F45" s="852"/>
      <c r="G45" s="852"/>
      <c r="H45" s="852"/>
      <c r="I45" s="852"/>
      <c r="J45" s="852"/>
      <c r="K45" s="926"/>
    </row>
    <row r="46" spans="1:11" x14ac:dyDescent="0.35">
      <c r="A46" s="856"/>
      <c r="B46" s="852"/>
      <c r="C46" s="852"/>
      <c r="D46" s="852"/>
      <c r="E46" s="852"/>
      <c r="F46" s="852"/>
      <c r="G46" s="852"/>
      <c r="H46" s="852"/>
      <c r="I46" s="852"/>
      <c r="J46" s="852"/>
      <c r="K46" s="926"/>
    </row>
    <row r="47" spans="1:11" x14ac:dyDescent="0.35">
      <c r="A47" s="858"/>
      <c r="B47" s="859"/>
      <c r="C47" s="859"/>
      <c r="D47" s="859"/>
      <c r="E47" s="859"/>
      <c r="F47" s="859"/>
      <c r="G47" s="859"/>
      <c r="H47" s="859"/>
      <c r="I47" s="859"/>
      <c r="J47" s="859"/>
      <c r="K47" s="927"/>
    </row>
    <row r="48" spans="1:11" x14ac:dyDescent="0.35">
      <c r="A48" s="184"/>
      <c r="B48" s="216"/>
      <c r="C48" s="216"/>
      <c r="D48" s="216"/>
      <c r="E48" s="216"/>
      <c r="F48" s="216"/>
      <c r="G48" s="216"/>
      <c r="H48" s="216"/>
      <c r="I48" s="216"/>
      <c r="J48" s="216"/>
      <c r="K48" s="216"/>
    </row>
    <row r="49" spans="1:11" x14ac:dyDescent="0.35">
      <c r="A49" s="832" t="s">
        <v>919</v>
      </c>
      <c r="B49" s="165"/>
      <c r="C49" s="165"/>
      <c r="D49" s="165"/>
      <c r="E49" s="165"/>
      <c r="F49" s="165"/>
      <c r="G49" s="165"/>
      <c r="H49" s="165"/>
      <c r="I49" s="165"/>
      <c r="J49" s="165"/>
      <c r="K49" s="930"/>
    </row>
    <row r="50" spans="1:11" x14ac:dyDescent="0.35">
      <c r="A50" s="853"/>
      <c r="B50" s="854"/>
      <c r="C50" s="854"/>
      <c r="D50" s="854"/>
      <c r="E50" s="854"/>
      <c r="F50" s="854"/>
      <c r="G50" s="854"/>
      <c r="H50" s="854"/>
      <c r="I50" s="854"/>
      <c r="J50" s="854"/>
      <c r="K50" s="925"/>
    </row>
    <row r="51" spans="1:11" x14ac:dyDescent="0.35">
      <c r="A51" s="856"/>
      <c r="B51" s="852"/>
      <c r="C51" s="852"/>
      <c r="D51" s="852"/>
      <c r="E51" s="852"/>
      <c r="F51" s="852"/>
      <c r="G51" s="852"/>
      <c r="H51" s="852"/>
      <c r="I51" s="852"/>
      <c r="J51" s="852"/>
      <c r="K51" s="926"/>
    </row>
    <row r="52" spans="1:11" x14ac:dyDescent="0.35">
      <c r="A52" s="856"/>
      <c r="B52" s="852"/>
      <c r="C52" s="852"/>
      <c r="D52" s="852"/>
      <c r="E52" s="852"/>
      <c r="F52" s="852"/>
      <c r="G52" s="852"/>
      <c r="H52" s="852"/>
      <c r="I52" s="852"/>
      <c r="J52" s="852"/>
      <c r="K52" s="926"/>
    </row>
    <row r="53" spans="1:11" x14ac:dyDescent="0.35">
      <c r="A53" s="858"/>
      <c r="B53" s="859"/>
      <c r="C53" s="859"/>
      <c r="D53" s="859"/>
      <c r="E53" s="859"/>
      <c r="F53" s="859"/>
      <c r="G53" s="859"/>
      <c r="H53" s="859"/>
      <c r="I53" s="859"/>
      <c r="J53" s="859"/>
      <c r="K53" s="927"/>
    </row>
    <row r="54" spans="1:11" x14ac:dyDescent="0.35">
      <c r="A54" s="184"/>
      <c r="K54" s="184"/>
    </row>
    <row r="55" spans="1:11" x14ac:dyDescent="0.35">
      <c r="A55" s="832" t="s">
        <v>917</v>
      </c>
      <c r="B55" s="835"/>
      <c r="C55" s="835"/>
      <c r="D55" s="835"/>
      <c r="E55" s="835"/>
      <c r="F55" s="835"/>
      <c r="G55" s="835"/>
      <c r="H55" s="835"/>
      <c r="I55" s="835"/>
      <c r="J55" s="835"/>
      <c r="K55" s="928"/>
    </row>
    <row r="56" spans="1:11" x14ac:dyDescent="0.35">
      <c r="A56" s="873"/>
      <c r="B56" s="854"/>
      <c r="C56" s="854"/>
      <c r="D56" s="854"/>
      <c r="E56" s="854"/>
      <c r="F56" s="854"/>
      <c r="G56" s="854"/>
      <c r="H56" s="854"/>
      <c r="I56" s="854"/>
      <c r="J56" s="854"/>
      <c r="K56" s="925"/>
    </row>
    <row r="57" spans="1:11" x14ac:dyDescent="0.35">
      <c r="A57" s="844"/>
      <c r="B57" s="852"/>
      <c r="C57" s="852"/>
      <c r="D57" s="852"/>
      <c r="E57" s="852"/>
      <c r="F57" s="852"/>
      <c r="G57" s="852"/>
      <c r="H57" s="852"/>
      <c r="I57" s="852"/>
      <c r="J57" s="852"/>
      <c r="K57" s="926"/>
    </row>
    <row r="58" spans="1:11" x14ac:dyDescent="0.35">
      <c r="A58" s="856"/>
      <c r="B58" s="852"/>
      <c r="C58" s="852"/>
      <c r="D58" s="852"/>
      <c r="E58" s="852"/>
      <c r="F58" s="852"/>
      <c r="G58" s="852"/>
      <c r="H58" s="852"/>
      <c r="I58" s="852"/>
      <c r="J58" s="852"/>
      <c r="K58" s="926"/>
    </row>
    <row r="59" spans="1:11" x14ac:dyDescent="0.35">
      <c r="A59" s="858"/>
      <c r="B59" s="859"/>
      <c r="C59" s="859"/>
      <c r="D59" s="859"/>
      <c r="E59" s="859"/>
      <c r="F59" s="859"/>
      <c r="G59" s="859"/>
      <c r="H59" s="859"/>
      <c r="I59" s="859"/>
      <c r="J59" s="859"/>
      <c r="K59" s="927"/>
    </row>
    <row r="60" spans="1:11" x14ac:dyDescent="0.35"/>
  </sheetData>
  <sheetProtection password="813F" sheet="1" objects="1" scenarios="1" selectLockedCells="1"/>
  <customSheetViews>
    <customSheetView guid="{51165254-F18A-4CD1-9981-8F2DE14CC76C}" showGridLines="0" fitToPage="1" hiddenRows="1" hiddenColumns="1" showRuler="0" topLeftCell="A22">
      <selection activeCell="A43" sqref="A43:L44"/>
      <pageMargins left="0.78740157480314965" right="0.78740157480314965" top="0.98425196850393704" bottom="0.98425196850393704" header="0.51181102362204722" footer="0.51181102362204722"/>
      <printOptions horizontalCentered="1" verticalCentered="1"/>
      <pageSetup paperSize="9" scale="55"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5"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1">
    <tabColor indexed="55"/>
    <pageSetUpPr fitToPage="1"/>
  </sheetPr>
  <dimension ref="A1:L69"/>
  <sheetViews>
    <sheetView showGridLines="0" zoomScale="109" zoomScaleNormal="110" workbookViewId="0">
      <pane ySplit="3" topLeftCell="A34" activePane="bottomLeft" state="frozen"/>
      <selection pane="bottomLeft" activeCell="E24" sqref="E24"/>
    </sheetView>
  </sheetViews>
  <sheetFormatPr baseColWidth="10" defaultColWidth="0" defaultRowHeight="14.4" zeroHeight="1" x14ac:dyDescent="0.35"/>
  <cols>
    <col min="1" max="1" width="18.33203125" style="135" customWidth="1"/>
    <col min="2" max="2" width="7.6640625" style="136" customWidth="1"/>
    <col min="3" max="3" width="3.77734375" style="136" customWidth="1"/>
    <col min="4" max="4" width="9.109375" style="136" customWidth="1"/>
    <col min="5" max="5" width="3.77734375" style="136" customWidth="1"/>
    <col min="6" max="10" width="16.33203125" style="136" customWidth="1"/>
    <col min="11" max="11" width="11.6640625" style="136" customWidth="1"/>
    <col min="12" max="12" width="1.44140625" style="136" customWidth="1"/>
    <col min="13" max="16384" width="9.109375" style="136" hidden="1"/>
  </cols>
  <sheetData>
    <row r="1" spans="1:11" ht="28.8" x14ac:dyDescent="0.55000000000000004">
      <c r="A1" s="200" t="str">
        <f>'6.0 New Truck Sales'!A1</f>
        <v>Strategy and Implementation</v>
      </c>
      <c r="B1" s="201"/>
      <c r="C1" s="201"/>
      <c r="D1" s="201"/>
      <c r="E1" s="201"/>
      <c r="F1" s="201"/>
      <c r="G1" s="201"/>
      <c r="H1" s="201"/>
      <c r="I1" s="201"/>
      <c r="J1" s="201"/>
      <c r="K1" s="202" t="s">
        <v>23</v>
      </c>
    </row>
    <row r="2" spans="1:11" x14ac:dyDescent="0.35">
      <c r="B2" s="169"/>
      <c r="C2" s="170"/>
      <c r="D2" s="171"/>
      <c r="E2" s="172"/>
      <c r="H2" s="173"/>
      <c r="I2" s="171"/>
      <c r="J2" s="171"/>
      <c r="K2" s="174"/>
    </row>
    <row r="3" spans="1:11" x14ac:dyDescent="0.35">
      <c r="A3" s="135" t="s">
        <v>1049</v>
      </c>
      <c r="B3" s="136" t="str">
        <f>'Reference sheet'!C12</f>
        <v>TRUCK INTERNATIONAL MOBILITY SA</v>
      </c>
      <c r="C3" s="164"/>
      <c r="D3" s="171"/>
      <c r="E3" s="172"/>
      <c r="G3" s="175" t="s">
        <v>1037</v>
      </c>
      <c r="H3" s="176" t="str">
        <f>'Reference sheet'!C17</f>
        <v>October</v>
      </c>
      <c r="I3" s="863">
        <f>'Reference sheet'!D17</f>
        <v>2018</v>
      </c>
      <c r="J3" s="175" t="s">
        <v>1036</v>
      </c>
      <c r="K3" s="177">
        <f>'Reference sheet'!C15</f>
        <v>2</v>
      </c>
    </row>
    <row r="4" spans="1:11" x14ac:dyDescent="0.35">
      <c r="A4" s="145"/>
      <c r="B4" s="178"/>
      <c r="C4" s="146"/>
      <c r="D4" s="146"/>
      <c r="E4" s="146"/>
      <c r="F4" s="146"/>
      <c r="G4" s="179"/>
      <c r="H4" s="146"/>
      <c r="I4" s="146"/>
      <c r="J4" s="146"/>
      <c r="K4" s="180"/>
    </row>
    <row r="5" spans="1:11" ht="13.2" customHeight="1" x14ac:dyDescent="0.35">
      <c r="A5" s="184"/>
    </row>
    <row r="6" spans="1:11" x14ac:dyDescent="0.35">
      <c r="A6" s="832" t="s">
        <v>1167</v>
      </c>
      <c r="B6" s="833"/>
      <c r="C6" s="833"/>
      <c r="D6" s="833"/>
      <c r="E6" s="833"/>
      <c r="F6" s="833"/>
      <c r="G6" s="833"/>
      <c r="H6" s="833"/>
      <c r="I6" s="833"/>
      <c r="J6" s="833"/>
      <c r="K6" s="834"/>
    </row>
    <row r="7" spans="1:11" x14ac:dyDescent="0.35">
      <c r="A7" s="276"/>
      <c r="B7" s="148" t="s">
        <v>649</v>
      </c>
      <c r="C7" s="148"/>
      <c r="D7" s="148" t="s">
        <v>1127</v>
      </c>
      <c r="E7" s="148"/>
      <c r="F7" s="148" t="s">
        <v>1168</v>
      </c>
      <c r="G7" s="148"/>
      <c r="H7" s="148"/>
      <c r="I7" s="148"/>
      <c r="J7" s="148"/>
      <c r="K7" s="78"/>
    </row>
    <row r="8" spans="1:11" x14ac:dyDescent="0.35">
      <c r="A8" s="135" t="s">
        <v>899</v>
      </c>
      <c r="B8" s="1619">
        <v>95</v>
      </c>
      <c r="C8" s="171"/>
      <c r="D8" s="1619">
        <v>0</v>
      </c>
      <c r="E8" s="171"/>
      <c r="F8" s="853"/>
      <c r="G8" s="854"/>
      <c r="H8" s="854"/>
      <c r="I8" s="854"/>
      <c r="J8" s="854"/>
      <c r="K8" s="855"/>
    </row>
    <row r="9" spans="1:11" hidden="1" x14ac:dyDescent="0.35">
      <c r="A9" s="221"/>
      <c r="B9" s="171"/>
      <c r="C9" s="171"/>
      <c r="D9" s="839"/>
      <c r="E9" s="171"/>
      <c r="F9" s="856"/>
      <c r="G9" s="852"/>
      <c r="H9" s="852"/>
      <c r="I9" s="852"/>
      <c r="J9" s="852"/>
      <c r="K9" s="857"/>
    </row>
    <row r="10" spans="1:11" x14ac:dyDescent="0.35">
      <c r="A10" s="221" t="s">
        <v>900</v>
      </c>
      <c r="B10" s="171"/>
      <c r="C10" s="171"/>
      <c r="D10" s="171"/>
      <c r="E10" s="171"/>
      <c r="F10" s="856"/>
      <c r="G10" s="852"/>
      <c r="H10" s="852"/>
      <c r="I10" s="852"/>
      <c r="J10" s="852"/>
      <c r="K10" s="857"/>
    </row>
    <row r="11" spans="1:11" x14ac:dyDescent="0.35">
      <c r="A11" s="221"/>
      <c r="B11" s="171"/>
      <c r="C11" s="171"/>
      <c r="D11" s="171"/>
      <c r="E11" s="171"/>
      <c r="F11" s="856"/>
      <c r="G11" s="852"/>
      <c r="H11" s="852"/>
      <c r="I11" s="852"/>
      <c r="J11" s="852"/>
      <c r="K11" s="857"/>
    </row>
    <row r="12" spans="1:11" x14ac:dyDescent="0.35">
      <c r="A12" s="221" t="s">
        <v>1169</v>
      </c>
      <c r="B12" s="1619">
        <v>85</v>
      </c>
      <c r="C12" s="171"/>
      <c r="D12" s="1619">
        <v>0</v>
      </c>
      <c r="E12" s="171"/>
      <c r="F12" s="856"/>
      <c r="G12" s="852"/>
      <c r="H12" s="852"/>
      <c r="I12" s="852"/>
      <c r="J12" s="852"/>
      <c r="K12" s="857"/>
    </row>
    <row r="13" spans="1:11" x14ac:dyDescent="0.35">
      <c r="A13" s="221" t="s">
        <v>1170</v>
      </c>
      <c r="B13" s="171"/>
      <c r="C13" s="171"/>
      <c r="D13" s="3"/>
      <c r="E13" s="171"/>
      <c r="F13" s="856"/>
      <c r="G13" s="852"/>
      <c r="H13" s="852"/>
      <c r="I13" s="852"/>
      <c r="J13" s="852"/>
      <c r="K13" s="857"/>
    </row>
    <row r="14" spans="1:11" x14ac:dyDescent="0.35">
      <c r="A14" s="221"/>
      <c r="B14" s="171"/>
      <c r="C14" s="171"/>
      <c r="D14" s="171"/>
      <c r="E14" s="171"/>
      <c r="F14" s="856"/>
      <c r="G14" s="852"/>
      <c r="H14" s="852"/>
      <c r="I14" s="852"/>
      <c r="J14" s="852"/>
      <c r="K14" s="857"/>
    </row>
    <row r="15" spans="1:11" x14ac:dyDescent="0.35">
      <c r="A15" s="221" t="s">
        <v>1171</v>
      </c>
      <c r="B15" s="1619">
        <v>2.5</v>
      </c>
      <c r="C15" s="171"/>
      <c r="D15" s="1619">
        <v>0</v>
      </c>
      <c r="E15" s="171"/>
      <c r="F15" s="856"/>
      <c r="G15" s="852"/>
      <c r="H15" s="852"/>
      <c r="I15" s="852"/>
      <c r="J15" s="852"/>
      <c r="K15" s="857"/>
    </row>
    <row r="16" spans="1:11" x14ac:dyDescent="0.35">
      <c r="A16" s="221"/>
      <c r="B16" s="229"/>
      <c r="C16" s="171"/>
      <c r="D16" s="229"/>
      <c r="E16" s="171"/>
      <c r="F16" s="856"/>
      <c r="G16" s="852"/>
      <c r="H16" s="852"/>
      <c r="I16" s="852"/>
      <c r="J16" s="852"/>
      <c r="K16" s="857"/>
    </row>
    <row r="17" spans="1:12" x14ac:dyDescent="0.35">
      <c r="A17" s="221"/>
      <c r="B17" s="171"/>
      <c r="C17" s="171"/>
      <c r="D17" s="171"/>
      <c r="E17" s="171"/>
      <c r="F17" s="856"/>
      <c r="G17" s="852"/>
      <c r="H17" s="852"/>
      <c r="I17" s="852"/>
      <c r="J17" s="852"/>
      <c r="K17" s="857"/>
    </row>
    <row r="18" spans="1:12" x14ac:dyDescent="0.35">
      <c r="A18" s="221" t="s">
        <v>1172</v>
      </c>
      <c r="B18" s="2047">
        <v>0.5</v>
      </c>
      <c r="C18" s="171"/>
      <c r="D18" s="1619">
        <v>0</v>
      </c>
      <c r="E18" s="171"/>
      <c r="F18" s="856"/>
      <c r="G18" s="852"/>
      <c r="H18" s="852"/>
      <c r="I18" s="852"/>
      <c r="J18" s="852"/>
      <c r="K18" s="857"/>
    </row>
    <row r="19" spans="1:12" x14ac:dyDescent="0.35">
      <c r="A19" s="221" t="s">
        <v>901</v>
      </c>
      <c r="B19" s="229"/>
      <c r="C19" s="171"/>
      <c r="D19" s="1623">
        <f>IF('7.2.2 Turnover Parts'!C15="","",'7.2.2 Turnover Parts'!C15)</f>
        <v>0.27240591216781379</v>
      </c>
      <c r="E19" s="171"/>
      <c r="F19" s="856"/>
      <c r="G19" s="852"/>
      <c r="H19" s="852"/>
      <c r="I19" s="852"/>
      <c r="J19" s="852"/>
      <c r="K19" s="857"/>
    </row>
    <row r="20" spans="1:12" x14ac:dyDescent="0.35">
      <c r="A20" s="223"/>
      <c r="B20" s="224"/>
      <c r="C20" s="224"/>
      <c r="D20" s="224"/>
      <c r="E20" s="224"/>
      <c r="F20" s="858"/>
      <c r="G20" s="859"/>
      <c r="H20" s="859"/>
      <c r="I20" s="859"/>
      <c r="J20" s="859"/>
      <c r="K20" s="860"/>
    </row>
    <row r="21" spans="1:12" x14ac:dyDescent="0.35">
      <c r="A21" s="217"/>
      <c r="B21" s="217"/>
      <c r="C21" s="217"/>
      <c r="D21" s="217"/>
      <c r="E21" s="217"/>
      <c r="F21" s="225"/>
      <c r="G21" s="225"/>
      <c r="H21" s="225"/>
      <c r="I21" s="225"/>
      <c r="J21" s="225"/>
      <c r="K21" s="225"/>
    </row>
    <row r="22" spans="1:12" x14ac:dyDescent="0.35">
      <c r="A22" s="832" t="s">
        <v>722</v>
      </c>
      <c r="B22" s="835"/>
      <c r="C22" s="835"/>
      <c r="D22" s="835"/>
      <c r="E22" s="835"/>
      <c r="F22" s="835"/>
      <c r="G22" s="835"/>
      <c r="H22" s="835"/>
      <c r="I22" s="835"/>
      <c r="J22" s="835"/>
      <c r="K22" s="836"/>
    </row>
    <row r="23" spans="1:12" x14ac:dyDescent="0.35">
      <c r="A23" s="853"/>
      <c r="B23" s="854"/>
      <c r="C23" s="854"/>
      <c r="D23" s="854"/>
      <c r="E23" s="854"/>
      <c r="F23" s="854"/>
      <c r="G23" s="854"/>
      <c r="H23" s="854"/>
      <c r="I23" s="854"/>
      <c r="J23" s="854"/>
      <c r="K23" s="855"/>
    </row>
    <row r="24" spans="1:12" x14ac:dyDescent="0.35">
      <c r="A24" s="856"/>
      <c r="B24" s="852"/>
      <c r="C24" s="852"/>
      <c r="D24" s="852"/>
      <c r="E24" s="852"/>
      <c r="F24" s="852"/>
      <c r="G24" s="852"/>
      <c r="H24" s="852"/>
      <c r="I24" s="852"/>
      <c r="J24" s="852"/>
      <c r="K24" s="857"/>
    </row>
    <row r="25" spans="1:12" x14ac:dyDescent="0.35">
      <c r="A25" s="856"/>
      <c r="B25" s="852"/>
      <c r="C25" s="852"/>
      <c r="D25" s="852"/>
      <c r="E25" s="852"/>
      <c r="F25" s="852"/>
      <c r="G25" s="852"/>
      <c r="H25" s="852"/>
      <c r="I25" s="852"/>
      <c r="J25" s="852"/>
      <c r="K25" s="857"/>
    </row>
    <row r="26" spans="1:12" x14ac:dyDescent="0.35">
      <c r="A26" s="856"/>
      <c r="B26" s="852"/>
      <c r="C26" s="852"/>
      <c r="D26" s="852"/>
      <c r="E26" s="852"/>
      <c r="F26" s="852"/>
      <c r="G26" s="852"/>
      <c r="H26" s="852"/>
      <c r="I26" s="852"/>
      <c r="J26" s="852"/>
      <c r="K26" s="857"/>
    </row>
    <row r="27" spans="1:12" x14ac:dyDescent="0.35">
      <c r="A27" s="856"/>
      <c r="B27" s="852"/>
      <c r="C27" s="852"/>
      <c r="D27" s="852"/>
      <c r="E27" s="852"/>
      <c r="F27" s="852"/>
      <c r="G27" s="852"/>
      <c r="H27" s="852"/>
      <c r="I27" s="852"/>
      <c r="J27" s="852"/>
      <c r="K27" s="857"/>
    </row>
    <row r="28" spans="1:12" x14ac:dyDescent="0.35">
      <c r="A28" s="858"/>
      <c r="B28" s="859"/>
      <c r="C28" s="859"/>
      <c r="D28" s="859"/>
      <c r="E28" s="859"/>
      <c r="F28" s="859"/>
      <c r="G28" s="859"/>
      <c r="H28" s="859"/>
      <c r="I28" s="859"/>
      <c r="J28" s="859"/>
      <c r="K28" s="860"/>
    </row>
    <row r="29" spans="1:12" x14ac:dyDescent="0.35">
      <c r="A29" s="184"/>
    </row>
    <row r="30" spans="1:12" s="1556" customFormat="1" x14ac:dyDescent="0.35">
      <c r="A30" s="832" t="s">
        <v>721</v>
      </c>
      <c r="B30" s="833"/>
      <c r="C30" s="833"/>
      <c r="D30" s="833"/>
      <c r="E30" s="833"/>
      <c r="F30" s="833"/>
      <c r="G30" s="833"/>
      <c r="H30" s="833"/>
      <c r="I30" s="833"/>
      <c r="J30" s="833"/>
      <c r="K30" s="834"/>
      <c r="L30" s="171"/>
    </row>
    <row r="31" spans="1:12" x14ac:dyDescent="0.35">
      <c r="A31" s="853"/>
      <c r="B31" s="854"/>
      <c r="C31" s="854"/>
      <c r="D31" s="854"/>
      <c r="E31" s="854"/>
      <c r="F31" s="854"/>
      <c r="G31" s="854"/>
      <c r="H31" s="854"/>
      <c r="I31" s="854"/>
      <c r="J31" s="854"/>
      <c r="K31" s="855"/>
    </row>
    <row r="32" spans="1:12" x14ac:dyDescent="0.35">
      <c r="A32" s="856"/>
      <c r="B32" s="852"/>
      <c r="C32" s="852"/>
      <c r="D32" s="852"/>
      <c r="E32" s="852"/>
      <c r="F32" s="852"/>
      <c r="G32" s="852"/>
      <c r="H32" s="852"/>
      <c r="I32" s="852"/>
      <c r="J32" s="852"/>
      <c r="K32" s="857"/>
    </row>
    <row r="33" spans="1:11" x14ac:dyDescent="0.35">
      <c r="A33" s="856"/>
      <c r="B33" s="852"/>
      <c r="C33" s="852"/>
      <c r="D33" s="852"/>
      <c r="E33" s="852"/>
      <c r="F33" s="852"/>
      <c r="G33" s="852"/>
      <c r="H33" s="852"/>
      <c r="I33" s="852"/>
      <c r="J33" s="852"/>
      <c r="K33" s="857"/>
    </row>
    <row r="34" spans="1:11" x14ac:dyDescent="0.35">
      <c r="A34" s="858"/>
      <c r="B34" s="859"/>
      <c r="C34" s="859"/>
      <c r="D34" s="859"/>
      <c r="E34" s="859"/>
      <c r="F34" s="859"/>
      <c r="G34" s="859"/>
      <c r="H34" s="859"/>
      <c r="I34" s="859"/>
      <c r="J34" s="859"/>
      <c r="K34" s="860"/>
    </row>
    <row r="35" spans="1:11" x14ac:dyDescent="0.35">
      <c r="A35" s="184"/>
    </row>
    <row r="36" spans="1:11" x14ac:dyDescent="0.35">
      <c r="A36" s="832" t="s">
        <v>720</v>
      </c>
      <c r="B36" s="833"/>
      <c r="C36" s="833"/>
      <c r="D36" s="833"/>
      <c r="E36" s="833"/>
      <c r="F36" s="833"/>
      <c r="G36" s="833"/>
      <c r="H36" s="833"/>
      <c r="I36" s="833"/>
      <c r="J36" s="833"/>
      <c r="K36" s="834"/>
    </row>
    <row r="37" spans="1:11" x14ac:dyDescent="0.35">
      <c r="A37" s="853"/>
      <c r="B37" s="854"/>
      <c r="C37" s="854"/>
      <c r="D37" s="854"/>
      <c r="E37" s="854"/>
      <c r="F37" s="854"/>
      <c r="G37" s="854"/>
      <c r="H37" s="854"/>
      <c r="I37" s="854"/>
      <c r="J37" s="854"/>
      <c r="K37" s="855"/>
    </row>
    <row r="38" spans="1:11" x14ac:dyDescent="0.35">
      <c r="A38" s="856"/>
      <c r="B38" s="852"/>
      <c r="C38" s="852"/>
      <c r="D38" s="852"/>
      <c r="E38" s="852"/>
      <c r="F38" s="852"/>
      <c r="G38" s="852"/>
      <c r="H38" s="852"/>
      <c r="I38" s="852"/>
      <c r="J38" s="852"/>
      <c r="K38" s="857"/>
    </row>
    <row r="39" spans="1:11" x14ac:dyDescent="0.35">
      <c r="A39" s="856"/>
      <c r="B39" s="852"/>
      <c r="C39" s="852"/>
      <c r="D39" s="852"/>
      <c r="E39" s="852"/>
      <c r="F39" s="852"/>
      <c r="G39" s="852"/>
      <c r="H39" s="852"/>
      <c r="I39" s="852"/>
      <c r="J39" s="852"/>
      <c r="K39" s="857"/>
    </row>
    <row r="40" spans="1:11" x14ac:dyDescent="0.35">
      <c r="A40" s="858"/>
      <c r="B40" s="859"/>
      <c r="C40" s="859"/>
      <c r="D40" s="859"/>
      <c r="E40" s="859"/>
      <c r="F40" s="859"/>
      <c r="G40" s="859"/>
      <c r="H40" s="859"/>
      <c r="I40" s="859"/>
      <c r="J40" s="859"/>
      <c r="K40" s="860"/>
    </row>
    <row r="41" spans="1:11" x14ac:dyDescent="0.35">
      <c r="A41" s="184"/>
    </row>
    <row r="42" spans="1:11" x14ac:dyDescent="0.35">
      <c r="A42" s="832" t="s">
        <v>954</v>
      </c>
      <c r="B42" s="833"/>
      <c r="C42" s="833"/>
      <c r="D42" s="833"/>
      <c r="E42" s="833"/>
      <c r="F42" s="833"/>
      <c r="G42" s="833"/>
      <c r="H42" s="833"/>
      <c r="I42" s="833"/>
      <c r="J42" s="833"/>
      <c r="K42" s="834"/>
    </row>
    <row r="43" spans="1:11" x14ac:dyDescent="0.35">
      <c r="A43" s="853"/>
      <c r="B43" s="854"/>
      <c r="C43" s="854"/>
      <c r="D43" s="854"/>
      <c r="E43" s="854"/>
      <c r="F43" s="854"/>
      <c r="G43" s="854"/>
      <c r="H43" s="854"/>
      <c r="I43" s="854"/>
      <c r="J43" s="854"/>
      <c r="K43" s="855"/>
    </row>
    <row r="44" spans="1:11" x14ac:dyDescent="0.35">
      <c r="A44" s="856"/>
      <c r="B44" s="852"/>
      <c r="C44" s="852"/>
      <c r="D44" s="852"/>
      <c r="E44" s="852"/>
      <c r="F44" s="852"/>
      <c r="G44" s="852"/>
      <c r="H44" s="852"/>
      <c r="I44" s="852"/>
      <c r="J44" s="852"/>
      <c r="K44" s="857"/>
    </row>
    <row r="45" spans="1:11" x14ac:dyDescent="0.35">
      <c r="A45" s="856"/>
      <c r="B45" s="852"/>
      <c r="C45" s="852"/>
      <c r="D45" s="852"/>
      <c r="E45" s="852"/>
      <c r="F45" s="852"/>
      <c r="G45" s="852"/>
      <c r="H45" s="852"/>
      <c r="I45" s="852"/>
      <c r="J45" s="852"/>
      <c r="K45" s="857"/>
    </row>
    <row r="46" spans="1:11" x14ac:dyDescent="0.35">
      <c r="A46" s="858"/>
      <c r="B46" s="859"/>
      <c r="C46" s="859"/>
      <c r="D46" s="859"/>
      <c r="E46" s="859"/>
      <c r="F46" s="859"/>
      <c r="G46" s="859"/>
      <c r="H46" s="859"/>
      <c r="I46" s="859"/>
      <c r="J46" s="859"/>
      <c r="K46" s="860"/>
    </row>
    <row r="47" spans="1:11" x14ac:dyDescent="0.35">
      <c r="A47" s="217"/>
      <c r="B47" s="171"/>
      <c r="C47" s="171"/>
      <c r="D47" s="171"/>
      <c r="E47" s="171"/>
      <c r="F47" s="171"/>
      <c r="G47" s="171"/>
      <c r="H47" s="171"/>
      <c r="I47" s="171"/>
      <c r="J47" s="171"/>
      <c r="K47" s="171"/>
    </row>
    <row r="48" spans="1:11" x14ac:dyDescent="0.35">
      <c r="A48" s="832" t="s">
        <v>955</v>
      </c>
      <c r="B48" s="833"/>
      <c r="C48" s="833"/>
      <c r="D48" s="833"/>
      <c r="E48" s="833"/>
      <c r="F48" s="833"/>
      <c r="G48" s="833"/>
      <c r="H48" s="833"/>
      <c r="I48" s="833"/>
      <c r="J48" s="833"/>
      <c r="K48" s="834"/>
    </row>
    <row r="49" spans="1:11" x14ac:dyDescent="0.35">
      <c r="A49" s="853"/>
      <c r="B49" s="854"/>
      <c r="C49" s="854"/>
      <c r="D49" s="854"/>
      <c r="E49" s="854"/>
      <c r="F49" s="854"/>
      <c r="G49" s="854"/>
      <c r="H49" s="854"/>
      <c r="I49" s="854"/>
      <c r="J49" s="854"/>
      <c r="K49" s="855"/>
    </row>
    <row r="50" spans="1:11" x14ac:dyDescent="0.35">
      <c r="A50" s="856"/>
      <c r="B50" s="852"/>
      <c r="C50" s="852"/>
      <c r="D50" s="852"/>
      <c r="E50" s="852"/>
      <c r="F50" s="852"/>
      <c r="G50" s="852"/>
      <c r="H50" s="852"/>
      <c r="I50" s="852"/>
      <c r="J50" s="852"/>
      <c r="K50" s="857"/>
    </row>
    <row r="51" spans="1:11" x14ac:dyDescent="0.35">
      <c r="A51" s="856"/>
      <c r="B51" s="852"/>
      <c r="C51" s="852"/>
      <c r="D51" s="852"/>
      <c r="E51" s="852"/>
      <c r="F51" s="852"/>
      <c r="G51" s="852"/>
      <c r="H51" s="852"/>
      <c r="I51" s="852"/>
      <c r="J51" s="852"/>
      <c r="K51" s="857"/>
    </row>
    <row r="52" spans="1:11" x14ac:dyDescent="0.35">
      <c r="A52" s="858"/>
      <c r="B52" s="859"/>
      <c r="C52" s="859"/>
      <c r="D52" s="859"/>
      <c r="E52" s="859"/>
      <c r="F52" s="859"/>
      <c r="G52" s="859"/>
      <c r="H52" s="859"/>
      <c r="I52" s="859"/>
      <c r="J52" s="859"/>
      <c r="K52" s="860"/>
    </row>
    <row r="53" spans="1:11" x14ac:dyDescent="0.35">
      <c r="A53" s="225"/>
      <c r="B53" s="225"/>
      <c r="C53" s="225"/>
      <c r="D53" s="225"/>
      <c r="E53" s="225"/>
      <c r="F53" s="225"/>
      <c r="G53" s="225"/>
      <c r="H53" s="225"/>
      <c r="I53" s="225"/>
      <c r="J53" s="225"/>
      <c r="K53" s="225"/>
    </row>
    <row r="54" spans="1:11" x14ac:dyDescent="0.35">
      <c r="A54" s="832" t="s">
        <v>921</v>
      </c>
      <c r="B54" s="835"/>
      <c r="C54" s="835"/>
      <c r="D54" s="835"/>
      <c r="E54" s="835"/>
      <c r="F54" s="835"/>
      <c r="G54" s="835"/>
      <c r="H54" s="835"/>
      <c r="I54" s="835"/>
      <c r="J54" s="835"/>
      <c r="K54" s="836"/>
    </row>
    <row r="55" spans="1:11" x14ac:dyDescent="0.35">
      <c r="A55" s="853"/>
      <c r="B55" s="854"/>
      <c r="C55" s="854"/>
      <c r="D55" s="854"/>
      <c r="E55" s="854"/>
      <c r="F55" s="854"/>
      <c r="G55" s="854"/>
      <c r="H55" s="854"/>
      <c r="I55" s="854"/>
      <c r="J55" s="854"/>
      <c r="K55" s="855"/>
    </row>
    <row r="56" spans="1:11" x14ac:dyDescent="0.35">
      <c r="A56" s="856"/>
      <c r="B56" s="852"/>
      <c r="C56" s="852"/>
      <c r="D56" s="852"/>
      <c r="E56" s="852"/>
      <c r="F56" s="852"/>
      <c r="G56" s="852"/>
      <c r="H56" s="852"/>
      <c r="I56" s="852"/>
      <c r="J56" s="852"/>
      <c r="K56" s="857"/>
    </row>
    <row r="57" spans="1:11" x14ac:dyDescent="0.35">
      <c r="A57" s="856"/>
      <c r="B57" s="852"/>
      <c r="C57" s="852"/>
      <c r="D57" s="852"/>
      <c r="E57" s="852"/>
      <c r="F57" s="852"/>
      <c r="G57" s="852"/>
      <c r="H57" s="852"/>
      <c r="I57" s="852"/>
      <c r="J57" s="852"/>
      <c r="K57" s="857"/>
    </row>
    <row r="58" spans="1:11" x14ac:dyDescent="0.35">
      <c r="A58" s="858"/>
      <c r="B58" s="859"/>
      <c r="C58" s="859"/>
      <c r="D58" s="859"/>
      <c r="E58" s="859"/>
      <c r="F58" s="859"/>
      <c r="G58" s="859"/>
      <c r="H58" s="859"/>
      <c r="I58" s="859"/>
      <c r="J58" s="859"/>
      <c r="K58" s="860"/>
    </row>
    <row r="59" spans="1:11" x14ac:dyDescent="0.35">
      <c r="A59" s="184"/>
    </row>
    <row r="60" spans="1:11" x14ac:dyDescent="0.35">
      <c r="A60" s="832" t="s">
        <v>922</v>
      </c>
      <c r="B60" s="835"/>
      <c r="C60" s="835"/>
      <c r="D60" s="835"/>
      <c r="E60" s="835"/>
      <c r="F60" s="835"/>
      <c r="G60" s="835"/>
      <c r="H60" s="835"/>
      <c r="I60" s="835"/>
      <c r="J60" s="835"/>
      <c r="K60" s="836"/>
    </row>
    <row r="61" spans="1:11" x14ac:dyDescent="0.35">
      <c r="A61" s="853"/>
      <c r="B61" s="854"/>
      <c r="C61" s="854"/>
      <c r="D61" s="854"/>
      <c r="E61" s="854"/>
      <c r="F61" s="854"/>
      <c r="G61" s="854"/>
      <c r="H61" s="854"/>
      <c r="I61" s="854"/>
      <c r="J61" s="854"/>
      <c r="K61" s="855"/>
    </row>
    <row r="62" spans="1:11" x14ac:dyDescent="0.35">
      <c r="A62" s="856"/>
      <c r="B62" s="852"/>
      <c r="C62" s="852"/>
      <c r="D62" s="852"/>
      <c r="E62" s="852"/>
      <c r="F62" s="852"/>
      <c r="G62" s="852"/>
      <c r="H62" s="852"/>
      <c r="I62" s="852"/>
      <c r="J62" s="852"/>
      <c r="K62" s="857"/>
    </row>
    <row r="63" spans="1:11" x14ac:dyDescent="0.35">
      <c r="A63" s="856"/>
      <c r="B63" s="852"/>
      <c r="C63" s="852"/>
      <c r="D63" s="852"/>
      <c r="E63" s="852"/>
      <c r="F63" s="852"/>
      <c r="G63" s="852"/>
      <c r="H63" s="852"/>
      <c r="I63" s="852"/>
      <c r="J63" s="852"/>
      <c r="K63" s="857"/>
    </row>
    <row r="64" spans="1:11" x14ac:dyDescent="0.35">
      <c r="A64" s="858"/>
      <c r="B64" s="859"/>
      <c r="C64" s="859"/>
      <c r="D64" s="859"/>
      <c r="E64" s="859"/>
      <c r="F64" s="859"/>
      <c r="G64" s="859"/>
      <c r="H64" s="859"/>
      <c r="I64" s="859"/>
      <c r="J64" s="859"/>
      <c r="K64" s="860"/>
    </row>
    <row r="65" spans="1:11" x14ac:dyDescent="0.35">
      <c r="A65" s="184"/>
    </row>
    <row r="66" spans="1:11" x14ac:dyDescent="0.35">
      <c r="A66" s="832" t="s">
        <v>917</v>
      </c>
      <c r="B66" s="833"/>
      <c r="C66" s="833"/>
      <c r="D66" s="833"/>
      <c r="E66" s="833"/>
      <c r="F66" s="833"/>
      <c r="G66" s="833"/>
      <c r="H66" s="833"/>
      <c r="I66" s="833"/>
      <c r="J66" s="833"/>
      <c r="K66" s="834"/>
    </row>
    <row r="67" spans="1:11" x14ac:dyDescent="0.35">
      <c r="A67" s="853"/>
      <c r="B67" s="854"/>
      <c r="C67" s="854"/>
      <c r="D67" s="854"/>
      <c r="E67" s="854"/>
      <c r="F67" s="854"/>
      <c r="G67" s="854"/>
      <c r="H67" s="854"/>
      <c r="I67" s="854"/>
      <c r="J67" s="854"/>
      <c r="K67" s="855"/>
    </row>
    <row r="68" spans="1:11" x14ac:dyDescent="0.35">
      <c r="A68" s="858"/>
      <c r="B68" s="859"/>
      <c r="C68" s="859"/>
      <c r="D68" s="859"/>
      <c r="E68" s="859"/>
      <c r="F68" s="859"/>
      <c r="G68" s="859"/>
      <c r="H68" s="859"/>
      <c r="I68" s="859"/>
      <c r="J68" s="859"/>
      <c r="K68" s="860"/>
    </row>
    <row r="69" spans="1:11" x14ac:dyDescent="0.35">
      <c r="A69" s="148"/>
    </row>
  </sheetData>
  <sheetProtection password="813F" sheet="1" objects="1" scenarios="1" selectLockedCells="1"/>
  <customSheetViews>
    <customSheetView guid="{51165254-F18A-4CD1-9981-8F2DE14CC76C}" showGridLines="0" fitToPage="1" hiddenRows="1" hiddenColumns="1" showRuler="0">
      <pane ySplit="3" topLeftCell="A4" activePane="bottomLeft" state="frozen"/>
      <selection pane="bottomLeft" activeCell="F8" sqref="F8"/>
      <pageMargins left="0.78740157480314965" right="0.78740157480314965" top="0.98425196850393704" bottom="0.98425196850393704" header="0.51181102362204722" footer="0.51181102362204722"/>
      <printOptions horizontalCentered="1" verticalCentered="1"/>
      <pageSetup paperSize="9" scale="64"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64"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0">
    <tabColor indexed="55"/>
    <pageSetUpPr fitToPage="1"/>
  </sheetPr>
  <dimension ref="A1:L43"/>
  <sheetViews>
    <sheetView showGridLines="0" topLeftCell="A6" zoomScale="114" zoomScaleNormal="100" workbookViewId="0">
      <selection activeCell="C24" sqref="C24"/>
    </sheetView>
  </sheetViews>
  <sheetFormatPr baseColWidth="10" defaultColWidth="0" defaultRowHeight="14.4" zeroHeight="1" x14ac:dyDescent="0.35"/>
  <cols>
    <col min="1" max="1" width="13.77734375" style="135" customWidth="1"/>
    <col min="2" max="11" width="13.77734375" style="136" customWidth="1"/>
    <col min="12" max="12" width="1.109375" style="76" customWidth="1"/>
    <col min="13" max="16384" width="11" style="136" hidden="1"/>
  </cols>
  <sheetData>
    <row r="1" spans="1:11" ht="28.8" x14ac:dyDescent="0.55000000000000004">
      <c r="A1" s="200" t="str">
        <f>'6.0 New Truck Sales'!A1</f>
        <v>Strategy and Implementation</v>
      </c>
      <c r="B1" s="201"/>
      <c r="C1" s="201"/>
      <c r="D1" s="201"/>
      <c r="E1" s="201"/>
      <c r="F1" s="201"/>
      <c r="G1" s="201"/>
      <c r="H1" s="201"/>
      <c r="I1" s="201"/>
      <c r="J1" s="201"/>
      <c r="K1" s="202" t="s">
        <v>22</v>
      </c>
    </row>
    <row r="2" spans="1:11" x14ac:dyDescent="0.35">
      <c r="B2" s="169"/>
      <c r="C2" s="170"/>
      <c r="D2" s="171"/>
      <c r="E2" s="172"/>
      <c r="H2" s="173"/>
      <c r="I2" s="171"/>
      <c r="J2" s="171"/>
      <c r="K2" s="174"/>
    </row>
    <row r="3" spans="1:11" x14ac:dyDescent="0.35">
      <c r="A3" s="135" t="s">
        <v>1049</v>
      </c>
      <c r="B3" s="169"/>
      <c r="C3" s="164" t="str">
        <f>'Reference sheet'!C12</f>
        <v>TRUCK INTERNATIONAL MOBILITY SA</v>
      </c>
      <c r="D3" s="171"/>
      <c r="E3" s="172"/>
      <c r="G3" s="175" t="s">
        <v>1037</v>
      </c>
      <c r="H3" s="862" t="str">
        <f>'Reference sheet'!C17</f>
        <v>October</v>
      </c>
      <c r="I3" s="863">
        <f>'Reference sheet'!D17</f>
        <v>2018</v>
      </c>
      <c r="J3" s="175" t="s">
        <v>1036</v>
      </c>
      <c r="K3" s="177">
        <f>'Reference sheet'!C15</f>
        <v>2</v>
      </c>
    </row>
    <row r="4" spans="1:11" x14ac:dyDescent="0.35">
      <c r="A4" s="145"/>
      <c r="B4" s="178"/>
      <c r="C4" s="146"/>
      <c r="D4" s="146"/>
      <c r="E4" s="146"/>
      <c r="F4" s="146"/>
      <c r="G4" s="179"/>
      <c r="H4" s="146"/>
      <c r="I4" s="146"/>
      <c r="J4" s="146"/>
      <c r="K4" s="180"/>
    </row>
    <row r="5" spans="1:11" ht="13.2" customHeight="1" x14ac:dyDescent="0.35">
      <c r="A5" s="184"/>
    </row>
    <row r="6" spans="1:11" x14ac:dyDescent="0.35">
      <c r="A6" s="832" t="s">
        <v>1157</v>
      </c>
      <c r="B6" s="833"/>
      <c r="C6" s="833"/>
      <c r="D6" s="833"/>
      <c r="E6" s="833"/>
      <c r="F6" s="833"/>
      <c r="G6" s="833"/>
      <c r="H6" s="833"/>
      <c r="I6" s="833"/>
      <c r="J6" s="833"/>
      <c r="K6" s="834"/>
    </row>
    <row r="7" spans="1:11" x14ac:dyDescent="0.35">
      <c r="A7" s="853"/>
      <c r="B7" s="854"/>
      <c r="C7" s="854"/>
      <c r="D7" s="854"/>
      <c r="E7" s="854"/>
      <c r="F7" s="854"/>
      <c r="G7" s="854"/>
      <c r="H7" s="854"/>
      <c r="I7" s="854"/>
      <c r="J7" s="854"/>
      <c r="K7" s="855"/>
    </row>
    <row r="8" spans="1:11" x14ac:dyDescent="0.35">
      <c r="A8" s="856"/>
      <c r="B8" s="852"/>
      <c r="C8" s="852"/>
      <c r="D8" s="852"/>
      <c r="E8" s="852"/>
      <c r="F8" s="852"/>
      <c r="G8" s="852"/>
      <c r="H8" s="852"/>
      <c r="I8" s="852"/>
      <c r="J8" s="852"/>
      <c r="K8" s="857"/>
    </row>
    <row r="9" spans="1:11" x14ac:dyDescent="0.35">
      <c r="A9" s="856"/>
      <c r="B9" s="852"/>
      <c r="C9" s="852"/>
      <c r="D9" s="852"/>
      <c r="E9" s="852"/>
      <c r="F9" s="852"/>
      <c r="G9" s="852"/>
      <c r="H9" s="852"/>
      <c r="I9" s="852"/>
      <c r="J9" s="852"/>
      <c r="K9" s="857"/>
    </row>
    <row r="10" spans="1:11" x14ac:dyDescent="0.35">
      <c r="A10" s="856"/>
      <c r="B10" s="852"/>
      <c r="C10" s="852"/>
      <c r="D10" s="852"/>
      <c r="E10" s="852"/>
      <c r="F10" s="852"/>
      <c r="G10" s="852"/>
      <c r="H10" s="852"/>
      <c r="I10" s="852"/>
      <c r="J10" s="852"/>
      <c r="K10" s="857"/>
    </row>
    <row r="11" spans="1:11" x14ac:dyDescent="0.35">
      <c r="A11" s="858"/>
      <c r="B11" s="859"/>
      <c r="C11" s="859"/>
      <c r="D11" s="859"/>
      <c r="E11" s="859"/>
      <c r="F11" s="859"/>
      <c r="G11" s="859"/>
      <c r="H11" s="859"/>
      <c r="I11" s="859"/>
      <c r="J11" s="859"/>
      <c r="K11" s="860"/>
    </row>
    <row r="12" spans="1:11" x14ac:dyDescent="0.35">
      <c r="A12" s="184"/>
    </row>
    <row r="13" spans="1:11" x14ac:dyDescent="0.35">
      <c r="A13" s="832" t="s">
        <v>1158</v>
      </c>
      <c r="B13" s="833"/>
      <c r="C13" s="833"/>
      <c r="D13" s="833"/>
      <c r="E13" s="833"/>
      <c r="F13" s="833"/>
      <c r="G13" s="833"/>
      <c r="H13" s="833"/>
      <c r="I13" s="833"/>
      <c r="J13" s="833"/>
      <c r="K13" s="834"/>
    </row>
    <row r="14" spans="1:11" x14ac:dyDescent="0.35">
      <c r="A14" s="147" t="s">
        <v>1159</v>
      </c>
      <c r="B14" s="148"/>
      <c r="C14" s="1618">
        <v>0.65</v>
      </c>
      <c r="D14" s="148"/>
      <c r="E14" s="148"/>
      <c r="F14" s="148"/>
      <c r="G14" s="148"/>
      <c r="H14" s="148"/>
      <c r="I14" s="148"/>
      <c r="J14" s="148"/>
      <c r="K14" s="78"/>
    </row>
    <row r="15" spans="1:11" x14ac:dyDescent="0.35">
      <c r="A15" s="135" t="s">
        <v>1160</v>
      </c>
      <c r="C15" s="278">
        <v>0.6</v>
      </c>
      <c r="K15" s="79"/>
    </row>
    <row r="16" spans="1:11" x14ac:dyDescent="0.35">
      <c r="A16" s="135" t="s">
        <v>1161</v>
      </c>
      <c r="C16" s="254">
        <f>C14*C15</f>
        <v>0.39</v>
      </c>
      <c r="K16" s="79"/>
    </row>
    <row r="17" spans="1:12" x14ac:dyDescent="0.35">
      <c r="K17" s="79"/>
    </row>
    <row r="18" spans="1:12" x14ac:dyDescent="0.35">
      <c r="A18" s="135" t="s">
        <v>1162</v>
      </c>
      <c r="C18" s="853"/>
      <c r="D18" s="854"/>
      <c r="E18" s="854"/>
      <c r="F18" s="854"/>
      <c r="G18" s="854"/>
      <c r="H18" s="854"/>
      <c r="I18" s="854"/>
      <c r="J18" s="854"/>
      <c r="K18" s="855"/>
    </row>
    <row r="19" spans="1:12" x14ac:dyDescent="0.35">
      <c r="A19" s="228"/>
      <c r="B19" s="229"/>
      <c r="C19" s="856"/>
      <c r="D19" s="852"/>
      <c r="E19" s="852"/>
      <c r="F19" s="852"/>
      <c r="G19" s="852"/>
      <c r="H19" s="852"/>
      <c r="I19" s="852"/>
      <c r="J19" s="852"/>
      <c r="K19" s="857"/>
    </row>
    <row r="20" spans="1:12" x14ac:dyDescent="0.35">
      <c r="A20" s="230"/>
      <c r="B20" s="231"/>
      <c r="C20" s="858"/>
      <c r="D20" s="859"/>
      <c r="E20" s="859"/>
      <c r="F20" s="859"/>
      <c r="G20" s="859"/>
      <c r="H20" s="859"/>
      <c r="I20" s="859"/>
      <c r="J20" s="859"/>
      <c r="K20" s="860"/>
    </row>
    <row r="21" spans="1:12" x14ac:dyDescent="0.35">
      <c r="A21" s="184"/>
    </row>
    <row r="22" spans="1:12" x14ac:dyDescent="0.35">
      <c r="A22" s="832" t="s">
        <v>1163</v>
      </c>
      <c r="B22" s="833"/>
      <c r="C22" s="833"/>
      <c r="D22" s="833"/>
      <c r="E22" s="833"/>
      <c r="F22" s="833"/>
      <c r="G22" s="833"/>
      <c r="H22" s="833"/>
      <c r="I22" s="833"/>
      <c r="J22" s="833"/>
      <c r="K22" s="834"/>
    </row>
    <row r="23" spans="1:12" x14ac:dyDescent="0.35">
      <c r="A23" s="147" t="s">
        <v>1164</v>
      </c>
      <c r="B23" s="148"/>
      <c r="C23" s="1619">
        <v>49</v>
      </c>
      <c r="D23" s="1777"/>
      <c r="E23" s="1777" t="s">
        <v>898</v>
      </c>
      <c r="F23" s="1777"/>
      <c r="G23" s="1747">
        <f>'7.2.3 Turnover Service &amp; Body'!C15</f>
        <v>0.33887444875990019</v>
      </c>
      <c r="H23" s="1777"/>
      <c r="I23" s="1777"/>
      <c r="J23" s="1777"/>
      <c r="K23" s="1778"/>
    </row>
    <row r="24" spans="1:12" x14ac:dyDescent="0.35">
      <c r="A24" s="135" t="s">
        <v>1162</v>
      </c>
      <c r="C24" s="853" t="s">
        <v>1348</v>
      </c>
      <c r="D24" s="854"/>
      <c r="E24" s="854"/>
      <c r="F24" s="854"/>
      <c r="G24" s="854"/>
      <c r="H24" s="854"/>
      <c r="I24" s="854"/>
      <c r="J24" s="854"/>
      <c r="K24" s="855"/>
    </row>
    <row r="25" spans="1:12" x14ac:dyDescent="0.35">
      <c r="C25" s="856"/>
      <c r="D25" s="852"/>
      <c r="E25" s="852"/>
      <c r="F25" s="852"/>
      <c r="G25" s="852"/>
      <c r="H25" s="852"/>
      <c r="I25" s="852"/>
      <c r="J25" s="852"/>
      <c r="K25" s="857"/>
    </row>
    <row r="26" spans="1:12" x14ac:dyDescent="0.35">
      <c r="A26" s="145"/>
      <c r="B26" s="146"/>
      <c r="C26" s="858"/>
      <c r="D26" s="859"/>
      <c r="E26" s="859"/>
      <c r="F26" s="859"/>
      <c r="G26" s="859"/>
      <c r="H26" s="859"/>
      <c r="I26" s="859"/>
      <c r="J26" s="859"/>
      <c r="K26" s="860"/>
    </row>
    <row r="27" spans="1:12" x14ac:dyDescent="0.35">
      <c r="A27" s="184"/>
    </row>
    <row r="28" spans="1:12" s="1556" customFormat="1" x14ac:dyDescent="0.35">
      <c r="A28" s="832" t="s">
        <v>1165</v>
      </c>
      <c r="B28" s="835"/>
      <c r="C28" s="835"/>
      <c r="D28" s="835"/>
      <c r="E28" s="835"/>
      <c r="F28" s="835"/>
      <c r="G28" s="835"/>
      <c r="H28" s="835"/>
      <c r="I28" s="835"/>
      <c r="J28" s="835"/>
      <c r="K28" s="836"/>
      <c r="L28" s="76"/>
    </row>
    <row r="29" spans="1:12" x14ac:dyDescent="0.35">
      <c r="A29" s="853"/>
      <c r="B29" s="854"/>
      <c r="C29" s="854"/>
      <c r="D29" s="854"/>
      <c r="E29" s="854"/>
      <c r="F29" s="854"/>
      <c r="G29" s="854"/>
      <c r="H29" s="854"/>
      <c r="I29" s="854"/>
      <c r="J29" s="854"/>
      <c r="K29" s="855"/>
    </row>
    <row r="30" spans="1:12" x14ac:dyDescent="0.35">
      <c r="A30" s="856"/>
      <c r="B30" s="852"/>
      <c r="C30" s="852"/>
      <c r="D30" s="852"/>
      <c r="E30" s="852"/>
      <c r="F30" s="852"/>
      <c r="G30" s="852"/>
      <c r="H30" s="852"/>
      <c r="I30" s="852"/>
      <c r="J30" s="852"/>
      <c r="K30" s="857"/>
    </row>
    <row r="31" spans="1:12" x14ac:dyDescent="0.35">
      <c r="A31" s="856"/>
      <c r="B31" s="852"/>
      <c r="C31" s="852"/>
      <c r="D31" s="852"/>
      <c r="E31" s="852"/>
      <c r="F31" s="852"/>
      <c r="G31" s="852"/>
      <c r="H31" s="852"/>
      <c r="I31" s="852"/>
      <c r="J31" s="852"/>
      <c r="K31" s="857"/>
    </row>
    <row r="32" spans="1:12" x14ac:dyDescent="0.35">
      <c r="A32" s="858"/>
      <c r="B32" s="859"/>
      <c r="C32" s="859"/>
      <c r="D32" s="859"/>
      <c r="E32" s="859"/>
      <c r="F32" s="859"/>
      <c r="G32" s="859"/>
      <c r="H32" s="859"/>
      <c r="I32" s="859"/>
      <c r="J32" s="859"/>
      <c r="K32" s="860"/>
    </row>
    <row r="33" spans="1:11" x14ac:dyDescent="0.35">
      <c r="A33" s="184"/>
    </row>
    <row r="34" spans="1:11" x14ac:dyDescent="0.35">
      <c r="A34" s="832" t="s">
        <v>1166</v>
      </c>
      <c r="B34" s="835"/>
      <c r="C34" s="835"/>
      <c r="D34" s="835"/>
      <c r="E34" s="835"/>
      <c r="F34" s="835"/>
      <c r="G34" s="835"/>
      <c r="H34" s="835"/>
      <c r="I34" s="835"/>
      <c r="J34" s="835"/>
      <c r="K34" s="836"/>
    </row>
    <row r="35" spans="1:11" x14ac:dyDescent="0.35">
      <c r="A35" s="853"/>
      <c r="B35" s="854"/>
      <c r="C35" s="854"/>
      <c r="D35" s="854"/>
      <c r="E35" s="854"/>
      <c r="F35" s="854"/>
      <c r="G35" s="854"/>
      <c r="H35" s="854"/>
      <c r="I35" s="854"/>
      <c r="J35" s="854"/>
      <c r="K35" s="855"/>
    </row>
    <row r="36" spans="1:11" x14ac:dyDescent="0.35">
      <c r="A36" s="856"/>
      <c r="B36" s="852"/>
      <c r="C36" s="852"/>
      <c r="D36" s="852"/>
      <c r="E36" s="852"/>
      <c r="F36" s="852"/>
      <c r="G36" s="852"/>
      <c r="H36" s="852"/>
      <c r="I36" s="852"/>
      <c r="J36" s="852"/>
      <c r="K36" s="857"/>
    </row>
    <row r="37" spans="1:11" x14ac:dyDescent="0.35">
      <c r="A37" s="856"/>
      <c r="B37" s="852"/>
      <c r="C37" s="852"/>
      <c r="D37" s="852"/>
      <c r="E37" s="852"/>
      <c r="F37" s="852"/>
      <c r="G37" s="852"/>
      <c r="H37" s="852"/>
      <c r="I37" s="852"/>
      <c r="J37" s="852"/>
      <c r="K37" s="857"/>
    </row>
    <row r="38" spans="1:11" x14ac:dyDescent="0.35">
      <c r="A38" s="858"/>
      <c r="B38" s="859"/>
      <c r="C38" s="859"/>
      <c r="D38" s="859"/>
      <c r="E38" s="859"/>
      <c r="F38" s="859"/>
      <c r="G38" s="859"/>
      <c r="H38" s="859"/>
      <c r="I38" s="859"/>
      <c r="J38" s="859"/>
      <c r="K38" s="860"/>
    </row>
    <row r="39" spans="1:11" x14ac:dyDescent="0.35">
      <c r="A39" s="184"/>
    </row>
    <row r="40" spans="1:11" x14ac:dyDescent="0.35">
      <c r="A40" s="832" t="s">
        <v>897</v>
      </c>
      <c r="B40" s="833"/>
      <c r="C40" s="833"/>
      <c r="D40" s="833"/>
      <c r="E40" s="833"/>
      <c r="F40" s="833"/>
      <c r="G40" s="833"/>
      <c r="H40" s="833"/>
      <c r="I40" s="833"/>
      <c r="J40" s="833"/>
      <c r="K40" s="834"/>
    </row>
    <row r="41" spans="1:11" x14ac:dyDescent="0.35">
      <c r="A41" s="853"/>
      <c r="B41" s="854"/>
      <c r="C41" s="854"/>
      <c r="D41" s="854"/>
      <c r="E41" s="854"/>
      <c r="F41" s="854"/>
      <c r="G41" s="854"/>
      <c r="H41" s="854"/>
      <c r="I41" s="854"/>
      <c r="J41" s="854"/>
      <c r="K41" s="855"/>
    </row>
    <row r="42" spans="1:11" x14ac:dyDescent="0.35">
      <c r="A42" s="858"/>
      <c r="B42" s="859"/>
      <c r="C42" s="859"/>
      <c r="D42" s="859"/>
      <c r="E42" s="859"/>
      <c r="F42" s="859"/>
      <c r="G42" s="859"/>
      <c r="H42" s="859"/>
      <c r="I42" s="859"/>
      <c r="J42" s="859"/>
      <c r="K42" s="860"/>
    </row>
    <row r="43" spans="1:11" x14ac:dyDescent="0.35">
      <c r="A43" s="148"/>
    </row>
  </sheetData>
  <sheetProtection password="813F" sheet="1" objects="1" scenarios="1" selectLockedCells="1"/>
  <customSheetViews>
    <customSheetView guid="{51165254-F18A-4CD1-9981-8F2DE14CC76C}" showGridLines="0" fitToPage="1" hiddenRows="1" hiddenColumns="1" showRuler="0" topLeftCell="A13">
      <selection activeCell="C14" sqref="C14"/>
      <pageMargins left="0.78740157480314965" right="0.78740157480314965" top="0.98425196850393704" bottom="0.98425196850393704" header="0.51181102362204722" footer="0.51181102362204722"/>
      <printOptions horizontalCentered="1" verticalCentered="1"/>
      <pageSetup paperSize="9" scale="57"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7"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5"/>
  <dimension ref="A1:IU46"/>
  <sheetViews>
    <sheetView workbookViewId="0">
      <selection activeCell="G11" sqref="G11:K12"/>
    </sheetView>
  </sheetViews>
  <sheetFormatPr baseColWidth="10" defaultColWidth="0" defaultRowHeight="14.4" zeroHeight="1" x14ac:dyDescent="0.35"/>
  <cols>
    <col min="1" max="1" width="2.6640625" style="45" customWidth="1"/>
    <col min="2" max="2" width="5.33203125" style="45" bestFit="1" customWidth="1"/>
    <col min="3" max="3" width="2.6640625" style="76" customWidth="1"/>
    <col min="4" max="4" width="7.44140625" style="45" bestFit="1" customWidth="1"/>
    <col min="5" max="5" width="5.44140625" style="45" customWidth="1"/>
    <col min="6" max="6" width="2.6640625" style="76" customWidth="1"/>
    <col min="7" max="21" width="8.77734375" style="45" customWidth="1"/>
    <col min="22" max="22" width="8.44140625" style="45" customWidth="1"/>
    <col min="23" max="23" width="3.6640625" style="45" customWidth="1"/>
    <col min="24" max="26" width="2.77734375" style="45" hidden="1" customWidth="1"/>
    <col min="27" max="30" width="5.109375" style="45" hidden="1" customWidth="1"/>
    <col min="31" max="31" width="8.6640625" style="45" hidden="1" customWidth="1"/>
    <col min="32" max="32" width="2" style="45" hidden="1" customWidth="1"/>
    <col min="33" max="255" width="9.109375" style="45" hidden="1" customWidth="1"/>
    <col min="256" max="16384" width="0" style="45" hidden="1"/>
  </cols>
  <sheetData>
    <row r="1" spans="1:32" x14ac:dyDescent="0.35">
      <c r="A1" s="86"/>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3"/>
    </row>
    <row r="2" spans="1:32" ht="37.5" customHeight="1" x14ac:dyDescent="0.35">
      <c r="A2" s="46"/>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8"/>
    </row>
    <row r="3" spans="1:32" ht="28.8" x14ac:dyDescent="0.55000000000000004">
      <c r="A3" s="2178" t="s">
        <v>990</v>
      </c>
      <c r="B3" s="2178"/>
      <c r="C3" s="2178"/>
      <c r="D3" s="2178"/>
      <c r="E3" s="2178"/>
      <c r="F3" s="2178"/>
      <c r="G3" s="2178"/>
      <c r="H3" s="2178"/>
      <c r="I3" s="2178"/>
      <c r="J3" s="2178"/>
      <c r="K3" s="2178"/>
      <c r="L3" s="2178"/>
      <c r="M3" s="2178"/>
      <c r="N3" s="2178"/>
      <c r="O3" s="2178"/>
      <c r="P3" s="2178"/>
      <c r="Q3" s="2178"/>
      <c r="R3" s="2178"/>
      <c r="S3" s="2178"/>
      <c r="T3" s="2178"/>
      <c r="U3" s="2178"/>
      <c r="V3" s="2178"/>
      <c r="W3" s="2178"/>
      <c r="X3" s="820"/>
      <c r="Y3" s="820"/>
      <c r="Z3" s="820"/>
      <c r="AA3" s="820"/>
      <c r="AB3" s="820"/>
      <c r="AC3" s="820"/>
      <c r="AD3" s="820"/>
      <c r="AE3" s="820"/>
      <c r="AF3" s="820"/>
    </row>
    <row r="4" spans="1:32" ht="15" customHeight="1" x14ac:dyDescent="0.35">
      <c r="A4" s="49"/>
      <c r="B4" s="53"/>
      <c r="C4" s="53"/>
      <c r="D4" s="53"/>
      <c r="E4" s="53"/>
      <c r="F4" s="53"/>
      <c r="G4" s="53"/>
      <c r="H4" s="53"/>
      <c r="I4" s="53"/>
      <c r="J4" s="53"/>
      <c r="K4" s="53"/>
      <c r="L4" s="53"/>
      <c r="M4" s="53"/>
      <c r="N4" s="53"/>
      <c r="O4" s="53"/>
      <c r="P4" s="53"/>
      <c r="Q4" s="53"/>
      <c r="R4" s="53"/>
      <c r="S4" s="53"/>
      <c r="T4" s="53"/>
      <c r="U4" s="53"/>
      <c r="V4" s="53"/>
      <c r="W4" s="42"/>
      <c r="X4" s="42"/>
      <c r="Y4" s="42"/>
      <c r="Z4" s="42"/>
      <c r="AA4" s="42"/>
      <c r="AB4" s="42"/>
      <c r="AC4" s="42"/>
      <c r="AD4" s="42"/>
      <c r="AE4" s="42"/>
      <c r="AF4" s="43"/>
    </row>
    <row r="5" spans="1:32" hidden="1" x14ac:dyDescent="0.35">
      <c r="A5" s="49"/>
      <c r="B5" s="50" t="s">
        <v>1069</v>
      </c>
      <c r="C5" s="51"/>
      <c r="D5" s="2113" t="s">
        <v>960</v>
      </c>
      <c r="E5" s="2177"/>
      <c r="F5" s="52"/>
      <c r="G5" s="2113" t="s">
        <v>961</v>
      </c>
      <c r="H5" s="2115"/>
      <c r="I5" s="2115"/>
      <c r="J5" s="2115"/>
      <c r="K5" s="2115"/>
      <c r="L5" s="2115"/>
      <c r="M5" s="2115"/>
      <c r="N5" s="2115"/>
      <c r="O5" s="2115"/>
      <c r="P5" s="2115"/>
      <c r="Q5" s="2115"/>
      <c r="R5" s="2115"/>
      <c r="S5" s="2115"/>
      <c r="T5" s="2115"/>
      <c r="U5" s="2116"/>
      <c r="V5" s="87"/>
      <c r="W5" s="53"/>
      <c r="X5" s="53"/>
      <c r="Y5" s="53"/>
      <c r="Z5" s="53"/>
      <c r="AA5" s="53"/>
      <c r="AB5" s="53"/>
      <c r="AC5" s="53"/>
      <c r="AD5" s="53"/>
      <c r="AE5" s="53"/>
      <c r="AF5" s="54"/>
    </row>
    <row r="6" spans="1:32" hidden="1" x14ac:dyDescent="0.35">
      <c r="A6" s="49"/>
      <c r="B6" s="55" t="s">
        <v>962</v>
      </c>
      <c r="C6" s="51"/>
      <c r="D6" s="56" t="s">
        <v>963</v>
      </c>
      <c r="E6" s="57" t="s">
        <v>964</v>
      </c>
      <c r="F6" s="51"/>
      <c r="G6" s="56" t="s">
        <v>965</v>
      </c>
      <c r="H6" s="58" t="s">
        <v>966</v>
      </c>
      <c r="I6" s="58" t="s">
        <v>967</v>
      </c>
      <c r="J6" s="58" t="s">
        <v>968</v>
      </c>
      <c r="K6" s="58" t="s">
        <v>969</v>
      </c>
      <c r="L6" s="58" t="s">
        <v>970</v>
      </c>
      <c r="M6" s="58" t="s">
        <v>971</v>
      </c>
      <c r="N6" s="58" t="s">
        <v>972</v>
      </c>
      <c r="O6" s="58" t="s">
        <v>973</v>
      </c>
      <c r="P6" s="58" t="s">
        <v>974</v>
      </c>
      <c r="Q6" s="58" t="s">
        <v>975</v>
      </c>
      <c r="R6" s="58" t="s">
        <v>976</v>
      </c>
      <c r="S6" s="58" t="s">
        <v>977</v>
      </c>
      <c r="T6" s="58" t="s">
        <v>978</v>
      </c>
      <c r="U6" s="57" t="s">
        <v>979</v>
      </c>
      <c r="V6" s="51"/>
      <c r="W6" s="53"/>
      <c r="X6" s="53"/>
      <c r="Y6" s="53"/>
      <c r="Z6" s="53"/>
      <c r="AA6" s="53"/>
      <c r="AB6" s="53"/>
      <c r="AC6" s="53"/>
      <c r="AD6" s="53"/>
      <c r="AE6" s="53"/>
      <c r="AF6" s="54"/>
    </row>
    <row r="7" spans="1:32" hidden="1" x14ac:dyDescent="0.35">
      <c r="A7" s="49"/>
      <c r="B7" s="59">
        <v>45</v>
      </c>
      <c r="C7" s="60"/>
      <c r="D7" s="61" t="s">
        <v>980</v>
      </c>
      <c r="E7" s="61">
        <v>2</v>
      </c>
      <c r="F7" s="60"/>
      <c r="G7" s="88">
        <v>1460.4483002661445</v>
      </c>
      <c r="H7" s="88">
        <v>1532.7614456042872</v>
      </c>
      <c r="I7" s="88">
        <v>2227.591079674281</v>
      </c>
      <c r="J7" s="88">
        <v>2400.6341586863218</v>
      </c>
      <c r="K7" s="88">
        <v>2354.4556288725348</v>
      </c>
      <c r="L7" s="88">
        <v>1914.635618597443</v>
      </c>
      <c r="M7" s="88">
        <v>2034.3003447597832</v>
      </c>
      <c r="N7" s="88">
        <v>2153.9650709221232</v>
      </c>
      <c r="O7" s="88">
        <v>2273.6297970844635</v>
      </c>
      <c r="P7" s="88">
        <v>2393.2945232468037</v>
      </c>
      <c r="Q7" s="88">
        <v>2297.5627423169317</v>
      </c>
      <c r="R7" s="88">
        <v>2201.8309613870592</v>
      </c>
      <c r="S7" s="88">
        <v>2106.0991804571877</v>
      </c>
      <c r="T7" s="88">
        <v>2010.3673995273152</v>
      </c>
      <c r="U7" s="89">
        <v>1914.635618597443</v>
      </c>
      <c r="V7" s="90"/>
      <c r="W7" s="53"/>
      <c r="X7" s="53"/>
      <c r="Y7" s="53"/>
      <c r="Z7" s="53"/>
      <c r="AA7" s="53"/>
      <c r="AB7" s="53"/>
      <c r="AC7" s="53"/>
      <c r="AD7" s="53"/>
      <c r="AE7" s="53"/>
      <c r="AF7" s="54"/>
    </row>
    <row r="8" spans="1:32" hidden="1" x14ac:dyDescent="0.35">
      <c r="A8" s="49"/>
      <c r="B8" s="2179">
        <v>55</v>
      </c>
      <c r="C8" s="64"/>
      <c r="D8" s="2179" t="s">
        <v>980</v>
      </c>
      <c r="E8" s="65">
        <v>2</v>
      </c>
      <c r="F8" s="60"/>
      <c r="G8" s="88">
        <v>1512.3220102436892</v>
      </c>
      <c r="H8" s="88">
        <v>1262.5903521767359</v>
      </c>
      <c r="I8" s="88">
        <v>1877.6580175642296</v>
      </c>
      <c r="J8" s="88">
        <v>2296.2884849824336</v>
      </c>
      <c r="K8" s="88">
        <v>2659.2204761180228</v>
      </c>
      <c r="L8" s="88">
        <v>2943.2707016715531</v>
      </c>
      <c r="M8" s="88">
        <v>3127.225120526025</v>
      </c>
      <c r="N8" s="88">
        <v>3311.1795393804973</v>
      </c>
      <c r="O8" s="88">
        <v>3495.1339582349692</v>
      </c>
      <c r="P8" s="88">
        <v>3679.0883770894416</v>
      </c>
      <c r="Q8" s="88">
        <v>3531.9248420058634</v>
      </c>
      <c r="R8" s="88">
        <v>3384.7613069222857</v>
      </c>
      <c r="S8" s="88">
        <v>3237.5977718387085</v>
      </c>
      <c r="T8" s="88">
        <v>3090.4342367551308</v>
      </c>
      <c r="U8" s="89">
        <v>2943.2707016715531</v>
      </c>
      <c r="V8" s="90"/>
      <c r="W8" s="53"/>
      <c r="X8" s="53"/>
      <c r="Y8" s="53"/>
      <c r="Z8" s="53"/>
      <c r="AA8" s="53"/>
      <c r="AB8" s="53"/>
      <c r="AC8" s="53"/>
      <c r="AD8" s="53"/>
      <c r="AE8" s="53"/>
      <c r="AF8" s="54"/>
    </row>
    <row r="9" spans="1:32" hidden="1" x14ac:dyDescent="0.35">
      <c r="A9" s="49"/>
      <c r="B9" s="2182"/>
      <c r="C9" s="64"/>
      <c r="D9" s="2181"/>
      <c r="E9" s="91">
        <v>3</v>
      </c>
      <c r="F9" s="60"/>
      <c r="G9" s="88">
        <v>1869.9485874733939</v>
      </c>
      <c r="H9" s="88">
        <v>1724.9136618502637</v>
      </c>
      <c r="I9" s="88">
        <v>3103.4923117682315</v>
      </c>
      <c r="J9" s="88">
        <v>3293.6996766303073</v>
      </c>
      <c r="K9" s="88">
        <v>3826.0659266807779</v>
      </c>
      <c r="L9" s="88">
        <v>4234.7705801628745</v>
      </c>
      <c r="M9" s="88">
        <v>4499.4437414230542</v>
      </c>
      <c r="N9" s="88">
        <v>4764.116902683234</v>
      </c>
      <c r="O9" s="88">
        <v>5028.7900639434138</v>
      </c>
      <c r="P9" s="88">
        <v>5293.4632252035935</v>
      </c>
      <c r="Q9" s="88">
        <v>5081.7246961954488</v>
      </c>
      <c r="R9" s="88">
        <v>4869.986167187305</v>
      </c>
      <c r="S9" s="88">
        <v>4658.2476381791621</v>
      </c>
      <c r="T9" s="88">
        <v>4446.5091091710183</v>
      </c>
      <c r="U9" s="89">
        <v>4234.7705801628745</v>
      </c>
      <c r="V9" s="90"/>
      <c r="W9" s="53"/>
      <c r="X9" s="53"/>
      <c r="Y9" s="53"/>
      <c r="Z9" s="53"/>
      <c r="AA9" s="53"/>
      <c r="AB9" s="53"/>
      <c r="AC9" s="53"/>
      <c r="AD9" s="53"/>
      <c r="AE9" s="53"/>
      <c r="AF9" s="54"/>
    </row>
    <row r="10" spans="1:32" hidden="1" x14ac:dyDescent="0.35">
      <c r="A10" s="49"/>
      <c r="B10" s="2183"/>
      <c r="C10" s="60"/>
      <c r="D10" s="59" t="s">
        <v>981</v>
      </c>
      <c r="E10" s="59">
        <v>2</v>
      </c>
      <c r="F10" s="60"/>
      <c r="G10" s="88">
        <v>1647.0870606776562</v>
      </c>
      <c r="H10" s="88">
        <v>1120.5168951710029</v>
      </c>
      <c r="I10" s="88">
        <v>1389.244529994166</v>
      </c>
      <c r="J10" s="88">
        <v>2178.567932382251</v>
      </c>
      <c r="K10" s="88">
        <v>2552.8618422438858</v>
      </c>
      <c r="L10" s="88">
        <v>2927.1557521055202</v>
      </c>
      <c r="M10" s="88">
        <v>3110.1029866121153</v>
      </c>
      <c r="N10" s="88">
        <v>3293.0502211187104</v>
      </c>
      <c r="O10" s="88">
        <v>3475.9974556253051</v>
      </c>
      <c r="P10" s="88">
        <v>3658.9446901319002</v>
      </c>
      <c r="Q10" s="88">
        <v>3512.5869025266243</v>
      </c>
      <c r="R10" s="88">
        <v>3366.2291149213479</v>
      </c>
      <c r="S10" s="88">
        <v>3219.8713273160724</v>
      </c>
      <c r="T10" s="88">
        <v>3073.5135397107961</v>
      </c>
      <c r="U10" s="89">
        <v>2927.1557521055202</v>
      </c>
      <c r="V10" s="90"/>
      <c r="W10" s="53"/>
      <c r="X10" s="53"/>
      <c r="Y10" s="53"/>
      <c r="Z10" s="53"/>
      <c r="AA10" s="53"/>
      <c r="AB10" s="53"/>
      <c r="AC10" s="53"/>
      <c r="AD10" s="53"/>
      <c r="AE10" s="53"/>
      <c r="AF10" s="54"/>
    </row>
    <row r="11" spans="1:32" hidden="1" x14ac:dyDescent="0.35">
      <c r="A11" s="49"/>
      <c r="B11" s="66">
        <v>65</v>
      </c>
      <c r="C11" s="64"/>
      <c r="D11" s="59" t="s">
        <v>980</v>
      </c>
      <c r="E11" s="59">
        <v>2</v>
      </c>
      <c r="F11" s="60"/>
      <c r="G11" s="88">
        <v>1379.6611799126292</v>
      </c>
      <c r="H11" s="88">
        <v>1063.8066687037328</v>
      </c>
      <c r="I11" s="88">
        <v>1855.6430872445394</v>
      </c>
      <c r="J11" s="88">
        <v>2166.1306892953471</v>
      </c>
      <c r="K11" s="88">
        <v>2313.1523908185022</v>
      </c>
      <c r="L11" s="88">
        <v>2039.4119295876901</v>
      </c>
      <c r="M11" s="88">
        <v>2166.8751751869208</v>
      </c>
      <c r="N11" s="88">
        <v>2294.3384207861513</v>
      </c>
      <c r="O11" s="88">
        <v>2421.8016663853818</v>
      </c>
      <c r="P11" s="88">
        <v>2549.2649119846128</v>
      </c>
      <c r="Q11" s="88">
        <v>2447.294315505228</v>
      </c>
      <c r="R11" s="88">
        <v>2345.3237190258433</v>
      </c>
      <c r="S11" s="88">
        <v>2243.3531225464594</v>
      </c>
      <c r="T11" s="88">
        <v>2141.3825260670747</v>
      </c>
      <c r="U11" s="89">
        <v>2039.4119295876901</v>
      </c>
      <c r="V11" s="90"/>
      <c r="W11" s="53"/>
      <c r="X11" s="53"/>
      <c r="Y11" s="53"/>
      <c r="Z11" s="53"/>
      <c r="AA11" s="53"/>
      <c r="AB11" s="53"/>
      <c r="AC11" s="53"/>
      <c r="AD11" s="53"/>
      <c r="AE11" s="53"/>
      <c r="AF11" s="54"/>
    </row>
    <row r="12" spans="1:32" hidden="1" x14ac:dyDescent="0.35">
      <c r="A12" s="49"/>
      <c r="B12" s="2179">
        <v>75</v>
      </c>
      <c r="C12" s="64"/>
      <c r="D12" s="2179" t="s">
        <v>980</v>
      </c>
      <c r="E12" s="59">
        <v>2</v>
      </c>
      <c r="F12" s="60"/>
      <c r="G12" s="88">
        <v>1440.4522572411222</v>
      </c>
      <c r="H12" s="88">
        <v>987.85427051746569</v>
      </c>
      <c r="I12" s="88">
        <v>1822.8348148638484</v>
      </c>
      <c r="J12" s="88">
        <v>2100.3546465868344</v>
      </c>
      <c r="K12" s="88">
        <v>2363.4546019776544</v>
      </c>
      <c r="L12" s="88">
        <v>2683.5443580652814</v>
      </c>
      <c r="M12" s="88">
        <v>2851.2658804443613</v>
      </c>
      <c r="N12" s="88">
        <v>3018.9874028234417</v>
      </c>
      <c r="O12" s="88">
        <v>3186.7089252025216</v>
      </c>
      <c r="P12" s="88">
        <v>3354.4304475816016</v>
      </c>
      <c r="Q12" s="88">
        <v>3220.2532296783374</v>
      </c>
      <c r="R12" s="88">
        <v>3086.0760117750733</v>
      </c>
      <c r="S12" s="88">
        <v>2951.8987938718096</v>
      </c>
      <c r="T12" s="88">
        <v>2817.7215759685455</v>
      </c>
      <c r="U12" s="89">
        <v>2683.5443580652814</v>
      </c>
      <c r="V12" s="90"/>
      <c r="W12" s="53"/>
      <c r="X12" s="53"/>
      <c r="Y12" s="53"/>
      <c r="Z12" s="53"/>
      <c r="AA12" s="53"/>
      <c r="AB12" s="53"/>
      <c r="AC12" s="53"/>
      <c r="AD12" s="53"/>
      <c r="AE12" s="53"/>
      <c r="AF12" s="54"/>
    </row>
    <row r="13" spans="1:32" hidden="1" x14ac:dyDescent="0.35">
      <c r="A13" s="49"/>
      <c r="B13" s="2180"/>
      <c r="C13" s="64"/>
      <c r="D13" s="2180"/>
      <c r="E13" s="59">
        <v>3</v>
      </c>
      <c r="F13" s="60"/>
      <c r="G13" s="88">
        <v>1804.6332352362331</v>
      </c>
      <c r="H13" s="88">
        <v>1421.8334278540788</v>
      </c>
      <c r="I13" s="88">
        <v>2269.0298213266242</v>
      </c>
      <c r="J13" s="88">
        <v>2757.5159481611258</v>
      </c>
      <c r="K13" s="88">
        <v>3512.8301877369458</v>
      </c>
      <c r="L13" s="88">
        <v>3207.2044992573983</v>
      </c>
      <c r="M13" s="88">
        <v>3407.6547804609859</v>
      </c>
      <c r="N13" s="88">
        <v>3608.105061664573</v>
      </c>
      <c r="O13" s="88">
        <v>3808.5553428681606</v>
      </c>
      <c r="P13" s="88">
        <v>4009.0056240717477</v>
      </c>
      <c r="Q13" s="88">
        <v>3848.6453991088779</v>
      </c>
      <c r="R13" s="88">
        <v>3688.2851741460076</v>
      </c>
      <c r="S13" s="88">
        <v>3527.9249491831383</v>
      </c>
      <c r="T13" s="88">
        <v>3367.5647242202685</v>
      </c>
      <c r="U13" s="89">
        <v>3207.2044992573983</v>
      </c>
      <c r="V13" s="90"/>
      <c r="W13" s="53"/>
      <c r="X13" s="53"/>
      <c r="Y13" s="53"/>
      <c r="Z13" s="53"/>
      <c r="AA13" s="53"/>
      <c r="AB13" s="53"/>
      <c r="AC13" s="53"/>
      <c r="AD13" s="53"/>
      <c r="AE13" s="53"/>
      <c r="AF13" s="54"/>
    </row>
    <row r="14" spans="1:32" hidden="1" x14ac:dyDescent="0.35">
      <c r="A14" s="49"/>
      <c r="B14" s="2180"/>
      <c r="C14" s="64"/>
      <c r="D14" s="2181"/>
      <c r="E14" s="59">
        <v>4</v>
      </c>
      <c r="F14" s="60"/>
      <c r="G14" s="88">
        <v>2506.1865132049825</v>
      </c>
      <c r="H14" s="88">
        <v>2281.8158876488778</v>
      </c>
      <c r="I14" s="88">
        <v>4480.0561256737719</v>
      </c>
      <c r="J14" s="88">
        <v>6165.7322951978613</v>
      </c>
      <c r="K14" s="88">
        <v>6009.60646357101</v>
      </c>
      <c r="L14" s="88">
        <v>5489.5232730454836</v>
      </c>
      <c r="M14" s="88">
        <v>5832.6184776108266</v>
      </c>
      <c r="N14" s="88">
        <v>6175.7136821761687</v>
      </c>
      <c r="O14" s="88">
        <v>6518.8088867415117</v>
      </c>
      <c r="P14" s="88">
        <v>6861.9040913068548</v>
      </c>
      <c r="Q14" s="88">
        <v>6587.4279276545803</v>
      </c>
      <c r="R14" s="88">
        <v>6312.9517640023059</v>
      </c>
      <c r="S14" s="88">
        <v>6038.4756003500324</v>
      </c>
      <c r="T14" s="88">
        <v>5763.999436697758</v>
      </c>
      <c r="U14" s="89">
        <v>5489.5232730454836</v>
      </c>
      <c r="V14" s="90"/>
      <c r="W14" s="53"/>
      <c r="X14" s="53"/>
      <c r="Y14" s="53"/>
      <c r="Z14" s="53"/>
      <c r="AA14" s="53"/>
      <c r="AB14" s="53"/>
      <c r="AC14" s="53"/>
      <c r="AD14" s="53"/>
      <c r="AE14" s="53"/>
      <c r="AF14" s="54"/>
    </row>
    <row r="15" spans="1:32" hidden="1" x14ac:dyDescent="0.35">
      <c r="A15" s="49"/>
      <c r="B15" s="2181"/>
      <c r="C15" s="64"/>
      <c r="D15" s="59" t="s">
        <v>981</v>
      </c>
      <c r="E15" s="59">
        <v>2</v>
      </c>
      <c r="F15" s="60"/>
      <c r="G15" s="88">
        <v>1552.3696914789666</v>
      </c>
      <c r="H15" s="88">
        <v>1031.3993208559273</v>
      </c>
      <c r="I15" s="88">
        <v>2574.7077380757628</v>
      </c>
      <c r="J15" s="88">
        <v>3066.6788921822185</v>
      </c>
      <c r="K15" s="88">
        <v>3632.6662631858439</v>
      </c>
      <c r="L15" s="88">
        <v>2413.4185268418478</v>
      </c>
      <c r="M15" s="88">
        <v>2564.2571847694635</v>
      </c>
      <c r="N15" s="88">
        <v>2715.0958426970788</v>
      </c>
      <c r="O15" s="88">
        <v>2865.934500624694</v>
      </c>
      <c r="P15" s="88">
        <v>3016.7731585523097</v>
      </c>
      <c r="Q15" s="88">
        <v>2896.1022322102172</v>
      </c>
      <c r="R15" s="88">
        <v>2775.4313058681246</v>
      </c>
      <c r="S15" s="88">
        <v>2654.7603795260329</v>
      </c>
      <c r="T15" s="88">
        <v>2534.0894531839403</v>
      </c>
      <c r="U15" s="89">
        <v>2413.4185268418478</v>
      </c>
      <c r="V15" s="90"/>
      <c r="W15" s="53"/>
      <c r="X15" s="53"/>
      <c r="Y15" s="53"/>
      <c r="Z15" s="53"/>
      <c r="AA15" s="53"/>
      <c r="AB15" s="53"/>
      <c r="AC15" s="53"/>
      <c r="AD15" s="53"/>
      <c r="AE15" s="53"/>
      <c r="AF15" s="54"/>
    </row>
    <row r="16" spans="1:32" hidden="1" x14ac:dyDescent="0.35">
      <c r="A16" s="49"/>
      <c r="B16" s="2179">
        <v>85</v>
      </c>
      <c r="C16" s="64"/>
      <c r="D16" s="2179" t="s">
        <v>980</v>
      </c>
      <c r="E16" s="59">
        <v>2</v>
      </c>
      <c r="F16" s="60"/>
      <c r="G16" s="88">
        <v>1672.4187481578965</v>
      </c>
      <c r="H16" s="88">
        <v>1736.1456252147088</v>
      </c>
      <c r="I16" s="88">
        <v>2290.2444275866173</v>
      </c>
      <c r="J16" s="88">
        <v>2692.4895876025557</v>
      </c>
      <c r="K16" s="88">
        <v>3410.2156207181824</v>
      </c>
      <c r="L16" s="88">
        <v>2640.3024597237818</v>
      </c>
      <c r="M16" s="88">
        <v>2805.3213634565182</v>
      </c>
      <c r="N16" s="88">
        <v>2970.3402671892545</v>
      </c>
      <c r="O16" s="88">
        <v>3135.3591709219909</v>
      </c>
      <c r="P16" s="88">
        <v>3300.3780746547272</v>
      </c>
      <c r="Q16" s="88">
        <v>3168.3629516685382</v>
      </c>
      <c r="R16" s="88">
        <v>3036.3478286823488</v>
      </c>
      <c r="S16" s="88">
        <v>2904.3327056961602</v>
      </c>
      <c r="T16" s="88">
        <v>2772.3175827099708</v>
      </c>
      <c r="U16" s="89">
        <v>2640.3024597237818</v>
      </c>
      <c r="V16" s="90"/>
      <c r="W16" s="53"/>
      <c r="X16" s="53"/>
      <c r="Y16" s="53"/>
      <c r="Z16" s="53"/>
      <c r="AA16" s="53"/>
      <c r="AB16" s="53"/>
      <c r="AC16" s="53"/>
      <c r="AD16" s="53"/>
      <c r="AE16" s="53"/>
      <c r="AF16" s="54"/>
    </row>
    <row r="17" spans="1:32" hidden="1" x14ac:dyDescent="0.35">
      <c r="A17" s="49"/>
      <c r="B17" s="2180"/>
      <c r="C17" s="64"/>
      <c r="D17" s="2180"/>
      <c r="E17" s="59">
        <v>3</v>
      </c>
      <c r="F17" s="60"/>
      <c r="G17" s="88">
        <v>1697.4658713350746</v>
      </c>
      <c r="H17" s="88">
        <v>1524.9142663125222</v>
      </c>
      <c r="I17" s="88">
        <v>2634.8910169020669</v>
      </c>
      <c r="J17" s="88">
        <v>3515.6845874380933</v>
      </c>
      <c r="K17" s="88">
        <v>3904.6885444840782</v>
      </c>
      <c r="L17" s="88">
        <v>4360.5062385425399</v>
      </c>
      <c r="M17" s="88">
        <v>4633.0378784514487</v>
      </c>
      <c r="N17" s="88">
        <v>4905.5695183603575</v>
      </c>
      <c r="O17" s="88">
        <v>5178.1011582692663</v>
      </c>
      <c r="P17" s="88">
        <v>5450.6327981781751</v>
      </c>
      <c r="Q17" s="88">
        <v>5232.6074862510477</v>
      </c>
      <c r="R17" s="88">
        <v>5014.5821743239203</v>
      </c>
      <c r="S17" s="88">
        <v>4796.5568623967947</v>
      </c>
      <c r="T17" s="88">
        <v>4578.5315504696673</v>
      </c>
      <c r="U17" s="89">
        <v>4360.5062385425399</v>
      </c>
      <c r="V17" s="90"/>
      <c r="W17" s="53"/>
      <c r="X17" s="53"/>
      <c r="Y17" s="53"/>
      <c r="Z17" s="53"/>
      <c r="AA17" s="53"/>
      <c r="AB17" s="53"/>
      <c r="AC17" s="53"/>
      <c r="AD17" s="53"/>
      <c r="AE17" s="53"/>
      <c r="AF17" s="54"/>
    </row>
    <row r="18" spans="1:32" hidden="1" x14ac:dyDescent="0.35">
      <c r="A18" s="49"/>
      <c r="B18" s="2180"/>
      <c r="C18" s="64"/>
      <c r="D18" s="2181"/>
      <c r="E18" s="59">
        <v>4</v>
      </c>
      <c r="F18" s="60"/>
      <c r="G18" s="88">
        <v>3028.9068166110137</v>
      </c>
      <c r="H18" s="88">
        <v>3279.5276577513114</v>
      </c>
      <c r="I18" s="88">
        <v>6019.6903322174021</v>
      </c>
      <c r="J18" s="88">
        <v>7161.1087165590297</v>
      </c>
      <c r="K18" s="88">
        <v>6255.3158539559681</v>
      </c>
      <c r="L18" s="88">
        <v>6278.9609466320144</v>
      </c>
      <c r="M18" s="88">
        <v>6671.3960057965151</v>
      </c>
      <c r="N18" s="88">
        <v>7063.8310649610157</v>
      </c>
      <c r="O18" s="88">
        <v>7456.2661241255173</v>
      </c>
      <c r="P18" s="88">
        <v>7848.701183290018</v>
      </c>
      <c r="Q18" s="88">
        <v>7534.7531359584173</v>
      </c>
      <c r="R18" s="88">
        <v>7220.8050886268156</v>
      </c>
      <c r="S18" s="88">
        <v>6906.8570412952167</v>
      </c>
      <c r="T18" s="88">
        <v>6592.9089939636151</v>
      </c>
      <c r="U18" s="89">
        <v>6278.9609466320144</v>
      </c>
      <c r="V18" s="90"/>
      <c r="W18" s="53"/>
      <c r="X18" s="53"/>
      <c r="Y18" s="53"/>
      <c r="Z18" s="53"/>
      <c r="AA18" s="53"/>
      <c r="AB18" s="53"/>
      <c r="AC18" s="53"/>
      <c r="AD18" s="53"/>
      <c r="AE18" s="53"/>
      <c r="AF18" s="54"/>
    </row>
    <row r="19" spans="1:32" hidden="1" x14ac:dyDescent="0.35">
      <c r="A19" s="49"/>
      <c r="B19" s="2180"/>
      <c r="C19" s="64"/>
      <c r="D19" s="2179" t="s">
        <v>981</v>
      </c>
      <c r="E19" s="59">
        <v>2</v>
      </c>
      <c r="F19" s="60"/>
      <c r="G19" s="88">
        <v>1614.9915463877326</v>
      </c>
      <c r="H19" s="88">
        <v>1341.9833161923202</v>
      </c>
      <c r="I19" s="88">
        <v>2148.6429003618764</v>
      </c>
      <c r="J19" s="88">
        <v>2409.0591622466836</v>
      </c>
      <c r="K19" s="88">
        <v>2948.8480513146737</v>
      </c>
      <c r="L19" s="88">
        <v>3393.5432041724007</v>
      </c>
      <c r="M19" s="88">
        <v>3605.6396544331756</v>
      </c>
      <c r="N19" s="88">
        <v>3817.7361046939509</v>
      </c>
      <c r="O19" s="88">
        <v>4029.8325549547258</v>
      </c>
      <c r="P19" s="88">
        <v>4241.9290052155011</v>
      </c>
      <c r="Q19" s="88">
        <v>4072.2518450068806</v>
      </c>
      <c r="R19" s="88">
        <v>3902.5746847982605</v>
      </c>
      <c r="S19" s="88">
        <v>3732.8975245896409</v>
      </c>
      <c r="T19" s="88">
        <v>3563.2203643810208</v>
      </c>
      <c r="U19" s="89">
        <v>3393.5432041724007</v>
      </c>
      <c r="V19" s="90"/>
      <c r="W19" s="53"/>
      <c r="X19" s="53"/>
      <c r="Y19" s="53"/>
      <c r="Z19" s="53"/>
      <c r="AA19" s="53"/>
      <c r="AB19" s="53"/>
      <c r="AC19" s="53"/>
      <c r="AD19" s="53"/>
      <c r="AE19" s="53"/>
      <c r="AF19" s="54"/>
    </row>
    <row r="20" spans="1:32" hidden="1" x14ac:dyDescent="0.35">
      <c r="A20" s="49"/>
      <c r="B20" s="2181"/>
      <c r="C20" s="64"/>
      <c r="D20" s="2181"/>
      <c r="E20" s="59">
        <v>3</v>
      </c>
      <c r="F20" s="60"/>
      <c r="G20" s="88">
        <v>2170.6802874850009</v>
      </c>
      <c r="H20" s="88">
        <v>1726.7686893578539</v>
      </c>
      <c r="I20" s="88">
        <v>3707.6484897203518</v>
      </c>
      <c r="J20" s="88">
        <v>4470.8985207129253</v>
      </c>
      <c r="K20" s="88">
        <v>4675.698237816493</v>
      </c>
      <c r="L20" s="88">
        <v>4827.2456702579248</v>
      </c>
      <c r="M20" s="88">
        <v>5128.9485246490449</v>
      </c>
      <c r="N20" s="88">
        <v>5430.651379040165</v>
      </c>
      <c r="O20" s="88">
        <v>5732.354233431286</v>
      </c>
      <c r="P20" s="88">
        <v>6034.0570878224062</v>
      </c>
      <c r="Q20" s="88">
        <v>5792.6948043095099</v>
      </c>
      <c r="R20" s="88">
        <v>5551.3325207966127</v>
      </c>
      <c r="S20" s="88">
        <v>5309.9702372837173</v>
      </c>
      <c r="T20" s="88">
        <v>5068.607953770821</v>
      </c>
      <c r="U20" s="89">
        <v>4827.2456702579248</v>
      </c>
      <c r="V20" s="90"/>
      <c r="W20" s="53"/>
      <c r="X20" s="53"/>
      <c r="Y20" s="53"/>
      <c r="Z20" s="53"/>
      <c r="AA20" s="53"/>
      <c r="AB20" s="53"/>
      <c r="AC20" s="53"/>
      <c r="AD20" s="53"/>
      <c r="AE20" s="53"/>
      <c r="AF20" s="54"/>
    </row>
    <row r="21" spans="1:32" hidden="1" x14ac:dyDescent="0.35">
      <c r="A21" s="49"/>
      <c r="B21" s="2179">
        <v>95</v>
      </c>
      <c r="C21" s="64"/>
      <c r="D21" s="2179" t="s">
        <v>980</v>
      </c>
      <c r="E21" s="59">
        <v>2</v>
      </c>
      <c r="F21" s="60"/>
      <c r="G21" s="88">
        <v>1614.4530774771474</v>
      </c>
      <c r="H21" s="88">
        <v>1287.6777620335447</v>
      </c>
      <c r="I21" s="88">
        <v>2113.8269665325406</v>
      </c>
      <c r="J21" s="88">
        <v>3311.2991155809395</v>
      </c>
      <c r="K21" s="88">
        <v>2397.8049495256719</v>
      </c>
      <c r="L21" s="88">
        <v>2435.6061988962347</v>
      </c>
      <c r="M21" s="88">
        <v>2587.8315863272492</v>
      </c>
      <c r="N21" s="88">
        <v>2740.0569737582641</v>
      </c>
      <c r="O21" s="88">
        <v>2892.2823611892786</v>
      </c>
      <c r="P21" s="88">
        <v>3044.5077486202936</v>
      </c>
      <c r="Q21" s="88">
        <v>2922.7274386754816</v>
      </c>
      <c r="R21" s="88">
        <v>2800.9471287306696</v>
      </c>
      <c r="S21" s="88">
        <v>2679.1668187858581</v>
      </c>
      <c r="T21" s="88">
        <v>2557.3865088410466</v>
      </c>
      <c r="U21" s="89">
        <v>2435.6061988962347</v>
      </c>
      <c r="V21" s="90"/>
      <c r="W21" s="53"/>
      <c r="X21" s="53"/>
      <c r="Y21" s="53"/>
      <c r="Z21" s="53"/>
      <c r="AA21" s="53"/>
      <c r="AB21" s="53"/>
      <c r="AC21" s="53"/>
      <c r="AD21" s="53"/>
      <c r="AE21" s="53"/>
      <c r="AF21" s="54"/>
    </row>
    <row r="22" spans="1:32" hidden="1" x14ac:dyDescent="0.35">
      <c r="A22" s="49"/>
      <c r="B22" s="2180"/>
      <c r="C22" s="64"/>
      <c r="D22" s="2180"/>
      <c r="E22" s="59">
        <v>3</v>
      </c>
      <c r="F22" s="60"/>
      <c r="G22" s="88">
        <v>1981.9203467867189</v>
      </c>
      <c r="H22" s="88">
        <v>2043.5038270044488</v>
      </c>
      <c r="I22" s="88">
        <v>3343.9366080546179</v>
      </c>
      <c r="J22" s="88">
        <v>3523.4207308639138</v>
      </c>
      <c r="K22" s="88">
        <v>3069.0899985194042</v>
      </c>
      <c r="L22" s="88">
        <v>3117.3821411207277</v>
      </c>
      <c r="M22" s="88">
        <v>3312.218524940773</v>
      </c>
      <c r="N22" s="88">
        <v>3507.0549087608188</v>
      </c>
      <c r="O22" s="88">
        <v>3701.891292580864</v>
      </c>
      <c r="P22" s="88">
        <v>3896.7276764009098</v>
      </c>
      <c r="Q22" s="88">
        <v>3740.8585693448731</v>
      </c>
      <c r="R22" s="88">
        <v>3584.9894622888364</v>
      </c>
      <c r="S22" s="88">
        <v>3429.1203552328006</v>
      </c>
      <c r="T22" s="88">
        <v>3273.2512481767644</v>
      </c>
      <c r="U22" s="89">
        <v>3117.3821411207277</v>
      </c>
      <c r="V22" s="90"/>
      <c r="W22" s="53"/>
      <c r="X22" s="53"/>
      <c r="Y22" s="53"/>
      <c r="Z22" s="53"/>
      <c r="AA22" s="53"/>
      <c r="AB22" s="53"/>
      <c r="AC22" s="53"/>
      <c r="AD22" s="53"/>
      <c r="AE22" s="53"/>
      <c r="AF22" s="54"/>
    </row>
    <row r="23" spans="1:32" hidden="1" x14ac:dyDescent="0.35">
      <c r="A23" s="49"/>
      <c r="B23" s="2180"/>
      <c r="C23" s="64"/>
      <c r="D23" s="2181"/>
      <c r="E23" s="59">
        <v>4</v>
      </c>
      <c r="F23" s="60"/>
      <c r="G23" s="88">
        <v>3265.5562169217756</v>
      </c>
      <c r="H23" s="88">
        <v>4474.98976462466</v>
      </c>
      <c r="I23" s="88">
        <v>5271.7023680016246</v>
      </c>
      <c r="J23" s="88">
        <v>6068.4149713785882</v>
      </c>
      <c r="K23" s="88">
        <v>5235.1376139648091</v>
      </c>
      <c r="L23" s="88">
        <v>5317.3163461465138</v>
      </c>
      <c r="M23" s="88">
        <v>5649.648617780671</v>
      </c>
      <c r="N23" s="88">
        <v>5981.9808894148282</v>
      </c>
      <c r="O23" s="88">
        <v>6314.3131610489854</v>
      </c>
      <c r="P23" s="88">
        <v>6646.6454326831426</v>
      </c>
      <c r="Q23" s="88">
        <v>6380.7796153758163</v>
      </c>
      <c r="R23" s="88">
        <v>6114.91379806849</v>
      </c>
      <c r="S23" s="88">
        <v>5849.0479807611655</v>
      </c>
      <c r="T23" s="88">
        <v>5583.1821634538401</v>
      </c>
      <c r="U23" s="89">
        <v>5317.3163461465138</v>
      </c>
      <c r="V23" s="90"/>
      <c r="W23" s="53"/>
      <c r="X23" s="53"/>
      <c r="Y23" s="53"/>
      <c r="Z23" s="53"/>
      <c r="AA23" s="53"/>
      <c r="AB23" s="53"/>
      <c r="AC23" s="53"/>
      <c r="AD23" s="53"/>
      <c r="AE23" s="53"/>
      <c r="AF23" s="54"/>
    </row>
    <row r="24" spans="1:32" hidden="1" x14ac:dyDescent="0.35">
      <c r="A24" s="49"/>
      <c r="B24" s="2180"/>
      <c r="C24" s="64"/>
      <c r="D24" s="2179" t="s">
        <v>981</v>
      </c>
      <c r="E24" s="59">
        <v>2</v>
      </c>
      <c r="F24" s="60"/>
      <c r="G24" s="88">
        <v>1616.3103725880387</v>
      </c>
      <c r="H24" s="88">
        <v>1506.9824110730201</v>
      </c>
      <c r="I24" s="88">
        <v>2343.6418365110885</v>
      </c>
      <c r="J24" s="88">
        <v>2656.6927458579485</v>
      </c>
      <c r="K24" s="88">
        <v>3065.5323890053523</v>
      </c>
      <c r="L24" s="88">
        <v>2836.0830966899612</v>
      </c>
      <c r="M24" s="88">
        <v>3013.3382902330836</v>
      </c>
      <c r="N24" s="88">
        <v>3190.5934837762061</v>
      </c>
      <c r="O24" s="88">
        <v>3367.848677319329</v>
      </c>
      <c r="P24" s="88">
        <v>3545.1038708624515</v>
      </c>
      <c r="Q24" s="88">
        <v>3403.2997160279533</v>
      </c>
      <c r="R24" s="88">
        <v>3261.4955611934552</v>
      </c>
      <c r="S24" s="88">
        <v>3119.6914063589575</v>
      </c>
      <c r="T24" s="88">
        <v>2977.8872515244593</v>
      </c>
      <c r="U24" s="89">
        <v>2836.0830966899612</v>
      </c>
      <c r="V24" s="90"/>
      <c r="W24" s="53"/>
      <c r="X24" s="53"/>
      <c r="Y24" s="53"/>
      <c r="Z24" s="53"/>
      <c r="AA24" s="53"/>
      <c r="AB24" s="53"/>
      <c r="AC24" s="53"/>
      <c r="AD24" s="53"/>
      <c r="AE24" s="53"/>
      <c r="AF24" s="54"/>
    </row>
    <row r="25" spans="1:32" hidden="1" x14ac:dyDescent="0.35">
      <c r="A25" s="49"/>
      <c r="B25" s="2180"/>
      <c r="C25" s="64"/>
      <c r="D25" s="2180"/>
      <c r="E25" s="59">
        <v>3</v>
      </c>
      <c r="F25" s="60"/>
      <c r="G25" s="88">
        <v>1867.409313751238</v>
      </c>
      <c r="H25" s="88">
        <v>1539.8689850182416</v>
      </c>
      <c r="I25" s="88">
        <v>3085.0626605397365</v>
      </c>
      <c r="J25" s="88">
        <v>3448.5189721316447</v>
      </c>
      <c r="K25" s="88">
        <v>4054.8971305762761</v>
      </c>
      <c r="L25" s="88">
        <v>3488.6837430184014</v>
      </c>
      <c r="M25" s="88">
        <v>3706.7264769570515</v>
      </c>
      <c r="N25" s="88">
        <v>3924.7692108957017</v>
      </c>
      <c r="O25" s="88">
        <v>4142.8119448343514</v>
      </c>
      <c r="P25" s="88">
        <v>4360.854678773002</v>
      </c>
      <c r="Q25" s="88">
        <v>4186.4204916220815</v>
      </c>
      <c r="R25" s="88">
        <v>4011.9863044711615</v>
      </c>
      <c r="S25" s="88">
        <v>3837.5521173202419</v>
      </c>
      <c r="T25" s="88">
        <v>3663.1179301693214</v>
      </c>
      <c r="U25" s="89">
        <v>3488.6837430184014</v>
      </c>
      <c r="V25" s="90"/>
      <c r="W25" s="53"/>
      <c r="X25" s="53"/>
      <c r="Y25" s="53"/>
      <c r="Z25" s="53"/>
      <c r="AA25" s="53"/>
      <c r="AB25" s="53"/>
      <c r="AC25" s="53"/>
      <c r="AD25" s="53"/>
      <c r="AE25" s="53"/>
      <c r="AF25" s="54"/>
    </row>
    <row r="26" spans="1:32" hidden="1" x14ac:dyDescent="0.35">
      <c r="A26" s="49"/>
      <c r="B26" s="2181"/>
      <c r="C26" s="64"/>
      <c r="D26" s="2181"/>
      <c r="E26" s="59">
        <v>4</v>
      </c>
      <c r="F26" s="60"/>
      <c r="G26" s="88">
        <v>2855.7962344191146</v>
      </c>
      <c r="H26" s="88">
        <v>3389.5487578894413</v>
      </c>
      <c r="I26" s="88">
        <v>6169.64407154336</v>
      </c>
      <c r="J26" s="88">
        <v>5876.605866684491</v>
      </c>
      <c r="K26" s="88">
        <v>6931.7118005112561</v>
      </c>
      <c r="L26" s="88">
        <v>5968.1865596051011</v>
      </c>
      <c r="M26" s="88">
        <v>6341.1982195804203</v>
      </c>
      <c r="N26" s="88">
        <v>6714.2098795557386</v>
      </c>
      <c r="O26" s="88">
        <v>7087.2215395310577</v>
      </c>
      <c r="P26" s="88">
        <v>7460.233199506376</v>
      </c>
      <c r="Q26" s="88">
        <v>7161.8238715261214</v>
      </c>
      <c r="R26" s="88">
        <v>6863.4145435458659</v>
      </c>
      <c r="S26" s="88">
        <v>6565.0052155656122</v>
      </c>
      <c r="T26" s="88">
        <v>6266.5958875853566</v>
      </c>
      <c r="U26" s="89">
        <v>5968.1865596051011</v>
      </c>
      <c r="V26" s="90"/>
      <c r="W26" s="53"/>
      <c r="X26" s="53"/>
      <c r="Y26" s="53"/>
      <c r="Z26" s="53"/>
      <c r="AA26" s="53"/>
      <c r="AB26" s="53"/>
      <c r="AC26" s="53"/>
      <c r="AD26" s="53"/>
      <c r="AE26" s="53"/>
      <c r="AF26" s="54"/>
    </row>
    <row r="27" spans="1:32" hidden="1" x14ac:dyDescent="0.35">
      <c r="A27" s="49"/>
      <c r="B27" s="2179">
        <v>105</v>
      </c>
      <c r="C27" s="64"/>
      <c r="D27" s="2179" t="s">
        <v>980</v>
      </c>
      <c r="E27" s="59">
        <v>2</v>
      </c>
      <c r="F27" s="60"/>
      <c r="G27" s="88">
        <v>2008.4745212170124</v>
      </c>
      <c r="H27" s="88">
        <v>2273.7254920636756</v>
      </c>
      <c r="I27" s="88">
        <v>2108.6969494613495</v>
      </c>
      <c r="J27" s="88">
        <v>3311.2991155809395</v>
      </c>
      <c r="K27" s="88">
        <v>2397.8049495256719</v>
      </c>
      <c r="L27" s="88">
        <v>2435.6061988962347</v>
      </c>
      <c r="M27" s="88">
        <v>2587.8315863272492</v>
      </c>
      <c r="N27" s="88">
        <v>2740.0569737582641</v>
      </c>
      <c r="O27" s="88">
        <v>2892.2823611892786</v>
      </c>
      <c r="P27" s="88">
        <v>3044.5077486202936</v>
      </c>
      <c r="Q27" s="88">
        <v>2922.7274386754816</v>
      </c>
      <c r="R27" s="88">
        <v>2800.9471287306696</v>
      </c>
      <c r="S27" s="88">
        <v>2679.1668187858581</v>
      </c>
      <c r="T27" s="88">
        <v>2557.3865088410466</v>
      </c>
      <c r="U27" s="89">
        <v>2435.6061988962347</v>
      </c>
      <c r="V27" s="90"/>
      <c r="W27" s="53"/>
      <c r="X27" s="53"/>
      <c r="Y27" s="53"/>
      <c r="Z27" s="53"/>
      <c r="AA27" s="53"/>
      <c r="AB27" s="53"/>
      <c r="AC27" s="53"/>
      <c r="AD27" s="53"/>
      <c r="AE27" s="53"/>
      <c r="AF27" s="54"/>
    </row>
    <row r="28" spans="1:32" hidden="1" x14ac:dyDescent="0.35">
      <c r="A28" s="49"/>
      <c r="B28" s="2180"/>
      <c r="C28" s="64"/>
      <c r="D28" s="2180"/>
      <c r="E28" s="59">
        <v>3</v>
      </c>
      <c r="F28" s="60"/>
      <c r="G28" s="88">
        <v>1892.7409598631548</v>
      </c>
      <c r="H28" s="88">
        <v>2052.3327388773141</v>
      </c>
      <c r="I28" s="88">
        <v>2582.52688503835</v>
      </c>
      <c r="J28" s="88">
        <v>3523.4207308639138</v>
      </c>
      <c r="K28" s="88">
        <v>3069.0899985194042</v>
      </c>
      <c r="L28" s="88">
        <v>3117.3821411207277</v>
      </c>
      <c r="M28" s="88">
        <v>3312.218524940773</v>
      </c>
      <c r="N28" s="88">
        <v>3507.0549087608188</v>
      </c>
      <c r="O28" s="88">
        <v>3701.891292580864</v>
      </c>
      <c r="P28" s="88">
        <v>3896.7276764009098</v>
      </c>
      <c r="Q28" s="88">
        <v>3740.8585693448731</v>
      </c>
      <c r="R28" s="88">
        <v>3584.9894622888364</v>
      </c>
      <c r="S28" s="88">
        <v>3429.1203552328006</v>
      </c>
      <c r="T28" s="88">
        <v>3273.2512481767644</v>
      </c>
      <c r="U28" s="89">
        <v>3117.3821411207277</v>
      </c>
      <c r="V28" s="90"/>
      <c r="W28" s="53"/>
      <c r="X28" s="53"/>
      <c r="Y28" s="53"/>
      <c r="Z28" s="53"/>
      <c r="AA28" s="53"/>
      <c r="AB28" s="53"/>
      <c r="AC28" s="53"/>
      <c r="AD28" s="53"/>
      <c r="AE28" s="53"/>
      <c r="AF28" s="54"/>
    </row>
    <row r="29" spans="1:32" hidden="1" x14ac:dyDescent="0.35">
      <c r="A29" s="49"/>
      <c r="B29" s="2180"/>
      <c r="C29" s="64"/>
      <c r="D29" s="2181"/>
      <c r="E29" s="59">
        <v>4</v>
      </c>
      <c r="F29" s="60"/>
      <c r="G29" s="88">
        <v>1987.969507208782</v>
      </c>
      <c r="H29" s="88">
        <v>2221.965039401819</v>
      </c>
      <c r="I29" s="88">
        <v>3828.9937392084739</v>
      </c>
      <c r="J29" s="88">
        <v>6068.4149713785882</v>
      </c>
      <c r="K29" s="88">
        <v>5235.1376139648091</v>
      </c>
      <c r="L29" s="88">
        <v>5317.3163461465138</v>
      </c>
      <c r="M29" s="88">
        <v>5649.648617780671</v>
      </c>
      <c r="N29" s="88">
        <v>5981.9808894148282</v>
      </c>
      <c r="O29" s="88">
        <v>6314.3131610489854</v>
      </c>
      <c r="P29" s="88">
        <v>6646.6454326831426</v>
      </c>
      <c r="Q29" s="88">
        <v>6380.7796153758163</v>
      </c>
      <c r="R29" s="88">
        <v>6114.91379806849</v>
      </c>
      <c r="S29" s="88">
        <v>5849.0479807611655</v>
      </c>
      <c r="T29" s="88">
        <v>5583.1821634538401</v>
      </c>
      <c r="U29" s="89">
        <v>5317.3163461465138</v>
      </c>
      <c r="V29" s="90"/>
      <c r="W29" s="53"/>
      <c r="X29" s="53"/>
      <c r="Y29" s="53"/>
      <c r="Z29" s="53"/>
      <c r="AA29" s="53"/>
      <c r="AB29" s="53"/>
      <c r="AC29" s="53"/>
      <c r="AD29" s="53"/>
      <c r="AE29" s="53"/>
      <c r="AF29" s="54"/>
    </row>
    <row r="30" spans="1:32" hidden="1" x14ac:dyDescent="0.35">
      <c r="A30" s="49"/>
      <c r="B30" s="2180"/>
      <c r="C30" s="64"/>
      <c r="D30" s="2179" t="s">
        <v>981</v>
      </c>
      <c r="E30" s="59">
        <v>2</v>
      </c>
      <c r="F30" s="60"/>
      <c r="G30" s="88">
        <v>1597.0948475685991</v>
      </c>
      <c r="H30" s="88">
        <v>1687.1448736847883</v>
      </c>
      <c r="I30" s="88">
        <v>1421.8522862635564</v>
      </c>
      <c r="J30" s="88">
        <v>2656.6927458579485</v>
      </c>
      <c r="K30" s="88">
        <v>3065.5323890053523</v>
      </c>
      <c r="L30" s="88">
        <v>2836.0830966899612</v>
      </c>
      <c r="M30" s="88">
        <v>3013.3382902330836</v>
      </c>
      <c r="N30" s="88">
        <v>3190.5934837762061</v>
      </c>
      <c r="O30" s="88">
        <v>3367.848677319329</v>
      </c>
      <c r="P30" s="88">
        <v>3545.1038708624515</v>
      </c>
      <c r="Q30" s="88">
        <v>3403.2997160279533</v>
      </c>
      <c r="R30" s="88">
        <v>3261.4955611934552</v>
      </c>
      <c r="S30" s="88">
        <v>3119.6914063589575</v>
      </c>
      <c r="T30" s="88">
        <v>2977.8872515244593</v>
      </c>
      <c r="U30" s="89">
        <v>2836.0830966899612</v>
      </c>
      <c r="V30" s="90"/>
      <c r="W30" s="53"/>
      <c r="X30" s="53"/>
      <c r="Y30" s="53"/>
      <c r="Z30" s="53"/>
      <c r="AA30" s="53"/>
      <c r="AB30" s="53"/>
      <c r="AC30" s="53"/>
      <c r="AD30" s="53"/>
      <c r="AE30" s="53"/>
      <c r="AF30" s="54"/>
    </row>
    <row r="31" spans="1:32" hidden="1" x14ac:dyDescent="0.35">
      <c r="A31" s="49"/>
      <c r="B31" s="2180"/>
      <c r="C31" s="64"/>
      <c r="D31" s="2180"/>
      <c r="E31" s="59">
        <v>3</v>
      </c>
      <c r="F31" s="60"/>
      <c r="G31" s="88">
        <v>1707.7961507556295</v>
      </c>
      <c r="H31" s="88">
        <v>1366.8801980700673</v>
      </c>
      <c r="I31" s="88">
        <v>1511.0020034871336</v>
      </c>
      <c r="J31" s="88">
        <v>3448.5189721316447</v>
      </c>
      <c r="K31" s="88">
        <v>4054.8971305762761</v>
      </c>
      <c r="L31" s="88">
        <v>3488.6837430184014</v>
      </c>
      <c r="M31" s="88">
        <v>3706.7264769570515</v>
      </c>
      <c r="N31" s="88">
        <v>3924.7692108957017</v>
      </c>
      <c r="O31" s="88">
        <v>4142.8119448343514</v>
      </c>
      <c r="P31" s="88">
        <v>4360.854678773002</v>
      </c>
      <c r="Q31" s="88">
        <v>4186.4204916220815</v>
      </c>
      <c r="R31" s="88">
        <v>4011.9863044711615</v>
      </c>
      <c r="S31" s="88">
        <v>3837.5521173202419</v>
      </c>
      <c r="T31" s="88">
        <v>3663.1179301693214</v>
      </c>
      <c r="U31" s="89">
        <v>3488.6837430184014</v>
      </c>
      <c r="V31" s="90"/>
      <c r="W31" s="53"/>
      <c r="X31" s="53"/>
      <c r="Y31" s="53"/>
      <c r="Z31" s="53"/>
      <c r="AA31" s="53"/>
      <c r="AB31" s="53"/>
      <c r="AC31" s="53"/>
      <c r="AD31" s="53"/>
      <c r="AE31" s="53"/>
      <c r="AF31" s="54"/>
    </row>
    <row r="32" spans="1:32" ht="15" hidden="1" customHeight="1" x14ac:dyDescent="0.35">
      <c r="A32" s="49"/>
      <c r="B32" s="2181"/>
      <c r="C32" s="67"/>
      <c r="D32" s="2181"/>
      <c r="E32" s="59">
        <v>4</v>
      </c>
      <c r="F32" s="67"/>
      <c r="G32" s="92">
        <v>2585.7625866790322</v>
      </c>
      <c r="H32" s="92">
        <v>2730.4677504824822</v>
      </c>
      <c r="I32" s="92">
        <v>2747.8306624356987</v>
      </c>
      <c r="J32" s="92">
        <v>5876.605866684491</v>
      </c>
      <c r="K32" s="92">
        <v>6931.7118005112561</v>
      </c>
      <c r="L32" s="92">
        <v>5968.1865596051011</v>
      </c>
      <c r="M32" s="92">
        <v>6341.1982195804203</v>
      </c>
      <c r="N32" s="92">
        <v>6714.2098795557386</v>
      </c>
      <c r="O32" s="92">
        <v>7087.2215395310577</v>
      </c>
      <c r="P32" s="92">
        <v>7460.233199506376</v>
      </c>
      <c r="Q32" s="92">
        <v>7161.8238715261214</v>
      </c>
      <c r="R32" s="92">
        <v>6863.4145435458659</v>
      </c>
      <c r="S32" s="92">
        <v>6565.0052155656122</v>
      </c>
      <c r="T32" s="92">
        <v>6266.5958875853566</v>
      </c>
      <c r="U32" s="93">
        <v>5968.1865596051011</v>
      </c>
      <c r="V32" s="90"/>
      <c r="W32" s="53"/>
      <c r="X32" s="53"/>
      <c r="Y32" s="53"/>
      <c r="Z32" s="53"/>
      <c r="AA32" s="53"/>
      <c r="AB32" s="53"/>
      <c r="AC32" s="53"/>
      <c r="AD32" s="53"/>
      <c r="AE32" s="53"/>
      <c r="AF32" s="54"/>
    </row>
    <row r="33" spans="1:32" hidden="1" x14ac:dyDescent="0.35">
      <c r="A33" s="49"/>
      <c r="B33" s="68"/>
      <c r="C33" s="53"/>
      <c r="D33" s="69"/>
      <c r="E33" s="70"/>
      <c r="F33" s="53"/>
      <c r="G33" s="94"/>
      <c r="H33" s="95"/>
      <c r="I33" s="95"/>
      <c r="J33" s="95"/>
      <c r="K33" s="95"/>
      <c r="L33" s="95"/>
      <c r="M33" s="95"/>
      <c r="N33" s="95"/>
      <c r="O33" s="95"/>
      <c r="P33" s="95"/>
      <c r="Q33" s="95"/>
      <c r="R33" s="95"/>
      <c r="S33" s="95"/>
      <c r="T33" s="95"/>
      <c r="U33" s="96"/>
      <c r="V33" s="97"/>
      <c r="W33" s="53"/>
      <c r="X33" s="53"/>
      <c r="Y33" s="53"/>
      <c r="Z33" s="53"/>
      <c r="AA33" s="53"/>
      <c r="AB33" s="53"/>
      <c r="AC33" s="53"/>
      <c r="AD33" s="53"/>
      <c r="AE33" s="53"/>
      <c r="AF33" s="54"/>
    </row>
    <row r="34" spans="1:32" x14ac:dyDescent="0.35">
      <c r="A34" s="46"/>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8"/>
    </row>
    <row r="35" spans="1:32" hidden="1" x14ac:dyDescent="0.35">
      <c r="A35" s="98"/>
      <c r="B35" s="76"/>
      <c r="D35" s="76"/>
      <c r="E35" s="76"/>
      <c r="G35" s="76"/>
      <c r="H35" s="76"/>
      <c r="I35" s="76"/>
      <c r="J35" s="76"/>
      <c r="K35" s="76"/>
      <c r="L35" s="76"/>
      <c r="M35" s="76"/>
      <c r="N35" s="76"/>
      <c r="O35" s="76"/>
      <c r="P35" s="76"/>
      <c r="Q35" s="76"/>
      <c r="R35" s="76"/>
      <c r="S35" s="76"/>
      <c r="T35" s="76"/>
      <c r="U35" s="76"/>
      <c r="V35" s="76"/>
      <c r="W35" s="44"/>
      <c r="X35" s="44"/>
      <c r="Y35" s="44"/>
      <c r="Z35" s="44"/>
      <c r="AA35" s="44"/>
      <c r="AB35" s="44"/>
      <c r="AC35" s="44"/>
      <c r="AD35" s="44"/>
      <c r="AE35" s="44"/>
      <c r="AF35" s="44"/>
    </row>
    <row r="36" spans="1:32" hidden="1" x14ac:dyDescent="0.35">
      <c r="A36" s="75"/>
      <c r="B36" s="73"/>
      <c r="D36" s="73"/>
      <c r="E36" s="73"/>
      <c r="G36" s="73"/>
      <c r="H36" s="73"/>
      <c r="I36" s="73"/>
      <c r="J36" s="73"/>
      <c r="K36" s="73"/>
      <c r="L36" s="73"/>
      <c r="M36" s="73"/>
      <c r="N36" s="73"/>
      <c r="O36" s="73"/>
      <c r="P36" s="73"/>
      <c r="Q36" s="73"/>
      <c r="R36" s="73"/>
      <c r="S36" s="73"/>
      <c r="T36" s="73"/>
      <c r="U36" s="73"/>
      <c r="V36" s="73"/>
      <c r="W36" s="44"/>
      <c r="X36" s="44"/>
      <c r="Y36" s="44"/>
      <c r="Z36" s="44"/>
      <c r="AA36" s="44"/>
      <c r="AB36" s="44"/>
      <c r="AC36" s="44"/>
      <c r="AD36" s="44"/>
      <c r="AE36" s="44"/>
      <c r="AF36" s="44"/>
    </row>
    <row r="37" spans="1:32" hidden="1" x14ac:dyDescent="0.35">
      <c r="A37" s="44"/>
      <c r="R37" s="44"/>
      <c r="S37" s="44"/>
      <c r="T37" s="44"/>
      <c r="U37" s="44"/>
      <c r="V37" s="44"/>
      <c r="W37" s="44"/>
      <c r="X37" s="44"/>
      <c r="Y37" s="44"/>
      <c r="Z37" s="44"/>
      <c r="AA37" s="44"/>
      <c r="AB37" s="44"/>
      <c r="AC37" s="44"/>
      <c r="AD37" s="44"/>
      <c r="AE37" s="44"/>
      <c r="AF37" s="44"/>
    </row>
    <row r="38" spans="1:32" hidden="1" x14ac:dyDescent="0.35">
      <c r="A38" s="44"/>
      <c r="R38" s="44"/>
      <c r="S38" s="44"/>
      <c r="T38" s="44"/>
      <c r="U38" s="44"/>
      <c r="V38" s="44"/>
      <c r="W38" s="44"/>
      <c r="X38" s="44"/>
      <c r="Y38" s="44"/>
      <c r="Z38" s="44"/>
      <c r="AA38" s="44"/>
      <c r="AB38" s="44"/>
      <c r="AC38" s="44"/>
      <c r="AD38" s="44"/>
      <c r="AE38" s="44"/>
      <c r="AF38" s="44"/>
    </row>
    <row r="39" spans="1:32" hidden="1" x14ac:dyDescent="0.35">
      <c r="A39" s="44"/>
      <c r="R39" s="44"/>
      <c r="S39" s="44"/>
      <c r="T39" s="44"/>
      <c r="U39" s="44"/>
      <c r="V39" s="44"/>
      <c r="W39" s="44"/>
      <c r="X39" s="44"/>
      <c r="Y39" s="44"/>
      <c r="Z39" s="44"/>
      <c r="AA39" s="44"/>
      <c r="AB39" s="44"/>
      <c r="AC39" s="44"/>
      <c r="AD39" s="44"/>
      <c r="AE39" s="44"/>
      <c r="AF39" s="44"/>
    </row>
    <row r="40" spans="1:32" hidden="1" x14ac:dyDescent="0.35">
      <c r="A40" s="44"/>
      <c r="R40" s="44"/>
      <c r="S40" s="44"/>
      <c r="T40" s="44"/>
      <c r="U40" s="44"/>
      <c r="V40" s="44"/>
      <c r="W40" s="44"/>
      <c r="X40" s="44"/>
      <c r="Y40" s="44"/>
      <c r="Z40" s="44"/>
      <c r="AA40" s="44"/>
      <c r="AB40" s="44"/>
      <c r="AC40" s="44"/>
      <c r="AD40" s="44"/>
      <c r="AE40" s="44"/>
      <c r="AF40" s="44"/>
    </row>
    <row r="41" spans="1:32" hidden="1" x14ac:dyDescent="0.35">
      <c r="A41" s="44"/>
      <c r="R41" s="44"/>
      <c r="S41" s="44"/>
      <c r="T41" s="44"/>
      <c r="U41" s="44"/>
      <c r="V41" s="44"/>
      <c r="W41" s="44"/>
      <c r="X41" s="44"/>
      <c r="Y41" s="44"/>
      <c r="Z41" s="44"/>
      <c r="AA41" s="44"/>
      <c r="AB41" s="44"/>
      <c r="AC41" s="44"/>
      <c r="AD41" s="44"/>
      <c r="AE41" s="44"/>
      <c r="AF41" s="44"/>
    </row>
    <row r="42" spans="1:32" hidden="1" x14ac:dyDescent="0.35">
      <c r="A42" s="44"/>
      <c r="R42" s="44"/>
      <c r="S42" s="44"/>
      <c r="T42" s="44"/>
      <c r="U42" s="44"/>
      <c r="V42" s="44"/>
      <c r="W42" s="44"/>
      <c r="X42" s="44"/>
      <c r="Y42" s="44"/>
      <c r="Z42" s="44"/>
      <c r="AA42" s="44"/>
      <c r="AB42" s="44"/>
      <c r="AC42" s="44"/>
      <c r="AD42" s="44"/>
      <c r="AE42" s="44"/>
      <c r="AF42" s="44"/>
    </row>
    <row r="43" spans="1:32" hidden="1" x14ac:dyDescent="0.35">
      <c r="A43" s="44"/>
      <c r="R43" s="44"/>
      <c r="S43" s="44"/>
      <c r="T43" s="44"/>
      <c r="U43" s="44"/>
      <c r="V43" s="44"/>
      <c r="W43" s="44"/>
      <c r="X43" s="44"/>
      <c r="Y43" s="44"/>
      <c r="Z43" s="44"/>
      <c r="AA43" s="44"/>
      <c r="AB43" s="44"/>
      <c r="AC43" s="44"/>
      <c r="AD43" s="44"/>
      <c r="AE43" s="44"/>
      <c r="AF43" s="44"/>
    </row>
    <row r="44" spans="1:32" hidden="1" x14ac:dyDescent="0.35">
      <c r="A44" s="44"/>
      <c r="R44" s="44"/>
      <c r="S44" s="44"/>
      <c r="T44" s="44"/>
      <c r="U44" s="44"/>
      <c r="V44" s="44"/>
      <c r="W44" s="44"/>
      <c r="X44" s="44"/>
      <c r="Y44" s="44"/>
      <c r="Z44" s="44"/>
      <c r="AA44" s="44"/>
      <c r="AB44" s="44"/>
      <c r="AC44" s="44"/>
      <c r="AD44" s="44"/>
      <c r="AE44" s="44"/>
      <c r="AF44" s="44"/>
    </row>
    <row r="45" spans="1:32" hidden="1" x14ac:dyDescent="0.35">
      <c r="A45" s="44"/>
      <c r="R45" s="44"/>
      <c r="S45" s="44"/>
      <c r="T45" s="44"/>
      <c r="U45" s="44"/>
      <c r="V45" s="44"/>
      <c r="W45" s="44"/>
      <c r="X45" s="44"/>
      <c r="Y45" s="44"/>
      <c r="Z45" s="44"/>
      <c r="AA45" s="44"/>
      <c r="AB45" s="44"/>
      <c r="AC45" s="44"/>
      <c r="AD45" s="44"/>
      <c r="AE45" s="44"/>
      <c r="AF45" s="44"/>
    </row>
    <row r="46" spans="1:32" hidden="1" x14ac:dyDescent="0.35">
      <c r="A46" s="44"/>
      <c r="R46" s="44"/>
      <c r="S46" s="44"/>
      <c r="T46" s="44"/>
      <c r="U46" s="44"/>
      <c r="V46" s="44"/>
      <c r="W46" s="44"/>
      <c r="X46" s="44"/>
      <c r="Y46" s="44"/>
      <c r="Z46" s="44"/>
      <c r="AA46" s="44"/>
      <c r="AB46" s="44"/>
      <c r="AC46" s="44"/>
      <c r="AD46" s="44"/>
      <c r="AE46" s="44"/>
      <c r="AF46" s="44"/>
    </row>
  </sheetData>
  <sheetProtection password="813F" sheet="1" objects="1" scenarios="1" selectLockedCells="1" selectUnlockedCells="1"/>
  <customSheetViews>
    <customSheetView guid="{51165254-F18A-4CD1-9981-8F2DE14CC76C}" hiddenRows="1" hiddenColumns="1" state="hidden" showRuler="0">
      <selection activeCell="N16" sqref="N16"/>
      <pageMargins left="0.75" right="0.75" top="1" bottom="1" header="0.5" footer="0.5"/>
      <pageSetup paperSize="9" scale="76" orientation="landscape" r:id="rId1"/>
      <headerFooter alignWithMargins="0"/>
    </customSheetView>
  </customSheetViews>
  <mergeCells count="16">
    <mergeCell ref="G5:U5"/>
    <mergeCell ref="D5:E5"/>
    <mergeCell ref="A3:W3"/>
    <mergeCell ref="B27:B32"/>
    <mergeCell ref="D27:D29"/>
    <mergeCell ref="D30:D32"/>
    <mergeCell ref="B16:B20"/>
    <mergeCell ref="D16:D18"/>
    <mergeCell ref="D19:D20"/>
    <mergeCell ref="B21:B26"/>
    <mergeCell ref="B8:B10"/>
    <mergeCell ref="D8:D9"/>
    <mergeCell ref="D21:D23"/>
    <mergeCell ref="D24:D26"/>
    <mergeCell ref="B12:B15"/>
    <mergeCell ref="D12:D14"/>
  </mergeCells>
  <phoneticPr fontId="11" type="noConversion"/>
  <pageMargins left="0.75" right="0.75" top="1" bottom="1" header="0.5" footer="0.5"/>
  <pageSetup paperSize="9" scale="76"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4">
    <tabColor indexed="14"/>
    <pageSetUpPr fitToPage="1"/>
  </sheetPr>
  <dimension ref="A1:IP185"/>
  <sheetViews>
    <sheetView showGridLines="0" workbookViewId="0">
      <selection activeCell="A33" sqref="A33"/>
    </sheetView>
  </sheetViews>
  <sheetFormatPr baseColWidth="10" defaultColWidth="0" defaultRowHeight="14.4" zeroHeight="1" x14ac:dyDescent="0.35"/>
  <cols>
    <col min="1" max="1" width="2.6640625" style="45" customWidth="1"/>
    <col min="2" max="2" width="5.33203125" style="45" bestFit="1" customWidth="1"/>
    <col min="3" max="3" width="2.6640625" style="76" customWidth="1"/>
    <col min="4" max="4" width="7.44140625" style="45" bestFit="1" customWidth="1"/>
    <col min="5" max="5" width="5.44140625" style="45" customWidth="1"/>
    <col min="6" max="6" width="2.6640625" style="76" customWidth="1"/>
    <col min="7" max="22" width="7.33203125" style="45" customWidth="1"/>
    <col min="23" max="27" width="5.109375" style="45" customWidth="1"/>
    <col min="28" max="28" width="3.33203125" style="45" customWidth="1"/>
    <col min="29" max="29" width="0.44140625" style="45" customWidth="1"/>
    <col min="30" max="250" width="9.109375" style="45" hidden="1" customWidth="1"/>
    <col min="251" max="16384" width="0" style="45" hidden="1"/>
  </cols>
  <sheetData>
    <row r="1" spans="1:29" ht="29.4" thickBot="1" x14ac:dyDescent="0.6">
      <c r="A1" s="2059" t="s">
        <v>1031</v>
      </c>
      <c r="B1" s="2060"/>
      <c r="C1" s="2060"/>
      <c r="D1" s="2060"/>
      <c r="E1" s="2060"/>
      <c r="F1" s="2060"/>
      <c r="G1" s="2060"/>
      <c r="H1" s="2060"/>
      <c r="I1" s="2060"/>
      <c r="J1" s="2060"/>
      <c r="K1" s="2060"/>
      <c r="L1" s="2061"/>
      <c r="M1" s="2061"/>
      <c r="N1" s="2061"/>
      <c r="O1" s="2061"/>
      <c r="P1" s="2061"/>
      <c r="Q1" s="2061"/>
      <c r="R1" s="2061"/>
      <c r="S1" s="2061"/>
      <c r="T1" s="2061"/>
      <c r="U1" s="2061"/>
      <c r="V1" s="2061"/>
      <c r="W1" s="2061"/>
      <c r="X1" s="2061"/>
      <c r="Y1" s="2061"/>
      <c r="Z1" s="2061"/>
      <c r="AA1" s="2061"/>
      <c r="AB1" s="2062"/>
      <c r="AC1" s="827"/>
    </row>
    <row r="2" spans="1:29" ht="15" customHeight="1" x14ac:dyDescent="0.35">
      <c r="A2" s="49"/>
      <c r="B2" s="53"/>
      <c r="C2" s="53"/>
      <c r="D2" s="53"/>
      <c r="E2" s="53"/>
      <c r="F2" s="53"/>
      <c r="G2" s="53"/>
      <c r="H2" s="53"/>
      <c r="I2" s="53"/>
      <c r="J2" s="53"/>
      <c r="K2" s="53"/>
      <c r="L2" s="53"/>
      <c r="M2" s="53"/>
      <c r="N2" s="53"/>
      <c r="O2" s="53"/>
      <c r="P2" s="828"/>
      <c r="Q2" s="53"/>
      <c r="R2" s="53"/>
      <c r="S2" s="53"/>
      <c r="T2" s="53"/>
      <c r="U2" s="53"/>
      <c r="V2" s="53"/>
      <c r="W2" s="42"/>
      <c r="X2" s="42"/>
      <c r="Y2" s="42"/>
      <c r="Z2" s="828"/>
      <c r="AA2" s="42"/>
      <c r="AB2" s="43"/>
      <c r="AC2" s="827"/>
    </row>
    <row r="3" spans="1:29" x14ac:dyDescent="0.35">
      <c r="A3" s="49"/>
      <c r="B3" s="53"/>
      <c r="C3" s="2063" t="s">
        <v>1032</v>
      </c>
      <c r="D3" s="2064"/>
      <c r="E3" s="2064"/>
      <c r="F3" s="2064"/>
      <c r="G3" s="2064"/>
      <c r="H3" s="2064"/>
      <c r="I3" s="2064"/>
      <c r="J3" s="2064"/>
      <c r="K3" s="2064"/>
      <c r="L3" s="2064"/>
      <c r="M3" s="2064"/>
      <c r="N3" s="2064"/>
      <c r="O3" s="2064"/>
      <c r="P3" s="2064"/>
      <c r="Q3" s="2064"/>
      <c r="R3" s="2064"/>
      <c r="S3" s="2064"/>
      <c r="T3" s="2064"/>
      <c r="U3" s="2064"/>
      <c r="V3" s="2064"/>
      <c r="W3" s="2064"/>
      <c r="X3" s="2064"/>
      <c r="Y3" s="2064"/>
      <c r="Z3" s="2065"/>
      <c r="AA3" s="53"/>
      <c r="AB3" s="54"/>
      <c r="AC3" s="827"/>
    </row>
    <row r="4" spans="1:29" ht="16.2" x14ac:dyDescent="0.35">
      <c r="A4" s="49"/>
      <c r="B4" s="829"/>
      <c r="C4" s="2066"/>
      <c r="D4" s="2067"/>
      <c r="E4" s="2067"/>
      <c r="F4" s="2067"/>
      <c r="G4" s="2067"/>
      <c r="H4" s="2067"/>
      <c r="I4" s="2067"/>
      <c r="J4" s="2067"/>
      <c r="K4" s="2067"/>
      <c r="L4" s="2067"/>
      <c r="M4" s="2067"/>
      <c r="N4" s="2067"/>
      <c r="O4" s="2067"/>
      <c r="P4" s="2067"/>
      <c r="Q4" s="2067"/>
      <c r="R4" s="2067"/>
      <c r="S4" s="2067"/>
      <c r="T4" s="2067"/>
      <c r="U4" s="2067"/>
      <c r="V4" s="2067"/>
      <c r="W4" s="2067"/>
      <c r="X4" s="2067"/>
      <c r="Y4" s="2067"/>
      <c r="Z4" s="2068"/>
      <c r="AA4" s="53"/>
      <c r="AB4" s="54"/>
      <c r="AC4" s="827"/>
    </row>
    <row r="5" spans="1:29" x14ac:dyDescent="0.35">
      <c r="A5" s="49"/>
      <c r="B5" s="60"/>
      <c r="C5"/>
      <c r="D5"/>
      <c r="E5"/>
      <c r="F5"/>
      <c r="G5"/>
      <c r="H5"/>
      <c r="I5"/>
      <c r="J5"/>
      <c r="K5"/>
      <c r="L5"/>
      <c r="M5"/>
      <c r="N5"/>
      <c r="O5"/>
      <c r="P5"/>
      <c r="Q5"/>
      <c r="R5"/>
      <c r="S5"/>
      <c r="T5"/>
      <c r="U5"/>
      <c r="V5"/>
      <c r="W5"/>
      <c r="X5"/>
      <c r="Y5"/>
      <c r="Z5"/>
      <c r="AA5" s="53"/>
      <c r="AB5" s="54"/>
      <c r="AC5" s="827"/>
    </row>
    <row r="6" spans="1:29" x14ac:dyDescent="0.35">
      <c r="A6" s="49"/>
      <c r="B6" s="64"/>
      <c r="C6"/>
      <c r="D6"/>
      <c r="E6"/>
      <c r="F6"/>
      <c r="G6"/>
      <c r="H6"/>
      <c r="I6"/>
      <c r="J6"/>
      <c r="K6"/>
      <c r="L6"/>
      <c r="M6"/>
      <c r="N6"/>
      <c r="O6"/>
      <c r="P6"/>
      <c r="Q6"/>
      <c r="R6"/>
      <c r="S6"/>
      <c r="T6"/>
      <c r="U6"/>
      <c r="V6"/>
      <c r="W6"/>
      <c r="X6"/>
      <c r="Y6"/>
      <c r="Z6"/>
      <c r="AA6" s="53"/>
      <c r="AB6" s="54"/>
      <c r="AC6" s="827"/>
    </row>
    <row r="7" spans="1:29" x14ac:dyDescent="0.35">
      <c r="A7" s="49"/>
      <c r="B7" s="64"/>
      <c r="C7"/>
      <c r="D7"/>
      <c r="E7"/>
      <c r="F7"/>
      <c r="G7"/>
      <c r="H7"/>
      <c r="I7"/>
      <c r="J7"/>
      <c r="K7"/>
      <c r="L7"/>
      <c r="M7"/>
      <c r="N7"/>
      <c r="O7"/>
      <c r="P7"/>
      <c r="Q7"/>
      <c r="R7"/>
      <c r="S7"/>
      <c r="T7"/>
      <c r="U7"/>
      <c r="V7"/>
      <c r="W7"/>
      <c r="X7"/>
      <c r="Y7"/>
      <c r="Z7"/>
      <c r="AA7" s="53"/>
      <c r="AB7" s="54"/>
      <c r="AC7" s="827"/>
    </row>
    <row r="8" spans="1:29" x14ac:dyDescent="0.35">
      <c r="A8" s="49"/>
      <c r="B8" s="133"/>
      <c r="C8"/>
      <c r="D8"/>
      <c r="E8"/>
      <c r="F8"/>
      <c r="G8"/>
      <c r="H8"/>
      <c r="I8"/>
      <c r="J8"/>
      <c r="K8"/>
      <c r="L8"/>
      <c r="M8"/>
      <c r="N8"/>
      <c r="O8"/>
      <c r="P8"/>
      <c r="Q8"/>
      <c r="R8"/>
      <c r="S8"/>
      <c r="T8"/>
      <c r="U8"/>
      <c r="V8"/>
      <c r="W8"/>
      <c r="X8"/>
      <c r="Y8"/>
      <c r="Z8"/>
      <c r="AA8" s="53"/>
      <c r="AB8" s="54"/>
      <c r="AC8" s="827"/>
    </row>
    <row r="9" spans="1:29" x14ac:dyDescent="0.35">
      <c r="A9" s="49"/>
      <c r="B9" s="60"/>
      <c r="C9"/>
      <c r="D9"/>
      <c r="E9"/>
      <c r="F9"/>
      <c r="G9"/>
      <c r="H9"/>
      <c r="I9"/>
      <c r="J9"/>
      <c r="K9"/>
      <c r="L9"/>
      <c r="M9"/>
      <c r="N9"/>
      <c r="O9"/>
      <c r="P9"/>
      <c r="Q9"/>
      <c r="R9"/>
      <c r="S9"/>
      <c r="T9"/>
      <c r="U9"/>
      <c r="V9"/>
      <c r="W9"/>
      <c r="X9"/>
      <c r="Y9"/>
      <c r="Z9"/>
      <c r="AA9" s="53"/>
      <c r="AB9" s="54"/>
      <c r="AC9" s="827"/>
    </row>
    <row r="10" spans="1:29" x14ac:dyDescent="0.35">
      <c r="A10" s="49"/>
      <c r="B10" s="64"/>
      <c r="C10"/>
      <c r="D10"/>
      <c r="E10"/>
      <c r="F10"/>
      <c r="G10"/>
      <c r="H10"/>
      <c r="I10"/>
      <c r="J10"/>
      <c r="K10"/>
      <c r="L10"/>
      <c r="M10"/>
      <c r="N10"/>
      <c r="O10"/>
      <c r="P10"/>
      <c r="Q10"/>
      <c r="R10"/>
      <c r="S10"/>
      <c r="T10"/>
      <c r="U10"/>
      <c r="V10"/>
      <c r="W10"/>
      <c r="X10"/>
      <c r="Y10"/>
      <c r="Z10"/>
      <c r="AA10" s="53"/>
      <c r="AB10" s="54"/>
      <c r="AC10" s="827"/>
    </row>
    <row r="11" spans="1:29" ht="15" customHeight="1" x14ac:dyDescent="0.35">
      <c r="A11" s="49"/>
      <c r="B11" s="64"/>
      <c r="C11"/>
      <c r="D11"/>
      <c r="E11"/>
      <c r="F11"/>
      <c r="G11"/>
      <c r="H11"/>
      <c r="I11"/>
      <c r="J11"/>
      <c r="K11"/>
      <c r="L11"/>
      <c r="M11"/>
      <c r="N11"/>
      <c r="O11"/>
      <c r="P11"/>
      <c r="Q11"/>
      <c r="R11"/>
      <c r="S11"/>
      <c r="T11"/>
      <c r="U11"/>
      <c r="V11"/>
      <c r="W11"/>
      <c r="X11"/>
      <c r="Y11"/>
      <c r="Z11"/>
      <c r="AA11" s="53"/>
      <c r="AB11" s="54"/>
      <c r="AC11" s="827"/>
    </row>
    <row r="12" spans="1:29" ht="15" customHeight="1" x14ac:dyDescent="0.35">
      <c r="A12" s="49"/>
      <c r="B12" s="64"/>
      <c r="C12"/>
      <c r="D12"/>
      <c r="E12"/>
      <c r="F12"/>
      <c r="G12"/>
      <c r="H12"/>
      <c r="I12"/>
      <c r="J12"/>
      <c r="K12"/>
      <c r="L12"/>
      <c r="M12"/>
      <c r="N12"/>
      <c r="O12"/>
      <c r="P12"/>
      <c r="Q12"/>
      <c r="R12"/>
      <c r="S12"/>
      <c r="T12"/>
      <c r="U12"/>
      <c r="V12"/>
      <c r="W12"/>
      <c r="X12"/>
      <c r="Y12"/>
      <c r="Z12"/>
      <c r="AA12" s="53"/>
      <c r="AB12" s="54"/>
      <c r="AC12" s="827"/>
    </row>
    <row r="13" spans="1:29" x14ac:dyDescent="0.35">
      <c r="A13" s="49"/>
      <c r="B13" s="64"/>
      <c r="C13"/>
      <c r="D13"/>
      <c r="E13"/>
      <c r="F13"/>
      <c r="G13"/>
      <c r="H13"/>
      <c r="I13"/>
      <c r="J13"/>
      <c r="K13"/>
      <c r="L13"/>
      <c r="M13"/>
      <c r="N13"/>
      <c r="O13"/>
      <c r="P13"/>
      <c r="Q13"/>
      <c r="R13"/>
      <c r="S13"/>
      <c r="T13"/>
      <c r="U13"/>
      <c r="V13"/>
      <c r="W13"/>
      <c r="X13"/>
      <c r="Y13"/>
      <c r="Z13"/>
      <c r="AA13" s="53"/>
      <c r="AB13" s="54"/>
      <c r="AC13" s="827"/>
    </row>
    <row r="14" spans="1:29" x14ac:dyDescent="0.35">
      <c r="A14" s="49"/>
      <c r="B14" s="64"/>
      <c r="C14"/>
      <c r="D14"/>
      <c r="E14"/>
      <c r="F14"/>
      <c r="G14"/>
      <c r="H14"/>
      <c r="I14"/>
      <c r="J14"/>
      <c r="K14"/>
      <c r="L14"/>
      <c r="M14"/>
      <c r="N14"/>
      <c r="O14"/>
      <c r="P14"/>
      <c r="Q14"/>
      <c r="R14"/>
      <c r="S14"/>
      <c r="T14"/>
      <c r="U14"/>
      <c r="V14"/>
      <c r="W14"/>
      <c r="X14"/>
      <c r="Y14"/>
      <c r="Z14"/>
      <c r="AA14" s="53"/>
      <c r="AB14" s="54"/>
      <c r="AC14" s="827"/>
    </row>
    <row r="15" spans="1:29" x14ac:dyDescent="0.35">
      <c r="A15" s="49"/>
      <c r="B15" s="64"/>
      <c r="C15"/>
      <c r="D15"/>
      <c r="E15"/>
      <c r="F15"/>
      <c r="G15"/>
      <c r="H15"/>
      <c r="I15"/>
      <c r="J15"/>
      <c r="K15"/>
      <c r="L15"/>
      <c r="M15"/>
      <c r="N15"/>
      <c r="O15"/>
      <c r="P15"/>
      <c r="Q15"/>
      <c r="R15"/>
      <c r="S15"/>
      <c r="T15"/>
      <c r="U15"/>
      <c r="V15"/>
      <c r="W15"/>
      <c r="X15"/>
      <c r="Y15"/>
      <c r="Z15"/>
      <c r="AA15" s="53"/>
      <c r="AB15" s="54"/>
      <c r="AC15" s="827"/>
    </row>
    <row r="16" spans="1:29" x14ac:dyDescent="0.35">
      <c r="A16" s="49"/>
      <c r="B16" s="64"/>
      <c r="C16"/>
      <c r="D16"/>
      <c r="E16"/>
      <c r="F16"/>
      <c r="G16"/>
      <c r="H16"/>
      <c r="I16"/>
      <c r="J16"/>
      <c r="K16"/>
      <c r="L16"/>
      <c r="M16"/>
      <c r="N16"/>
      <c r="O16"/>
      <c r="P16"/>
      <c r="Q16"/>
      <c r="R16"/>
      <c r="S16"/>
      <c r="T16"/>
      <c r="U16"/>
      <c r="V16"/>
      <c r="W16"/>
      <c r="X16"/>
      <c r="Y16"/>
      <c r="Z16"/>
      <c r="AA16" s="53"/>
      <c r="AB16" s="54"/>
      <c r="AC16" s="827"/>
    </row>
    <row r="17" spans="1:29" x14ac:dyDescent="0.35">
      <c r="A17" s="49"/>
      <c r="B17" s="64"/>
      <c r="C17"/>
      <c r="D17"/>
      <c r="E17"/>
      <c r="F17"/>
      <c r="G17"/>
      <c r="H17"/>
      <c r="I17"/>
      <c r="J17"/>
      <c r="K17"/>
      <c r="L17"/>
      <c r="M17"/>
      <c r="N17"/>
      <c r="O17"/>
      <c r="P17"/>
      <c r="Q17"/>
      <c r="R17"/>
      <c r="S17"/>
      <c r="T17"/>
      <c r="U17"/>
      <c r="V17"/>
      <c r="W17"/>
      <c r="X17"/>
      <c r="Y17"/>
      <c r="Z17"/>
      <c r="AA17" s="53"/>
      <c r="AB17" s="54"/>
      <c r="AC17" s="827"/>
    </row>
    <row r="18" spans="1:29" x14ac:dyDescent="0.35">
      <c r="A18" s="49"/>
      <c r="B18" s="64"/>
      <c r="C18"/>
      <c r="D18"/>
      <c r="E18"/>
      <c r="F18"/>
      <c r="G18"/>
      <c r="H18"/>
      <c r="I18"/>
      <c r="J18"/>
      <c r="K18"/>
      <c r="L18"/>
      <c r="M18"/>
      <c r="N18"/>
      <c r="O18"/>
      <c r="P18"/>
      <c r="Q18"/>
      <c r="R18"/>
      <c r="S18"/>
      <c r="T18"/>
      <c r="U18"/>
      <c r="V18"/>
      <c r="W18"/>
      <c r="X18"/>
      <c r="Y18"/>
      <c r="Z18"/>
      <c r="AA18" s="53"/>
      <c r="AB18" s="54"/>
      <c r="AC18" s="827"/>
    </row>
    <row r="19" spans="1:29" ht="15" customHeight="1" x14ac:dyDescent="0.35">
      <c r="A19" s="49"/>
      <c r="B19" s="64"/>
      <c r="C19" s="3"/>
      <c r="D19" s="3"/>
      <c r="E19" s="3"/>
      <c r="F19" s="3"/>
      <c r="G19" s="3"/>
      <c r="H19" s="3"/>
      <c r="I19" s="3"/>
      <c r="J19" s="3"/>
      <c r="K19" s="3"/>
      <c r="L19" s="3"/>
      <c r="M19" s="3"/>
      <c r="N19" s="3"/>
      <c r="O19" s="3"/>
      <c r="P19" s="3"/>
      <c r="Q19" s="3"/>
      <c r="R19" s="3"/>
      <c r="S19" s="3"/>
      <c r="T19" s="3"/>
      <c r="U19" s="3"/>
      <c r="V19" s="3"/>
      <c r="W19" s="3"/>
      <c r="X19" s="3"/>
      <c r="Y19" s="3"/>
      <c r="Z19" s="3"/>
      <c r="AA19" s="53"/>
      <c r="AB19" s="54"/>
      <c r="AC19" s="827"/>
    </row>
    <row r="20" spans="1:29" x14ac:dyDescent="0.35">
      <c r="A20" s="49"/>
      <c r="B20" s="64"/>
      <c r="C20" s="3"/>
      <c r="D20" s="3"/>
      <c r="E20" s="3"/>
      <c r="F20" s="3"/>
      <c r="G20" s="3"/>
      <c r="H20" s="3"/>
      <c r="I20" s="3"/>
      <c r="J20" s="3"/>
      <c r="K20" s="3"/>
      <c r="L20" s="3"/>
      <c r="M20" s="3"/>
      <c r="N20" s="3"/>
      <c r="O20" s="3"/>
      <c r="P20" s="3"/>
      <c r="Q20" s="3"/>
      <c r="R20" s="3"/>
      <c r="S20" s="3"/>
      <c r="T20" s="3"/>
      <c r="U20" s="3"/>
      <c r="V20" s="3"/>
      <c r="W20" s="3"/>
      <c r="X20" s="3"/>
      <c r="Y20" s="3"/>
      <c r="Z20" s="3"/>
      <c r="AA20" s="53"/>
      <c r="AB20" s="54"/>
      <c r="AC20" s="827"/>
    </row>
    <row r="21" spans="1:29" ht="15" customHeight="1" x14ac:dyDescent="0.35">
      <c r="A21" s="49"/>
      <c r="B21" s="64"/>
      <c r="C21" s="3"/>
      <c r="D21" s="3"/>
      <c r="E21" s="3"/>
      <c r="F21" s="3"/>
      <c r="G21" s="3"/>
      <c r="H21" s="3"/>
      <c r="I21" s="3"/>
      <c r="J21" s="3"/>
      <c r="K21" s="3"/>
      <c r="L21" s="3"/>
      <c r="M21" s="3"/>
      <c r="N21" s="3"/>
      <c r="O21" s="3"/>
      <c r="P21" s="3"/>
      <c r="Q21" s="3"/>
      <c r="R21" s="3"/>
      <c r="S21" s="3"/>
      <c r="T21" s="3"/>
      <c r="U21" s="3"/>
      <c r="V21" s="3"/>
      <c r="W21" s="3"/>
      <c r="X21" s="3"/>
      <c r="Y21" s="3"/>
      <c r="Z21" s="3"/>
      <c r="AA21" s="53"/>
      <c r="AB21" s="54"/>
      <c r="AC21" s="827"/>
    </row>
    <row r="22" spans="1:29" ht="15" customHeight="1" x14ac:dyDescent="0.35">
      <c r="A22" s="49"/>
      <c r="B22" s="64"/>
      <c r="C22" s="3"/>
      <c r="D22" s="3"/>
      <c r="E22" s="3"/>
      <c r="F22" s="3"/>
      <c r="G22" s="3"/>
      <c r="H22" s="3"/>
      <c r="I22" s="3"/>
      <c r="J22" s="3"/>
      <c r="K22" s="3"/>
      <c r="L22" s="3"/>
      <c r="M22" s="3"/>
      <c r="N22" s="3"/>
      <c r="O22" s="3"/>
      <c r="P22" s="3"/>
      <c r="Q22" s="3"/>
      <c r="R22" s="3"/>
      <c r="S22" s="3"/>
      <c r="T22" s="3"/>
      <c r="U22" s="3"/>
      <c r="V22" s="3"/>
      <c r="W22" s="3"/>
      <c r="X22" s="3"/>
      <c r="Y22" s="3"/>
      <c r="Z22" s="3"/>
      <c r="AA22" s="53"/>
      <c r="AB22" s="54"/>
      <c r="AC22" s="827"/>
    </row>
    <row r="23" spans="1:29" x14ac:dyDescent="0.35">
      <c r="A23" s="49"/>
      <c r="B23" s="64"/>
      <c r="C23" s="3"/>
      <c r="D23" s="3"/>
      <c r="E23" s="3"/>
      <c r="F23" s="3"/>
      <c r="G23" s="3"/>
      <c r="H23" s="3"/>
      <c r="I23" s="3"/>
      <c r="J23" s="3"/>
      <c r="K23" s="3"/>
      <c r="L23" s="3"/>
      <c r="M23" s="3"/>
      <c r="N23" s="3"/>
      <c r="O23" s="3"/>
      <c r="P23" s="3"/>
      <c r="Q23" s="3"/>
      <c r="R23" s="3"/>
      <c r="S23" s="3"/>
      <c r="T23" s="3"/>
      <c r="U23" s="3"/>
      <c r="V23" s="3"/>
      <c r="W23" s="3"/>
      <c r="X23" s="3"/>
      <c r="Y23" s="3"/>
      <c r="Z23" s="3"/>
      <c r="AA23" s="53"/>
      <c r="AB23" s="54"/>
      <c r="AC23" s="827"/>
    </row>
    <row r="24" spans="1:29" ht="15" customHeight="1" x14ac:dyDescent="0.35">
      <c r="A24" s="49"/>
      <c r="B24" s="64"/>
      <c r="C24" s="3"/>
      <c r="D24" s="3"/>
      <c r="E24" s="3"/>
      <c r="F24" s="3"/>
      <c r="G24" s="3"/>
      <c r="H24" s="3"/>
      <c r="I24" s="3"/>
      <c r="J24" s="3"/>
      <c r="K24" s="3"/>
      <c r="L24" s="3"/>
      <c r="M24" s="3"/>
      <c r="N24" s="3"/>
      <c r="O24" s="3"/>
      <c r="P24" s="3"/>
      <c r="Q24" s="3"/>
      <c r="R24" s="3"/>
      <c r="S24" s="3"/>
      <c r="T24" s="3"/>
      <c r="U24" s="3"/>
      <c r="V24" s="3"/>
      <c r="W24" s="3"/>
      <c r="X24" s="3"/>
      <c r="Y24" s="3"/>
      <c r="Z24" s="3"/>
      <c r="AA24" s="53"/>
      <c r="AB24" s="54"/>
      <c r="AC24" s="827"/>
    </row>
    <row r="25" spans="1:29" ht="15" customHeight="1" x14ac:dyDescent="0.35">
      <c r="A25" s="49"/>
      <c r="B25" s="64"/>
      <c r="C25" s="3"/>
      <c r="D25" s="3"/>
      <c r="E25" s="3"/>
      <c r="F25" s="3"/>
      <c r="G25" s="3"/>
      <c r="H25" s="3"/>
      <c r="I25" s="3"/>
      <c r="J25" s="3"/>
      <c r="K25" s="3"/>
      <c r="L25" s="3"/>
      <c r="M25" s="3"/>
      <c r="N25" s="3"/>
      <c r="O25" s="3"/>
      <c r="P25" s="3"/>
      <c r="Q25" s="3"/>
      <c r="R25" s="3"/>
      <c r="S25" s="3"/>
      <c r="T25" s="3"/>
      <c r="U25" s="3"/>
      <c r="V25" s="3"/>
      <c r="W25" s="3"/>
      <c r="X25" s="3"/>
      <c r="Y25" s="3"/>
      <c r="Z25" s="3"/>
      <c r="AA25" s="53"/>
      <c r="AB25" s="54"/>
      <c r="AC25" s="827"/>
    </row>
    <row r="26" spans="1:29" ht="15" customHeight="1" x14ac:dyDescent="0.35">
      <c r="A26" s="49"/>
      <c r="B26" s="64"/>
      <c r="C26" s="3"/>
      <c r="D26" s="3"/>
      <c r="E26" s="3"/>
      <c r="F26" s="3"/>
      <c r="G26" s="3"/>
      <c r="H26" s="3"/>
      <c r="I26" s="3"/>
      <c r="J26" s="3"/>
      <c r="K26" s="3"/>
      <c r="L26" s="3"/>
      <c r="M26" s="3"/>
      <c r="N26" s="3"/>
      <c r="O26" s="3"/>
      <c r="P26" s="3"/>
      <c r="Q26" s="3"/>
      <c r="R26" s="3"/>
      <c r="S26" s="3"/>
      <c r="T26" s="3"/>
      <c r="U26" s="3"/>
      <c r="V26" s="3"/>
      <c r="W26" s="3"/>
      <c r="X26" s="3"/>
      <c r="Y26" s="3"/>
      <c r="Z26" s="3"/>
      <c r="AA26" s="53"/>
      <c r="AB26" s="54"/>
      <c r="AC26" s="827"/>
    </row>
    <row r="27" spans="1:29" ht="15" customHeight="1" x14ac:dyDescent="0.35">
      <c r="A27" s="49"/>
      <c r="B27" s="64"/>
      <c r="C27" s="3"/>
      <c r="D27" s="3"/>
      <c r="E27" s="3"/>
      <c r="F27" s="3"/>
      <c r="G27" s="3"/>
      <c r="H27" s="3"/>
      <c r="I27" s="3"/>
      <c r="J27" s="3"/>
      <c r="K27" s="3"/>
      <c r="L27" s="3"/>
      <c r="M27" s="3"/>
      <c r="N27" s="3"/>
      <c r="O27" s="3"/>
      <c r="P27" s="3"/>
      <c r="Q27" s="3"/>
      <c r="R27" s="3"/>
      <c r="S27" s="3"/>
      <c r="T27" s="3"/>
      <c r="U27" s="3"/>
      <c r="V27" s="3"/>
      <c r="W27" s="3"/>
      <c r="X27" s="3"/>
      <c r="Y27" s="3"/>
      <c r="Z27" s="3"/>
      <c r="AA27" s="53"/>
      <c r="AB27" s="54"/>
      <c r="AC27" s="827"/>
    </row>
    <row r="28" spans="1:29" ht="15" customHeight="1" x14ac:dyDescent="0.35">
      <c r="A28" s="49"/>
      <c r="B28" s="64"/>
      <c r="C28" s="3"/>
      <c r="D28" s="3"/>
      <c r="E28" s="3"/>
      <c r="F28" s="3"/>
      <c r="G28" s="3"/>
      <c r="H28" s="3"/>
      <c r="I28" s="3"/>
      <c r="J28" s="3"/>
      <c r="K28" s="3"/>
      <c r="L28" s="3"/>
      <c r="M28" s="3"/>
      <c r="N28" s="3"/>
      <c r="O28" s="3"/>
      <c r="P28" s="3"/>
      <c r="Q28" s="3"/>
      <c r="R28" s="3"/>
      <c r="S28" s="3"/>
      <c r="T28" s="3"/>
      <c r="U28" s="3"/>
      <c r="V28" s="3"/>
      <c r="W28" s="3"/>
      <c r="X28" s="3"/>
      <c r="Y28" s="3"/>
      <c r="Z28" s="3"/>
      <c r="AA28" s="53"/>
      <c r="AB28" s="54"/>
      <c r="AC28" s="827"/>
    </row>
    <row r="29" spans="1:29" ht="15" customHeight="1" x14ac:dyDescent="0.35">
      <c r="A29" s="49"/>
      <c r="B29" s="64"/>
      <c r="C29" s="3"/>
      <c r="D29" s="3"/>
      <c r="E29" s="3"/>
      <c r="F29" s="3"/>
      <c r="G29" s="3"/>
      <c r="H29" s="3"/>
      <c r="I29" s="3"/>
      <c r="J29" s="3"/>
      <c r="K29" s="3"/>
      <c r="L29" s="3"/>
      <c r="M29" s="3"/>
      <c r="N29" s="3"/>
      <c r="O29" s="3"/>
      <c r="P29" s="3"/>
      <c r="Q29" s="3"/>
      <c r="R29" s="3"/>
      <c r="S29" s="3"/>
      <c r="T29" s="3"/>
      <c r="U29" s="3"/>
      <c r="V29" s="3"/>
      <c r="W29" s="3"/>
      <c r="X29" s="3"/>
      <c r="Y29" s="3"/>
      <c r="Z29" s="3"/>
      <c r="AA29" s="53"/>
      <c r="AB29" s="54"/>
      <c r="AC29" s="827"/>
    </row>
    <row r="30" spans="1:29" ht="15" customHeight="1" x14ac:dyDescent="0.35">
      <c r="A30" s="49"/>
      <c r="B30" s="64"/>
      <c r="C30" s="3"/>
      <c r="D30" s="3"/>
      <c r="E30" s="3"/>
      <c r="F30" s="3"/>
      <c r="G30" s="3"/>
      <c r="H30" s="3"/>
      <c r="I30" s="3"/>
      <c r="J30" s="3"/>
      <c r="K30" s="3"/>
      <c r="L30" s="3"/>
      <c r="M30" s="3"/>
      <c r="N30" s="3"/>
      <c r="O30" s="3"/>
      <c r="P30" s="3"/>
      <c r="Q30" s="3"/>
      <c r="R30" s="3"/>
      <c r="S30" s="3"/>
      <c r="T30" s="3"/>
      <c r="U30" s="3"/>
      <c r="V30" s="3"/>
      <c r="W30" s="3"/>
      <c r="X30" s="3"/>
      <c r="Y30" s="3"/>
      <c r="Z30" s="3"/>
      <c r="AA30" s="53"/>
      <c r="AB30" s="54"/>
      <c r="AC30" s="827"/>
    </row>
    <row r="31" spans="1:29" ht="15" customHeight="1" x14ac:dyDescent="0.35">
      <c r="A31" s="49"/>
      <c r="B31" s="64"/>
      <c r="C31" s="3"/>
      <c r="D31" s="3"/>
      <c r="E31" s="3"/>
      <c r="F31" s="3"/>
      <c r="G31" s="3"/>
      <c r="H31" s="3"/>
      <c r="I31" s="3"/>
      <c r="J31" s="3"/>
      <c r="K31" s="3"/>
      <c r="L31" s="3"/>
      <c r="M31" s="3"/>
      <c r="N31" s="3"/>
      <c r="O31" s="3"/>
      <c r="P31" s="3"/>
      <c r="Q31" s="3"/>
      <c r="R31" s="3"/>
      <c r="S31" s="3"/>
      <c r="T31" s="3"/>
      <c r="U31" s="3"/>
      <c r="V31" s="3"/>
      <c r="W31" s="3"/>
      <c r="X31" s="3"/>
      <c r="Y31" s="3"/>
      <c r="Z31" s="3"/>
      <c r="AA31" s="53"/>
      <c r="AB31" s="54"/>
      <c r="AC31" s="827"/>
    </row>
    <row r="32" spans="1:29" ht="15" customHeight="1" x14ac:dyDescent="0.35">
      <c r="A32" s="49"/>
      <c r="B32" s="64"/>
      <c r="C32" s="3"/>
      <c r="D32" s="3"/>
      <c r="E32" s="3"/>
      <c r="F32" s="3"/>
      <c r="G32" s="3"/>
      <c r="H32" s="3"/>
      <c r="I32" s="3"/>
      <c r="J32" s="3"/>
      <c r="K32" s="3"/>
      <c r="L32" s="3"/>
      <c r="M32" s="3"/>
      <c r="N32" s="3"/>
      <c r="O32" s="3"/>
      <c r="P32" s="3"/>
      <c r="Q32" s="3"/>
      <c r="R32" s="3"/>
      <c r="S32" s="3"/>
      <c r="T32" s="3"/>
      <c r="U32" s="3"/>
      <c r="V32" s="3"/>
      <c r="W32" s="3"/>
      <c r="X32" s="3"/>
      <c r="Y32" s="3"/>
      <c r="Z32" s="3"/>
      <c r="AA32" s="53"/>
      <c r="AB32" s="54"/>
      <c r="AC32" s="827"/>
    </row>
    <row r="33" spans="1:29" ht="15" customHeight="1" x14ac:dyDescent="0.35">
      <c r="A33" s="831"/>
      <c r="B33" s="64"/>
      <c r="C33" s="3"/>
      <c r="D33" s="3"/>
      <c r="E33" s="3"/>
      <c r="F33" s="3"/>
      <c r="G33" s="3"/>
      <c r="H33" s="3"/>
      <c r="I33" s="3"/>
      <c r="J33" s="3"/>
      <c r="K33" s="3"/>
      <c r="L33" s="3"/>
      <c r="M33" s="3"/>
      <c r="N33" s="3"/>
      <c r="O33" s="3"/>
      <c r="P33" s="3"/>
      <c r="Q33" s="3"/>
      <c r="R33" s="3"/>
      <c r="S33" s="3"/>
      <c r="T33" s="3"/>
      <c r="U33" s="3"/>
      <c r="V33" s="3"/>
      <c r="W33" s="3"/>
      <c r="X33" s="3"/>
      <c r="Y33" s="3"/>
      <c r="Z33" s="3"/>
      <c r="AA33" s="53"/>
      <c r="AB33" s="54"/>
      <c r="AC33" s="827"/>
    </row>
    <row r="34" spans="1:29" ht="15" customHeight="1" x14ac:dyDescent="0.35">
      <c r="A34" s="49"/>
      <c r="B34" s="64"/>
      <c r="C34" s="3"/>
      <c r="D34" s="3"/>
      <c r="E34" s="3"/>
      <c r="F34" s="3"/>
      <c r="G34" s="3"/>
      <c r="H34" s="3"/>
      <c r="I34" s="3"/>
      <c r="J34" s="3"/>
      <c r="K34" s="3"/>
      <c r="L34" s="3"/>
      <c r="M34" s="3"/>
      <c r="N34" s="3"/>
      <c r="O34" s="3"/>
      <c r="P34" s="3"/>
      <c r="Q34" s="3"/>
      <c r="R34" s="3"/>
      <c r="S34" s="3"/>
      <c r="T34" s="3"/>
      <c r="U34" s="3"/>
      <c r="V34" s="3"/>
      <c r="W34" s="3"/>
      <c r="X34" s="3"/>
      <c r="Y34" s="3"/>
      <c r="Z34" s="3"/>
      <c r="AA34" s="53"/>
      <c r="AB34" s="54"/>
      <c r="AC34" s="827"/>
    </row>
    <row r="35" spans="1:29" ht="15" customHeight="1" x14ac:dyDescent="0.35">
      <c r="A35" s="831"/>
      <c r="B35" s="64"/>
      <c r="C35" s="3"/>
      <c r="D35" s="3"/>
      <c r="E35" s="3"/>
      <c r="F35" s="3"/>
      <c r="G35" s="3"/>
      <c r="H35" s="3"/>
      <c r="I35" s="3"/>
      <c r="J35" s="3"/>
      <c r="K35" s="3"/>
      <c r="L35" s="3"/>
      <c r="M35" s="3"/>
      <c r="N35" s="3"/>
      <c r="O35" s="3"/>
      <c r="P35" s="3"/>
      <c r="Q35" s="3"/>
      <c r="R35" s="3"/>
      <c r="S35" s="3"/>
      <c r="T35" s="3"/>
      <c r="U35" s="3"/>
      <c r="V35" s="3"/>
      <c r="W35" s="3"/>
      <c r="X35" s="3"/>
      <c r="Y35" s="3"/>
      <c r="Z35" s="3"/>
      <c r="AA35" s="53"/>
      <c r="AB35" s="54"/>
      <c r="AC35" s="827"/>
    </row>
    <row r="36" spans="1:29" ht="15" customHeight="1" x14ac:dyDescent="0.35">
      <c r="A36" s="49"/>
      <c r="B36" s="64"/>
      <c r="C36" s="3"/>
      <c r="D36" s="3"/>
      <c r="E36" s="3"/>
      <c r="F36" s="3"/>
      <c r="G36" s="3"/>
      <c r="H36" s="3"/>
      <c r="I36" s="3"/>
      <c r="J36" s="3"/>
      <c r="K36" s="3"/>
      <c r="L36" s="3"/>
      <c r="M36" s="3"/>
      <c r="N36" s="3"/>
      <c r="O36" s="3"/>
      <c r="P36" s="3"/>
      <c r="Q36" s="3"/>
      <c r="R36" s="3"/>
      <c r="S36" s="3"/>
      <c r="T36" s="3"/>
      <c r="U36" s="3"/>
      <c r="V36" s="3"/>
      <c r="W36" s="3"/>
      <c r="X36" s="3"/>
      <c r="Y36" s="3"/>
      <c r="Z36" s="3"/>
      <c r="AA36" s="53"/>
      <c r="AB36" s="54"/>
      <c r="AC36" s="827"/>
    </row>
    <row r="37" spans="1:29" ht="15" customHeight="1" x14ac:dyDescent="0.35">
      <c r="A37" s="49"/>
      <c r="B37" s="64"/>
      <c r="C37" s="3"/>
      <c r="D37" s="3"/>
      <c r="E37" s="3"/>
      <c r="F37" s="3"/>
      <c r="G37" s="3"/>
      <c r="H37" s="3"/>
      <c r="I37" s="3"/>
      <c r="J37" s="3"/>
      <c r="K37" s="3"/>
      <c r="L37" s="3"/>
      <c r="M37" s="3"/>
      <c r="N37" s="3"/>
      <c r="O37" s="3"/>
      <c r="P37" s="3"/>
      <c r="Q37" s="3"/>
      <c r="R37" s="3"/>
      <c r="S37" s="3"/>
      <c r="T37" s="3"/>
      <c r="U37" s="3"/>
      <c r="V37" s="3"/>
      <c r="W37" s="3"/>
      <c r="X37" s="3"/>
      <c r="Y37" s="3"/>
      <c r="Z37" s="3"/>
      <c r="AA37" s="53"/>
      <c r="AB37" s="54"/>
      <c r="AC37" s="827"/>
    </row>
    <row r="38" spans="1:29" ht="15" customHeight="1" x14ac:dyDescent="0.35">
      <c r="A38" s="49"/>
      <c r="B38" s="64"/>
      <c r="C38" s="3"/>
      <c r="D38" s="3"/>
      <c r="E38" s="3"/>
      <c r="F38" s="3"/>
      <c r="G38" s="3"/>
      <c r="H38" s="3"/>
      <c r="I38" s="3"/>
      <c r="J38" s="3"/>
      <c r="K38" s="3"/>
      <c r="L38" s="3"/>
      <c r="M38" s="3"/>
      <c r="N38" s="3"/>
      <c r="O38" s="3"/>
      <c r="P38" s="3"/>
      <c r="Q38" s="3"/>
      <c r="R38" s="3"/>
      <c r="S38" s="3"/>
      <c r="T38" s="3"/>
      <c r="U38" s="3"/>
      <c r="V38" s="3"/>
      <c r="W38" s="3"/>
      <c r="X38" s="3"/>
      <c r="Y38" s="3"/>
      <c r="Z38" s="3"/>
      <c r="AA38" s="53"/>
      <c r="AB38" s="54"/>
      <c r="AC38" s="827"/>
    </row>
    <row r="39" spans="1:29" ht="15" customHeight="1" x14ac:dyDescent="0.35">
      <c r="A39" s="49"/>
      <c r="B39" s="64"/>
      <c r="C39" s="3"/>
      <c r="D39" s="3"/>
      <c r="E39" s="3"/>
      <c r="F39" s="3"/>
      <c r="G39" s="3"/>
      <c r="H39" s="3"/>
      <c r="I39" s="3"/>
      <c r="J39" s="3"/>
      <c r="K39" s="3"/>
      <c r="L39" s="3"/>
      <c r="M39" s="3"/>
      <c r="N39" s="3"/>
      <c r="O39" s="3"/>
      <c r="P39" s="3"/>
      <c r="Q39" s="3"/>
      <c r="R39" s="3"/>
      <c r="S39" s="3"/>
      <c r="T39" s="3"/>
      <c r="U39" s="3"/>
      <c r="V39" s="3"/>
      <c r="W39" s="3"/>
      <c r="X39" s="3"/>
      <c r="Y39" s="3"/>
      <c r="Z39" s="3"/>
      <c r="AA39" s="53"/>
      <c r="AB39" s="54"/>
      <c r="AC39" s="827"/>
    </row>
    <row r="40" spans="1:29" ht="15" customHeight="1" x14ac:dyDescent="0.35">
      <c r="A40" s="49"/>
      <c r="B40" s="64"/>
      <c r="C40" s="3"/>
      <c r="D40" s="3"/>
      <c r="E40" s="3"/>
      <c r="F40" s="3"/>
      <c r="G40" s="3"/>
      <c r="H40" s="3"/>
      <c r="I40" s="3"/>
      <c r="J40" s="3"/>
      <c r="K40" s="3"/>
      <c r="L40" s="3"/>
      <c r="M40" s="3"/>
      <c r="N40" s="3"/>
      <c r="O40" s="3"/>
      <c r="P40" s="3"/>
      <c r="Q40" s="3"/>
      <c r="R40" s="3"/>
      <c r="S40" s="3"/>
      <c r="T40" s="3"/>
      <c r="U40" s="3"/>
      <c r="V40" s="3"/>
      <c r="W40" s="3"/>
      <c r="X40" s="3"/>
      <c r="Y40" s="3"/>
      <c r="Z40" s="3"/>
      <c r="AA40" s="53"/>
      <c r="AB40" s="54"/>
      <c r="AC40" s="827"/>
    </row>
    <row r="41" spans="1:29" ht="15" customHeight="1" x14ac:dyDescent="0.35">
      <c r="A41" s="49"/>
      <c r="B41" s="64"/>
      <c r="C41" s="3"/>
      <c r="D41" s="3"/>
      <c r="E41" s="3"/>
      <c r="F41" s="3"/>
      <c r="G41" s="3"/>
      <c r="H41" s="3"/>
      <c r="I41" s="3"/>
      <c r="J41" s="3"/>
      <c r="K41" s="3"/>
      <c r="L41" s="3"/>
      <c r="M41" s="3"/>
      <c r="N41" s="3"/>
      <c r="O41" s="3"/>
      <c r="P41" s="3"/>
      <c r="Q41" s="3"/>
      <c r="R41" s="3"/>
      <c r="S41" s="3"/>
      <c r="T41" s="3"/>
      <c r="U41" s="3"/>
      <c r="V41" s="3"/>
      <c r="W41" s="3"/>
      <c r="X41" s="3"/>
      <c r="Y41" s="3"/>
      <c r="Z41" s="3"/>
      <c r="AA41" s="53"/>
      <c r="AB41" s="54"/>
      <c r="AC41" s="827"/>
    </row>
    <row r="42" spans="1:29" ht="15" customHeight="1" x14ac:dyDescent="0.35">
      <c r="A42" s="49"/>
      <c r="B42" s="64"/>
      <c r="C42" s="3"/>
      <c r="D42" s="3"/>
      <c r="E42" s="3"/>
      <c r="F42" s="3"/>
      <c r="G42" s="3"/>
      <c r="H42" s="3"/>
      <c r="I42" s="3"/>
      <c r="J42" s="3"/>
      <c r="K42" s="3"/>
      <c r="L42" s="3"/>
      <c r="M42" s="3"/>
      <c r="N42" s="3"/>
      <c r="O42" s="3"/>
      <c r="P42" s="3"/>
      <c r="Q42" s="3"/>
      <c r="R42" s="3"/>
      <c r="S42" s="3"/>
      <c r="T42" s="3"/>
      <c r="U42" s="3"/>
      <c r="V42" s="3"/>
      <c r="W42" s="3"/>
      <c r="X42" s="3"/>
      <c r="Y42" s="3"/>
      <c r="Z42" s="3"/>
      <c r="AA42" s="53"/>
      <c r="AB42" s="54"/>
      <c r="AC42" s="827"/>
    </row>
    <row r="43" spans="1:29" ht="15" customHeight="1" x14ac:dyDescent="0.35">
      <c r="A43" s="49"/>
      <c r="B43" s="64"/>
      <c r="C43" s="3"/>
      <c r="D43" s="3"/>
      <c r="E43" s="3"/>
      <c r="F43" s="3"/>
      <c r="G43" s="3"/>
      <c r="H43" s="3"/>
      <c r="I43" s="3"/>
      <c r="J43" s="3"/>
      <c r="K43" s="3"/>
      <c r="L43" s="3"/>
      <c r="M43" s="3"/>
      <c r="N43" s="3"/>
      <c r="O43" s="3"/>
      <c r="P43" s="3"/>
      <c r="Q43" s="3"/>
      <c r="R43" s="3"/>
      <c r="S43" s="3"/>
      <c r="T43" s="3"/>
      <c r="U43" s="3"/>
      <c r="V43" s="3"/>
      <c r="W43" s="3"/>
      <c r="X43" s="3"/>
      <c r="Y43" s="3"/>
      <c r="Z43" s="3"/>
      <c r="AA43" s="53"/>
      <c r="AB43" s="54"/>
      <c r="AC43" s="827"/>
    </row>
    <row r="44" spans="1:29" ht="15" customHeight="1" x14ac:dyDescent="0.35">
      <c r="A44" s="49"/>
      <c r="B44" s="64"/>
      <c r="C44" s="3"/>
      <c r="D44" s="3"/>
      <c r="E44" s="3"/>
      <c r="F44" s="3"/>
      <c r="G44" s="3"/>
      <c r="H44" s="3"/>
      <c r="I44" s="3"/>
      <c r="J44" s="3"/>
      <c r="K44" s="3"/>
      <c r="L44" s="3"/>
      <c r="M44" s="3"/>
      <c r="N44" s="3"/>
      <c r="O44" s="3"/>
      <c r="P44" s="3"/>
      <c r="Q44" s="3"/>
      <c r="R44" s="3"/>
      <c r="S44" s="3"/>
      <c r="T44" s="3"/>
      <c r="U44" s="3"/>
      <c r="V44" s="3"/>
      <c r="W44" s="3"/>
      <c r="X44" s="3"/>
      <c r="Y44" s="3"/>
      <c r="Z44" s="3"/>
      <c r="AA44" s="53"/>
      <c r="AB44" s="54"/>
      <c r="AC44" s="827"/>
    </row>
    <row r="45" spans="1:29" ht="15" customHeight="1" x14ac:dyDescent="0.35">
      <c r="A45" s="49"/>
      <c r="B45" s="64"/>
      <c r="C45" s="3"/>
      <c r="D45" s="3"/>
      <c r="E45" s="3"/>
      <c r="F45" s="3"/>
      <c r="G45" s="3"/>
      <c r="H45" s="3"/>
      <c r="I45" s="3"/>
      <c r="J45" s="3"/>
      <c r="K45" s="3"/>
      <c r="L45" s="3"/>
      <c r="M45" s="3"/>
      <c r="N45" s="3"/>
      <c r="O45" s="3"/>
      <c r="P45" s="3"/>
      <c r="Q45" s="3"/>
      <c r="R45" s="3"/>
      <c r="S45" s="3"/>
      <c r="T45" s="3"/>
      <c r="U45" s="3"/>
      <c r="V45" s="3"/>
      <c r="W45" s="3"/>
      <c r="X45" s="3"/>
      <c r="Y45" s="3"/>
      <c r="Z45" s="3"/>
      <c r="AA45" s="53"/>
      <c r="AB45" s="54"/>
      <c r="AC45" s="827"/>
    </row>
    <row r="46" spans="1:29" ht="15" customHeight="1" x14ac:dyDescent="0.35">
      <c r="A46" s="49"/>
      <c r="B46" s="64"/>
      <c r="C46" s="3"/>
      <c r="D46" s="3"/>
      <c r="E46" s="3"/>
      <c r="F46" s="3"/>
      <c r="G46" s="3"/>
      <c r="H46" s="3"/>
      <c r="I46" s="3"/>
      <c r="J46" s="3"/>
      <c r="K46" s="3"/>
      <c r="L46" s="3"/>
      <c r="M46" s="3"/>
      <c r="N46" s="3"/>
      <c r="O46" s="3"/>
      <c r="P46" s="3"/>
      <c r="Q46" s="3"/>
      <c r="R46" s="3"/>
      <c r="S46" s="3"/>
      <c r="T46" s="3"/>
      <c r="U46" s="3"/>
      <c r="V46" s="3"/>
      <c r="W46" s="3"/>
      <c r="X46" s="3"/>
      <c r="Y46" s="3"/>
      <c r="Z46" s="3"/>
      <c r="AA46" s="53"/>
      <c r="AB46" s="54"/>
      <c r="AC46" s="827"/>
    </row>
    <row r="47" spans="1:29" ht="15" customHeight="1" x14ac:dyDescent="0.35">
      <c r="A47" s="49"/>
      <c r="B47" s="64"/>
      <c r="C47" s="3"/>
      <c r="D47" s="3"/>
      <c r="E47" s="3"/>
      <c r="F47" s="3"/>
      <c r="G47" s="3"/>
      <c r="H47" s="3"/>
      <c r="I47" s="3"/>
      <c r="J47" s="3"/>
      <c r="K47" s="3"/>
      <c r="L47" s="3"/>
      <c r="M47" s="3"/>
      <c r="N47" s="3"/>
      <c r="O47" s="3"/>
      <c r="P47" s="3"/>
      <c r="Q47" s="3"/>
      <c r="R47" s="3"/>
      <c r="S47" s="3"/>
      <c r="T47" s="3"/>
      <c r="U47" s="3"/>
      <c r="V47" s="3"/>
      <c r="W47" s="3"/>
      <c r="X47" s="3"/>
      <c r="Y47" s="3"/>
      <c r="Z47" s="3"/>
      <c r="AA47" s="53"/>
      <c r="AB47" s="54"/>
      <c r="AC47" s="827"/>
    </row>
    <row r="48" spans="1:29" ht="15" customHeight="1" x14ac:dyDescent="0.35">
      <c r="A48" s="49"/>
      <c r="B48" s="64"/>
      <c r="C48" s="3"/>
      <c r="D48" s="3"/>
      <c r="E48" s="3"/>
      <c r="F48" s="3"/>
      <c r="G48" s="3"/>
      <c r="H48" s="3"/>
      <c r="I48" s="3"/>
      <c r="J48" s="3"/>
      <c r="K48" s="3"/>
      <c r="L48" s="3"/>
      <c r="M48" s="3"/>
      <c r="N48" s="3"/>
      <c r="O48" s="3"/>
      <c r="P48" s="3"/>
      <c r="Q48" s="3"/>
      <c r="R48" s="3"/>
      <c r="S48" s="3"/>
      <c r="T48" s="3"/>
      <c r="U48" s="3"/>
      <c r="V48" s="3"/>
      <c r="W48" s="3"/>
      <c r="X48" s="3"/>
      <c r="Y48" s="3"/>
      <c r="Z48" s="3"/>
      <c r="AA48" s="53"/>
      <c r="AB48" s="54"/>
      <c r="AC48" s="827"/>
    </row>
    <row r="49" spans="1:29" ht="15" customHeight="1" x14ac:dyDescent="0.35">
      <c r="A49" s="49"/>
      <c r="B49" s="64"/>
      <c r="C49" s="3"/>
      <c r="D49" s="3"/>
      <c r="E49" s="3"/>
      <c r="F49" s="3"/>
      <c r="G49" s="3"/>
      <c r="H49" s="3"/>
      <c r="I49" s="3"/>
      <c r="J49" s="3"/>
      <c r="K49" s="3"/>
      <c r="L49" s="3"/>
      <c r="M49" s="3"/>
      <c r="N49" s="3"/>
      <c r="O49" s="3"/>
      <c r="P49" s="3"/>
      <c r="Q49" s="3"/>
      <c r="R49" s="3"/>
      <c r="S49" s="3"/>
      <c r="T49" s="3"/>
      <c r="U49" s="3"/>
      <c r="V49" s="3"/>
      <c r="W49" s="3"/>
      <c r="X49" s="3"/>
      <c r="Y49" s="3"/>
      <c r="Z49" s="3"/>
      <c r="AA49" s="53"/>
      <c r="AB49" s="54"/>
      <c r="AC49" s="827"/>
    </row>
    <row r="50" spans="1:29" ht="15" customHeight="1" x14ac:dyDescent="0.35">
      <c r="A50" s="49"/>
      <c r="B50" s="64"/>
      <c r="C50" s="3"/>
      <c r="D50" s="3"/>
      <c r="E50" s="3"/>
      <c r="F50" s="3"/>
      <c r="G50" s="3"/>
      <c r="H50" s="3"/>
      <c r="I50" s="3"/>
      <c r="J50" s="3"/>
      <c r="K50" s="3"/>
      <c r="L50" s="3"/>
      <c r="M50" s="3"/>
      <c r="N50" s="3"/>
      <c r="O50" s="3"/>
      <c r="P50" s="3"/>
      <c r="Q50" s="3"/>
      <c r="R50" s="3"/>
      <c r="S50" s="3"/>
      <c r="T50" s="3"/>
      <c r="U50" s="3"/>
      <c r="V50" s="3"/>
      <c r="W50" s="3"/>
      <c r="X50" s="3"/>
      <c r="Y50" s="3"/>
      <c r="Z50" s="3"/>
      <c r="AA50" s="53"/>
      <c r="AB50" s="54"/>
      <c r="AC50" s="827"/>
    </row>
    <row r="51" spans="1:29" ht="15" customHeight="1" x14ac:dyDescent="0.35">
      <c r="A51" s="49"/>
      <c r="B51" s="64"/>
      <c r="C51" s="3"/>
      <c r="D51" s="3"/>
      <c r="E51" s="3"/>
      <c r="F51" s="3"/>
      <c r="G51" s="3"/>
      <c r="H51" s="3"/>
      <c r="I51" s="3"/>
      <c r="J51" s="3"/>
      <c r="K51" s="3"/>
      <c r="L51" s="3"/>
      <c r="M51" s="3"/>
      <c r="N51" s="3"/>
      <c r="O51" s="3"/>
      <c r="P51" s="3"/>
      <c r="Q51" s="3"/>
      <c r="R51" s="3"/>
      <c r="S51" s="3"/>
      <c r="T51" s="3"/>
      <c r="U51" s="3"/>
      <c r="V51" s="3"/>
      <c r="W51" s="3"/>
      <c r="X51" s="3"/>
      <c r="Y51" s="3"/>
      <c r="Z51" s="3"/>
      <c r="AA51" s="53"/>
      <c r="AB51" s="54"/>
      <c r="AC51" s="827"/>
    </row>
    <row r="52" spans="1:29" ht="15" customHeight="1" x14ac:dyDescent="0.35">
      <c r="A52" s="49"/>
      <c r="B52" s="64"/>
      <c r="C52" s="3"/>
      <c r="D52" s="3"/>
      <c r="E52" s="3"/>
      <c r="F52" s="3"/>
      <c r="G52" s="3"/>
      <c r="H52" s="3"/>
      <c r="I52" s="3"/>
      <c r="J52" s="3"/>
      <c r="K52" s="3"/>
      <c r="L52" s="3"/>
      <c r="M52" s="3"/>
      <c r="N52" s="3"/>
      <c r="O52" s="3"/>
      <c r="P52" s="3"/>
      <c r="Q52" s="3"/>
      <c r="R52" s="3"/>
      <c r="S52" s="3"/>
      <c r="T52" s="3"/>
      <c r="U52" s="3"/>
      <c r="V52" s="3"/>
      <c r="W52" s="3"/>
      <c r="X52" s="3"/>
      <c r="Y52" s="3"/>
      <c r="Z52" s="3"/>
      <c r="AA52" s="53"/>
      <c r="AB52" s="54"/>
      <c r="AC52" s="827"/>
    </row>
    <row r="53" spans="1:29" ht="15" customHeight="1" x14ac:dyDescent="0.35">
      <c r="A53" s="49"/>
      <c r="B53" s="64"/>
      <c r="C53" s="3"/>
      <c r="D53" s="3"/>
      <c r="E53" s="3"/>
      <c r="F53" s="3"/>
      <c r="G53" s="3"/>
      <c r="H53" s="3"/>
      <c r="I53" s="3"/>
      <c r="J53" s="3"/>
      <c r="K53" s="3"/>
      <c r="L53" s="3"/>
      <c r="M53" s="3"/>
      <c r="N53" s="3"/>
      <c r="O53" s="3"/>
      <c r="P53" s="3"/>
      <c r="Q53" s="3"/>
      <c r="R53" s="3"/>
      <c r="S53" s="3"/>
      <c r="T53" s="3"/>
      <c r="U53" s="3"/>
      <c r="V53" s="3"/>
      <c r="W53" s="3"/>
      <c r="X53" s="3"/>
      <c r="Y53" s="3"/>
      <c r="Z53" s="3"/>
      <c r="AA53" s="53"/>
      <c r="AB53" s="54"/>
      <c r="AC53" s="827"/>
    </row>
    <row r="54" spans="1:29" ht="15" customHeight="1" x14ac:dyDescent="0.35">
      <c r="A54" s="49"/>
      <c r="B54" s="64"/>
      <c r="C54" s="3"/>
      <c r="D54" s="3"/>
      <c r="E54" s="3"/>
      <c r="F54" s="3"/>
      <c r="G54" s="3"/>
      <c r="H54" s="3"/>
      <c r="I54" s="3"/>
      <c r="J54" s="3"/>
      <c r="K54" s="3"/>
      <c r="L54" s="3"/>
      <c r="M54" s="3"/>
      <c r="N54" s="3"/>
      <c r="O54" s="3"/>
      <c r="P54" s="3"/>
      <c r="Q54" s="3"/>
      <c r="R54" s="3"/>
      <c r="S54" s="3"/>
      <c r="T54" s="3"/>
      <c r="U54" s="3"/>
      <c r="V54" s="3"/>
      <c r="W54" s="3"/>
      <c r="X54" s="3"/>
      <c r="Y54" s="3"/>
      <c r="Z54" s="3"/>
      <c r="AA54" s="53"/>
      <c r="AB54" s="54"/>
      <c r="AC54" s="827"/>
    </row>
    <row r="55" spans="1:29" ht="15" customHeight="1" x14ac:dyDescent="0.35">
      <c r="A55" s="49"/>
      <c r="B55" s="64"/>
      <c r="C55" s="3"/>
      <c r="D55" s="3"/>
      <c r="E55" s="3"/>
      <c r="F55" s="3"/>
      <c r="G55" s="3"/>
      <c r="H55" s="3"/>
      <c r="I55" s="3"/>
      <c r="J55" s="3"/>
      <c r="K55" s="3"/>
      <c r="L55" s="3"/>
      <c r="M55" s="3"/>
      <c r="N55" s="3"/>
      <c r="O55" s="3"/>
      <c r="P55" s="3"/>
      <c r="Q55" s="3"/>
      <c r="R55" s="3"/>
      <c r="S55" s="3"/>
      <c r="T55" s="3"/>
      <c r="U55" s="3"/>
      <c r="V55" s="3"/>
      <c r="W55" s="3"/>
      <c r="X55" s="3"/>
      <c r="Y55" s="3"/>
      <c r="Z55" s="3"/>
      <c r="AA55" s="53"/>
      <c r="AB55" s="54"/>
      <c r="AC55" s="827"/>
    </row>
    <row r="56" spans="1:29" ht="15" customHeight="1" x14ac:dyDescent="0.35">
      <c r="A56" s="49"/>
      <c r="B56" s="64"/>
      <c r="C56" s="3"/>
      <c r="D56" s="3"/>
      <c r="E56" s="3"/>
      <c r="F56" s="3"/>
      <c r="G56" s="3"/>
      <c r="H56" s="3"/>
      <c r="I56" s="3"/>
      <c r="J56" s="3"/>
      <c r="K56" s="3"/>
      <c r="L56" s="3"/>
      <c r="M56" s="3"/>
      <c r="N56" s="3"/>
      <c r="O56" s="3"/>
      <c r="P56" s="3"/>
      <c r="Q56" s="3"/>
      <c r="R56" s="3"/>
      <c r="S56" s="3"/>
      <c r="T56" s="3"/>
      <c r="U56" s="3"/>
      <c r="V56" s="3"/>
      <c r="W56" s="3"/>
      <c r="X56" s="3"/>
      <c r="Y56" s="3"/>
      <c r="Z56" s="3"/>
      <c r="AA56" s="53"/>
      <c r="AB56" s="54"/>
      <c r="AC56" s="827"/>
    </row>
    <row r="57" spans="1:29" ht="15" customHeight="1" x14ac:dyDescent="0.35">
      <c r="A57" s="49"/>
      <c r="B57" s="64"/>
      <c r="C57" s="3"/>
      <c r="D57" s="3"/>
      <c r="E57" s="3"/>
      <c r="F57" s="3"/>
      <c r="G57" s="3"/>
      <c r="H57" s="3"/>
      <c r="I57" s="3"/>
      <c r="J57" s="3"/>
      <c r="K57" s="3"/>
      <c r="L57" s="3"/>
      <c r="M57" s="3"/>
      <c r="N57" s="3"/>
      <c r="O57" s="3"/>
      <c r="P57" s="3"/>
      <c r="Q57" s="3"/>
      <c r="R57" s="3"/>
      <c r="S57" s="3"/>
      <c r="T57" s="3"/>
      <c r="U57" s="3"/>
      <c r="V57" s="3"/>
      <c r="W57" s="3"/>
      <c r="X57" s="3"/>
      <c r="Y57" s="3"/>
      <c r="Z57" s="3"/>
      <c r="AA57" s="53"/>
      <c r="AB57" s="54"/>
      <c r="AC57" s="827"/>
    </row>
    <row r="58" spans="1:29" ht="15" customHeight="1" x14ac:dyDescent="0.35">
      <c r="A58" s="49"/>
      <c r="B58" s="64"/>
      <c r="C58" s="3"/>
      <c r="D58" s="3"/>
      <c r="E58" s="3"/>
      <c r="F58" s="3"/>
      <c r="G58" s="3"/>
      <c r="H58" s="3"/>
      <c r="I58" s="3"/>
      <c r="J58" s="3"/>
      <c r="K58" s="3"/>
      <c r="L58" s="3"/>
      <c r="M58" s="3"/>
      <c r="N58" s="3"/>
      <c r="O58" s="3"/>
      <c r="P58" s="3"/>
      <c r="Q58" s="3"/>
      <c r="R58" s="3"/>
      <c r="S58" s="3"/>
      <c r="T58" s="3"/>
      <c r="U58" s="3"/>
      <c r="V58" s="3"/>
      <c r="W58" s="3"/>
      <c r="X58" s="3"/>
      <c r="Y58" s="3"/>
      <c r="Z58" s="3"/>
      <c r="AA58" s="53"/>
      <c r="AB58" s="54"/>
      <c r="AC58" s="827"/>
    </row>
    <row r="59" spans="1:29" ht="15" customHeight="1" x14ac:dyDescent="0.35">
      <c r="A59" s="49"/>
      <c r="B59" s="64"/>
      <c r="C59" s="3"/>
      <c r="D59" s="3"/>
      <c r="E59" s="3"/>
      <c r="F59" s="3"/>
      <c r="G59" s="3"/>
      <c r="H59" s="3"/>
      <c r="I59" s="3"/>
      <c r="J59" s="3"/>
      <c r="K59" s="3"/>
      <c r="L59" s="3"/>
      <c r="M59" s="3"/>
      <c r="N59" s="3"/>
      <c r="O59" s="3"/>
      <c r="P59" s="3"/>
      <c r="Q59" s="3"/>
      <c r="R59" s="3"/>
      <c r="S59" s="3"/>
      <c r="T59" s="3"/>
      <c r="U59" s="3"/>
      <c r="V59" s="3"/>
      <c r="W59" s="3"/>
      <c r="X59" s="3"/>
      <c r="Y59" s="3"/>
      <c r="Z59" s="3"/>
      <c r="AA59" s="53"/>
      <c r="AB59" s="54"/>
      <c r="AC59" s="827"/>
    </row>
    <row r="60" spans="1:29" ht="15" customHeight="1" x14ac:dyDescent="0.35">
      <c r="A60" s="49"/>
      <c r="B60" s="64"/>
      <c r="C60" s="3"/>
      <c r="D60" s="3"/>
      <c r="E60" s="3"/>
      <c r="F60" s="3"/>
      <c r="G60" s="3"/>
      <c r="H60" s="3"/>
      <c r="I60" s="3"/>
      <c r="J60" s="3"/>
      <c r="K60" s="3"/>
      <c r="L60" s="3"/>
      <c r="M60" s="3"/>
      <c r="N60" s="3"/>
      <c r="O60" s="3"/>
      <c r="P60" s="3"/>
      <c r="Q60" s="3"/>
      <c r="R60" s="3"/>
      <c r="S60" s="3"/>
      <c r="T60" s="3"/>
      <c r="U60" s="3"/>
      <c r="V60" s="3"/>
      <c r="W60" s="3"/>
      <c r="X60" s="3"/>
      <c r="Y60" s="3"/>
      <c r="Z60" s="3"/>
      <c r="AA60" s="53"/>
      <c r="AB60" s="54"/>
      <c r="AC60" s="827"/>
    </row>
    <row r="61" spans="1:29" ht="15" customHeight="1" x14ac:dyDescent="0.35">
      <c r="A61" s="49"/>
      <c r="B61" s="64"/>
      <c r="C61" s="3"/>
      <c r="D61" s="3"/>
      <c r="E61" s="3"/>
      <c r="F61" s="3"/>
      <c r="G61" s="3"/>
      <c r="H61" s="3"/>
      <c r="I61" s="3"/>
      <c r="J61" s="3"/>
      <c r="K61" s="3"/>
      <c r="L61" s="3"/>
      <c r="M61" s="3"/>
      <c r="N61" s="3"/>
      <c r="O61" s="3"/>
      <c r="P61" s="3"/>
      <c r="Q61" s="3"/>
      <c r="R61" s="3"/>
      <c r="S61" s="3"/>
      <c r="T61" s="3"/>
      <c r="U61" s="3"/>
      <c r="V61" s="3"/>
      <c r="W61" s="3"/>
      <c r="X61" s="3"/>
      <c r="Y61" s="3"/>
      <c r="Z61" s="3"/>
      <c r="AA61" s="53"/>
      <c r="AB61" s="54"/>
      <c r="AC61" s="827"/>
    </row>
    <row r="62" spans="1:29" ht="15" customHeight="1" x14ac:dyDescent="0.35">
      <c r="A62" s="49"/>
      <c r="B62" s="64"/>
      <c r="C62" s="3"/>
      <c r="D62" s="3"/>
      <c r="E62" s="3"/>
      <c r="F62" s="3"/>
      <c r="G62" s="3"/>
      <c r="H62" s="3"/>
      <c r="I62" s="3"/>
      <c r="J62" s="3"/>
      <c r="K62" s="3"/>
      <c r="L62" s="3"/>
      <c r="M62" s="3"/>
      <c r="N62" s="3"/>
      <c r="O62" s="3"/>
      <c r="P62" s="3"/>
      <c r="Q62" s="3"/>
      <c r="R62" s="3"/>
      <c r="S62" s="3"/>
      <c r="T62" s="3"/>
      <c r="U62" s="3"/>
      <c r="V62" s="3"/>
      <c r="W62" s="3"/>
      <c r="X62" s="3"/>
      <c r="Y62" s="3"/>
      <c r="Z62" s="3"/>
      <c r="AA62" s="53"/>
      <c r="AB62" s="54"/>
      <c r="AC62" s="827"/>
    </row>
    <row r="63" spans="1:29" ht="15" customHeight="1" x14ac:dyDescent="0.35">
      <c r="A63" s="49"/>
      <c r="B63" s="64"/>
      <c r="C63" s="3"/>
      <c r="D63" s="3"/>
      <c r="E63" s="3"/>
      <c r="F63" s="3"/>
      <c r="G63" s="3"/>
      <c r="H63" s="3"/>
      <c r="I63" s="3"/>
      <c r="J63" s="3"/>
      <c r="K63" s="3"/>
      <c r="L63" s="3"/>
      <c r="M63" s="3"/>
      <c r="N63" s="3"/>
      <c r="O63" s="3"/>
      <c r="P63" s="3"/>
      <c r="Q63" s="3"/>
      <c r="R63" s="3"/>
      <c r="S63" s="3"/>
      <c r="T63" s="3"/>
      <c r="U63" s="3"/>
      <c r="V63" s="3"/>
      <c r="W63" s="3"/>
      <c r="X63" s="3"/>
      <c r="Y63" s="3"/>
      <c r="Z63" s="3"/>
      <c r="AA63" s="53"/>
      <c r="AB63" s="54"/>
      <c r="AC63" s="827"/>
    </row>
    <row r="64" spans="1:29" ht="15" customHeight="1" x14ac:dyDescent="0.35">
      <c r="A64" s="49"/>
      <c r="B64" s="64"/>
      <c r="C64" s="3"/>
      <c r="D64" s="3"/>
      <c r="E64" s="3"/>
      <c r="F64" s="3"/>
      <c r="G64" s="3"/>
      <c r="H64" s="3"/>
      <c r="I64" s="3"/>
      <c r="J64" s="3"/>
      <c r="K64" s="3"/>
      <c r="L64" s="3"/>
      <c r="M64" s="3"/>
      <c r="N64" s="3"/>
      <c r="O64" s="3"/>
      <c r="P64" s="3"/>
      <c r="Q64" s="3"/>
      <c r="R64" s="3"/>
      <c r="S64" s="3"/>
      <c r="T64" s="3"/>
      <c r="U64" s="3"/>
      <c r="V64" s="3"/>
      <c r="W64" s="3"/>
      <c r="X64" s="3"/>
      <c r="Y64" s="3"/>
      <c r="Z64" s="3"/>
      <c r="AA64" s="53"/>
      <c r="AB64" s="54"/>
      <c r="AC64" s="827"/>
    </row>
    <row r="65" spans="1:29" ht="15" customHeight="1" x14ac:dyDescent="0.35">
      <c r="A65" s="49"/>
      <c r="B65" s="64"/>
      <c r="C65" s="3"/>
      <c r="D65" s="3"/>
      <c r="E65" s="3"/>
      <c r="F65" s="3"/>
      <c r="G65" s="3"/>
      <c r="H65" s="3"/>
      <c r="I65" s="3"/>
      <c r="J65" s="3"/>
      <c r="K65" s="3"/>
      <c r="L65" s="3"/>
      <c r="M65" s="3"/>
      <c r="N65" s="3"/>
      <c r="O65" s="3"/>
      <c r="P65" s="3"/>
      <c r="Q65" s="3"/>
      <c r="R65" s="3"/>
      <c r="S65" s="3"/>
      <c r="T65" s="3"/>
      <c r="U65" s="3"/>
      <c r="V65" s="3"/>
      <c r="W65" s="3"/>
      <c r="X65" s="3"/>
      <c r="Y65" s="3"/>
      <c r="Z65" s="3"/>
      <c r="AA65" s="53"/>
      <c r="AB65" s="54"/>
      <c r="AC65" s="827"/>
    </row>
    <row r="66" spans="1:29" ht="15" customHeight="1" x14ac:dyDescent="0.35">
      <c r="A66" s="49"/>
      <c r="B66" s="64"/>
      <c r="C66" s="3"/>
      <c r="D66" s="3"/>
      <c r="E66" s="3"/>
      <c r="F66" s="3"/>
      <c r="G66" s="3"/>
      <c r="H66" s="3"/>
      <c r="I66" s="3"/>
      <c r="J66" s="3"/>
      <c r="K66" s="3"/>
      <c r="L66" s="3"/>
      <c r="M66" s="3"/>
      <c r="N66" s="3"/>
      <c r="O66" s="3"/>
      <c r="P66" s="3"/>
      <c r="Q66" s="3"/>
      <c r="R66" s="3"/>
      <c r="S66" s="3"/>
      <c r="T66" s="3"/>
      <c r="U66" s="3"/>
      <c r="V66" s="3"/>
      <c r="W66" s="3"/>
      <c r="X66" s="3"/>
      <c r="Y66" s="3"/>
      <c r="Z66" s="3"/>
      <c r="AA66" s="53"/>
      <c r="AB66" s="54"/>
      <c r="AC66" s="827"/>
    </row>
    <row r="67" spans="1:29" ht="15" customHeight="1" x14ac:dyDescent="0.35">
      <c r="A67" s="49"/>
      <c r="B67" s="64"/>
      <c r="C67" s="3"/>
      <c r="D67" s="3"/>
      <c r="E67" s="3"/>
      <c r="F67" s="3"/>
      <c r="G67" s="3"/>
      <c r="H67" s="3"/>
      <c r="I67" s="3"/>
      <c r="J67" s="3"/>
      <c r="K67" s="3"/>
      <c r="L67" s="3"/>
      <c r="M67" s="3"/>
      <c r="N67" s="3"/>
      <c r="O67" s="3"/>
      <c r="P67" s="3"/>
      <c r="Q67" s="3"/>
      <c r="R67" s="3"/>
      <c r="S67" s="3"/>
      <c r="T67" s="3"/>
      <c r="U67" s="3"/>
      <c r="V67" s="3"/>
      <c r="W67" s="3"/>
      <c r="X67" s="3"/>
      <c r="Y67" s="3"/>
      <c r="Z67" s="3"/>
      <c r="AA67" s="53"/>
      <c r="AB67" s="54"/>
      <c r="AC67" s="827"/>
    </row>
    <row r="68" spans="1:29" ht="15" customHeight="1" x14ac:dyDescent="0.35">
      <c r="A68" s="49"/>
      <c r="B68" s="64"/>
      <c r="C68" s="3"/>
      <c r="D68" s="3"/>
      <c r="E68" s="3"/>
      <c r="F68" s="3"/>
      <c r="G68" s="3"/>
      <c r="H68" s="3"/>
      <c r="I68" s="3"/>
      <c r="J68" s="3"/>
      <c r="K68" s="3"/>
      <c r="L68" s="3"/>
      <c r="M68" s="3"/>
      <c r="N68" s="3"/>
      <c r="O68" s="3"/>
      <c r="P68" s="3"/>
      <c r="Q68" s="3"/>
      <c r="R68" s="3"/>
      <c r="S68" s="3"/>
      <c r="T68" s="3"/>
      <c r="U68" s="3"/>
      <c r="V68" s="3"/>
      <c r="W68" s="3"/>
      <c r="X68" s="3"/>
      <c r="Y68" s="3"/>
      <c r="Z68" s="3"/>
      <c r="AA68" s="53"/>
      <c r="AB68" s="54"/>
      <c r="AC68" s="827"/>
    </row>
    <row r="69" spans="1:29" ht="15" customHeight="1" x14ac:dyDescent="0.35">
      <c r="A69" s="49"/>
      <c r="B69" s="64"/>
      <c r="C69" s="3"/>
      <c r="D69" s="3"/>
      <c r="E69" s="3"/>
      <c r="F69" s="3"/>
      <c r="G69" s="3"/>
      <c r="H69" s="3"/>
      <c r="I69" s="3"/>
      <c r="J69" s="3"/>
      <c r="K69" s="3"/>
      <c r="L69" s="3"/>
      <c r="M69" s="3"/>
      <c r="N69" s="3"/>
      <c r="O69" s="3"/>
      <c r="P69" s="3"/>
      <c r="Q69" s="3"/>
      <c r="R69" s="3"/>
      <c r="S69" s="3"/>
      <c r="T69" s="3"/>
      <c r="U69" s="3"/>
      <c r="V69" s="3"/>
      <c r="W69" s="3"/>
      <c r="X69" s="3"/>
      <c r="Y69" s="3"/>
      <c r="Z69" s="3"/>
      <c r="AA69" s="53"/>
      <c r="AB69" s="54"/>
      <c r="AC69" s="827"/>
    </row>
    <row r="70" spans="1:29" ht="15" customHeight="1" x14ac:dyDescent="0.35">
      <c r="A70" s="49"/>
      <c r="B70" s="64"/>
      <c r="C70" s="3"/>
      <c r="D70" s="3"/>
      <c r="E70" s="3"/>
      <c r="F70" s="3"/>
      <c r="G70" s="3"/>
      <c r="H70" s="3"/>
      <c r="I70" s="3"/>
      <c r="J70" s="3"/>
      <c r="K70" s="3"/>
      <c r="L70" s="3"/>
      <c r="M70" s="3"/>
      <c r="N70" s="3"/>
      <c r="O70" s="3"/>
      <c r="P70" s="3"/>
      <c r="Q70" s="3"/>
      <c r="R70" s="3"/>
      <c r="S70" s="3"/>
      <c r="T70" s="3"/>
      <c r="U70" s="3"/>
      <c r="V70" s="3"/>
      <c r="W70" s="3"/>
      <c r="X70" s="3"/>
      <c r="Y70" s="3"/>
      <c r="Z70" s="3"/>
      <c r="AA70" s="53"/>
      <c r="AB70" s="54"/>
      <c r="AC70" s="827"/>
    </row>
    <row r="71" spans="1:29" ht="15" customHeight="1" x14ac:dyDescent="0.35">
      <c r="A71" s="49"/>
      <c r="B71" s="64"/>
      <c r="C71" s="3"/>
      <c r="D71" s="3"/>
      <c r="E71" s="3"/>
      <c r="F71" s="3"/>
      <c r="G71" s="3"/>
      <c r="H71" s="3"/>
      <c r="I71" s="3"/>
      <c r="J71" s="3"/>
      <c r="K71" s="3"/>
      <c r="L71" s="3"/>
      <c r="M71" s="3"/>
      <c r="N71" s="3"/>
      <c r="O71" s="3"/>
      <c r="P71" s="3"/>
      <c r="Q71" s="3"/>
      <c r="R71" s="3"/>
      <c r="S71" s="3"/>
      <c r="T71" s="3"/>
      <c r="U71" s="3"/>
      <c r="V71" s="3"/>
      <c r="W71" s="3"/>
      <c r="X71" s="3"/>
      <c r="Y71" s="3"/>
      <c r="Z71" s="3"/>
      <c r="AA71" s="53"/>
      <c r="AB71" s="54"/>
      <c r="AC71" s="827"/>
    </row>
    <row r="72" spans="1:29" ht="13.5" customHeight="1" x14ac:dyDescent="0.35">
      <c r="A72" s="49"/>
      <c r="B72" s="64"/>
      <c r="C72" s="3"/>
      <c r="D72" s="3"/>
      <c r="E72" s="3"/>
      <c r="F72" s="3"/>
      <c r="G72" s="3"/>
      <c r="H72" s="3"/>
      <c r="I72" s="3"/>
      <c r="J72" s="3"/>
      <c r="K72" s="3"/>
      <c r="L72" s="3"/>
      <c r="M72" s="3"/>
      <c r="N72" s="3"/>
      <c r="O72" s="3"/>
      <c r="P72" s="3"/>
      <c r="Q72" s="3"/>
      <c r="R72" s="3"/>
      <c r="S72" s="3"/>
      <c r="T72" s="3"/>
      <c r="U72" s="3"/>
      <c r="V72" s="3"/>
      <c r="W72" s="3"/>
      <c r="X72" s="3"/>
      <c r="Y72" s="3"/>
      <c r="Z72" s="3"/>
      <c r="AA72" s="53"/>
      <c r="AB72" s="54"/>
      <c r="AC72" s="827"/>
    </row>
    <row r="73" spans="1:29" x14ac:dyDescent="0.35">
      <c r="A73" s="49"/>
      <c r="B73" s="84"/>
      <c r="D73" s="136"/>
      <c r="E73" s="136"/>
      <c r="G73" s="136"/>
      <c r="H73" s="136"/>
      <c r="I73" s="136"/>
      <c r="J73" s="136"/>
      <c r="K73" s="136"/>
      <c r="L73" s="136"/>
      <c r="M73" s="136"/>
      <c r="N73" s="136"/>
      <c r="O73" s="136"/>
      <c r="P73" s="136"/>
      <c r="Q73" s="136"/>
      <c r="R73" s="136"/>
      <c r="S73" s="136"/>
      <c r="T73" s="136"/>
      <c r="U73" s="136"/>
      <c r="V73" s="136"/>
      <c r="W73" s="136"/>
      <c r="X73" s="136"/>
      <c r="Y73" s="136"/>
      <c r="Z73" s="136"/>
      <c r="AA73" s="53"/>
      <c r="AB73" s="54"/>
      <c r="AC73" s="827"/>
    </row>
    <row r="74" spans="1:29" ht="17.25" customHeight="1" x14ac:dyDescent="0.35">
      <c r="A74" s="46"/>
      <c r="B74" s="47"/>
      <c r="C74" s="73"/>
      <c r="D74" s="146"/>
      <c r="E74" s="146"/>
      <c r="F74" s="73"/>
      <c r="G74" s="146"/>
      <c r="H74" s="146"/>
      <c r="I74" s="146"/>
      <c r="J74" s="146"/>
      <c r="K74" s="146"/>
      <c r="L74" s="146"/>
      <c r="M74" s="146"/>
      <c r="N74" s="146"/>
      <c r="O74" s="146"/>
      <c r="P74" s="146"/>
      <c r="Q74" s="146"/>
      <c r="R74" s="146"/>
      <c r="S74" s="146"/>
      <c r="T74" s="146"/>
      <c r="U74" s="146"/>
      <c r="V74" s="146"/>
      <c r="W74" s="146"/>
      <c r="X74" s="146"/>
      <c r="Y74" s="146"/>
      <c r="Z74" s="146"/>
      <c r="AA74" s="47"/>
      <c r="AB74" s="48"/>
      <c r="AC74" s="827"/>
    </row>
    <row r="75" spans="1:29" hidden="1" x14ac:dyDescent="0.35">
      <c r="A75" s="72" t="b">
        <v>1</v>
      </c>
      <c r="B75" s="73"/>
      <c r="AA75" s="73"/>
      <c r="AB75" s="74"/>
    </row>
    <row r="76" spans="1:29" hidden="1" x14ac:dyDescent="0.35">
      <c r="A76" s="75"/>
      <c r="B76" s="73"/>
      <c r="AA76" s="44"/>
      <c r="AB76" s="44"/>
    </row>
    <row r="77" spans="1:29" hidden="1" x14ac:dyDescent="0.35">
      <c r="A77" s="44"/>
      <c r="AA77" s="44"/>
      <c r="AB77" s="44"/>
    </row>
    <row r="78" spans="1:29" hidden="1" x14ac:dyDescent="0.35">
      <c r="A78" s="44"/>
      <c r="AA78" s="44"/>
      <c r="AB78" s="44"/>
    </row>
    <row r="79" spans="1:29" hidden="1" x14ac:dyDescent="0.35">
      <c r="A79" s="44"/>
      <c r="AA79" s="44"/>
      <c r="AB79" s="44"/>
    </row>
    <row r="80" spans="1:29" hidden="1" x14ac:dyDescent="0.35">
      <c r="A80" s="44"/>
      <c r="AA80" s="44"/>
      <c r="AB80" s="44"/>
    </row>
    <row r="81" spans="1:28" hidden="1" x14ac:dyDescent="0.35">
      <c r="A81" s="44"/>
      <c r="AA81" s="44"/>
      <c r="AB81" s="44"/>
    </row>
    <row r="82" spans="1:28" hidden="1" x14ac:dyDescent="0.35">
      <c r="A82" s="44"/>
      <c r="AA82" s="44"/>
      <c r="AB82" s="44"/>
    </row>
    <row r="83" spans="1:28" hidden="1" x14ac:dyDescent="0.35">
      <c r="A83" s="44"/>
      <c r="AA83" s="44"/>
      <c r="AB83" s="44"/>
    </row>
    <row r="84" spans="1:28" hidden="1" x14ac:dyDescent="0.35">
      <c r="A84" s="44"/>
      <c r="AA84" s="44"/>
      <c r="AB84" s="44"/>
    </row>
    <row r="85" spans="1:28" hidden="1" x14ac:dyDescent="0.35">
      <c r="A85" s="44"/>
      <c r="AA85" s="44"/>
      <c r="AB85" s="44"/>
    </row>
    <row r="86" spans="1:28" hidden="1" x14ac:dyDescent="0.35">
      <c r="A86" s="44"/>
      <c r="AA86" s="44"/>
      <c r="AB86" s="44"/>
    </row>
    <row r="87" spans="1:28" hidden="1" x14ac:dyDescent="0.35"/>
    <row r="88" spans="1:28" hidden="1" x14ac:dyDescent="0.35"/>
    <row r="89" spans="1:28" hidden="1" x14ac:dyDescent="0.35"/>
    <row r="90" spans="1:28" hidden="1" x14ac:dyDescent="0.35"/>
    <row r="91" spans="1:28" hidden="1" x14ac:dyDescent="0.35"/>
    <row r="92" spans="1:28" hidden="1" x14ac:dyDescent="0.35"/>
    <row r="93" spans="1:28" hidden="1" x14ac:dyDescent="0.35"/>
    <row r="94" spans="1:28" hidden="1" x14ac:dyDescent="0.35"/>
    <row r="95" spans="1:28" hidden="1" x14ac:dyDescent="0.35"/>
    <row r="96" spans="1:28" hidden="1" x14ac:dyDescent="0.35"/>
    <row r="97" hidden="1" x14ac:dyDescent="0.35"/>
    <row r="98" hidden="1" x14ac:dyDescent="0.35"/>
    <row r="99" hidden="1" x14ac:dyDescent="0.35"/>
    <row r="100" hidden="1" x14ac:dyDescent="0.35"/>
    <row r="101" hidden="1" x14ac:dyDescent="0.35"/>
    <row r="102" hidden="1" x14ac:dyDescent="0.35"/>
    <row r="103" hidden="1" x14ac:dyDescent="0.35"/>
    <row r="104" hidden="1" x14ac:dyDescent="0.35"/>
    <row r="105" hidden="1" x14ac:dyDescent="0.35"/>
    <row r="106" hidden="1" x14ac:dyDescent="0.35"/>
    <row r="107" hidden="1" x14ac:dyDescent="0.35"/>
    <row r="108" hidden="1" x14ac:dyDescent="0.35"/>
    <row r="109" hidden="1" x14ac:dyDescent="0.35"/>
    <row r="110" hidden="1" x14ac:dyDescent="0.35"/>
    <row r="111" hidden="1" x14ac:dyDescent="0.35"/>
    <row r="112" hidden="1" x14ac:dyDescent="0.35"/>
    <row r="113" hidden="1" x14ac:dyDescent="0.35"/>
    <row r="114" hidden="1" x14ac:dyDescent="0.35"/>
    <row r="115" hidden="1" x14ac:dyDescent="0.35"/>
    <row r="116" hidden="1" x14ac:dyDescent="0.35"/>
    <row r="117" hidden="1" x14ac:dyDescent="0.35"/>
    <row r="118" hidden="1" x14ac:dyDescent="0.35"/>
    <row r="119" hidden="1" x14ac:dyDescent="0.35"/>
    <row r="120" hidden="1" x14ac:dyDescent="0.35"/>
    <row r="121" hidden="1" x14ac:dyDescent="0.35"/>
    <row r="122" hidden="1" x14ac:dyDescent="0.35"/>
    <row r="123" hidden="1" x14ac:dyDescent="0.35"/>
    <row r="124" hidden="1" x14ac:dyDescent="0.35"/>
    <row r="125" hidden="1" x14ac:dyDescent="0.35"/>
    <row r="126" hidden="1" x14ac:dyDescent="0.35"/>
    <row r="127" hidden="1" x14ac:dyDescent="0.35"/>
    <row r="128" hidden="1" x14ac:dyDescent="0.35"/>
    <row r="129" hidden="1" x14ac:dyDescent="0.35"/>
    <row r="130" hidden="1" x14ac:dyDescent="0.35"/>
    <row r="131" hidden="1" x14ac:dyDescent="0.35"/>
    <row r="132" hidden="1" x14ac:dyDescent="0.35"/>
    <row r="133" hidden="1" x14ac:dyDescent="0.35"/>
    <row r="134" hidden="1" x14ac:dyDescent="0.35"/>
    <row r="135" hidden="1" x14ac:dyDescent="0.35"/>
    <row r="136" hidden="1" x14ac:dyDescent="0.35"/>
    <row r="137" hidden="1" x14ac:dyDescent="0.35"/>
    <row r="138" hidden="1" x14ac:dyDescent="0.35"/>
    <row r="139" hidden="1" x14ac:dyDescent="0.35"/>
    <row r="140" hidden="1" x14ac:dyDescent="0.35"/>
    <row r="141" hidden="1" x14ac:dyDescent="0.35"/>
    <row r="142" hidden="1" x14ac:dyDescent="0.35"/>
    <row r="143" hidden="1" x14ac:dyDescent="0.35"/>
    <row r="144" hidden="1" x14ac:dyDescent="0.35"/>
    <row r="145" hidden="1" x14ac:dyDescent="0.35"/>
    <row r="146" hidden="1" x14ac:dyDescent="0.35"/>
    <row r="147" hidden="1" x14ac:dyDescent="0.35"/>
    <row r="148" hidden="1" x14ac:dyDescent="0.35"/>
    <row r="149" hidden="1" x14ac:dyDescent="0.35"/>
    <row r="150" hidden="1" x14ac:dyDescent="0.35"/>
    <row r="151" hidden="1" x14ac:dyDescent="0.35"/>
    <row r="152" hidden="1" x14ac:dyDescent="0.35"/>
    <row r="153" hidden="1" x14ac:dyDescent="0.35"/>
    <row r="154" hidden="1" x14ac:dyDescent="0.35"/>
    <row r="155" hidden="1" x14ac:dyDescent="0.35"/>
    <row r="156" hidden="1" x14ac:dyDescent="0.35"/>
    <row r="157" hidden="1" x14ac:dyDescent="0.35"/>
    <row r="158" hidden="1" x14ac:dyDescent="0.35"/>
    <row r="159" hidden="1" x14ac:dyDescent="0.35"/>
    <row r="160" hidden="1" x14ac:dyDescent="0.35"/>
    <row r="161" hidden="1" x14ac:dyDescent="0.35"/>
    <row r="162" hidden="1" x14ac:dyDescent="0.35"/>
    <row r="163" hidden="1" x14ac:dyDescent="0.35"/>
    <row r="164" hidden="1" x14ac:dyDescent="0.35"/>
    <row r="165" hidden="1" x14ac:dyDescent="0.35"/>
    <row r="166" hidden="1" x14ac:dyDescent="0.35"/>
    <row r="167" hidden="1" x14ac:dyDescent="0.35"/>
    <row r="168" hidden="1" x14ac:dyDescent="0.35"/>
    <row r="169" hidden="1" x14ac:dyDescent="0.35"/>
    <row r="170" hidden="1" x14ac:dyDescent="0.35"/>
    <row r="171" hidden="1" x14ac:dyDescent="0.35"/>
    <row r="172" hidden="1" x14ac:dyDescent="0.35"/>
    <row r="173" hidden="1" x14ac:dyDescent="0.35"/>
    <row r="174" hidden="1" x14ac:dyDescent="0.35"/>
    <row r="175" hidden="1" x14ac:dyDescent="0.35"/>
    <row r="176" hidden="1" x14ac:dyDescent="0.35"/>
    <row r="177" hidden="1" x14ac:dyDescent="0.35"/>
    <row r="178" hidden="1" x14ac:dyDescent="0.35"/>
    <row r="179" hidden="1" x14ac:dyDescent="0.35"/>
    <row r="180" hidden="1" x14ac:dyDescent="0.35"/>
    <row r="181" hidden="1" x14ac:dyDescent="0.35"/>
    <row r="182" hidden="1" x14ac:dyDescent="0.35"/>
    <row r="183" hidden="1" x14ac:dyDescent="0.35"/>
    <row r="184" x14ac:dyDescent="0.35"/>
    <row r="185" hidden="1" x14ac:dyDescent="0.35"/>
  </sheetData>
  <sheetProtection password="813F" sheet="1" objects="1" scenarios="1" selectLockedCells="1"/>
  <customSheetViews>
    <customSheetView guid="{51165254-F18A-4CD1-9981-8F2DE14CC76C}" showGridLines="0" fitToPage="1" hiddenRows="1" hiddenColumns="1" showRuler="0">
      <selection activeCell="C12" sqref="C12:J12"/>
      <rowBreaks count="2" manualBreakCount="2">
        <brk id="18" max="27" man="1"/>
        <brk id="47" max="27" man="1"/>
      </rowBreaks>
      <pageMargins left="0.78740157480314965" right="0.78740157480314965" top="0.98425196850393704" bottom="0.98425196850393704" header="0.51181102362204722" footer="0.51181102362204722"/>
      <printOptions horizontalCentered="1" verticalCentered="1"/>
      <pageSetup paperSize="9" scale="50" orientation="portrait" r:id="rId1"/>
      <headerFooter alignWithMargins="0">
        <oddHeader>&amp;L&amp;F</oddHeader>
        <oddFooter xml:space="preserve">&amp;LDAF Dealer Business Plan&amp;CPrint date: &amp;D&amp;R&amp;P/&amp;N | DAF Trucks NV    </oddFooter>
      </headerFooter>
    </customSheetView>
  </customSheetViews>
  <mergeCells count="2">
    <mergeCell ref="A1:AB1"/>
    <mergeCell ref="C3:Z4"/>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50" orientation="portrait" r:id="rId2"/>
  <headerFooter alignWithMargins="0">
    <oddHeader>&amp;L&amp;F</oddHeader>
    <oddFooter xml:space="preserve">&amp;LDAF Dealer Business Plan - Version January 2011&amp;CPrint date: &amp;D&amp;R&amp;P/&amp;N | DAF Trucks NV    </oddFooter>
  </headerFooter>
  <rowBreaks count="2" manualBreakCount="2">
    <brk id="18" max="27" man="1"/>
    <brk id="47" max="27" man="1"/>
  </rowBreaks>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6">
    <pageSetUpPr fitToPage="1"/>
  </sheetPr>
  <dimension ref="A1:IU47"/>
  <sheetViews>
    <sheetView workbookViewId="0">
      <selection activeCell="A4" sqref="A4:IV14"/>
    </sheetView>
  </sheetViews>
  <sheetFormatPr baseColWidth="10" defaultColWidth="0" defaultRowHeight="14.4" zeroHeight="1" x14ac:dyDescent="0.35"/>
  <cols>
    <col min="1" max="1" width="2.6640625" style="45" customWidth="1"/>
    <col min="2" max="2" width="5.33203125" style="45" bestFit="1" customWidth="1"/>
    <col min="3" max="3" width="2.6640625" style="76" customWidth="1"/>
    <col min="4" max="4" width="7.44140625" style="45" bestFit="1" customWidth="1"/>
    <col min="5" max="5" width="9.6640625" style="45" customWidth="1"/>
    <col min="6" max="6" width="9" style="76" customWidth="1"/>
    <col min="7" max="7" width="9.44140625" style="45" customWidth="1"/>
    <col min="8" max="21" width="8.77734375" style="45" customWidth="1"/>
    <col min="22" max="22" width="8.44140625" style="45" customWidth="1"/>
    <col min="23" max="23" width="3.6640625" style="45" customWidth="1"/>
    <col min="24" max="26" width="2.77734375" style="45" hidden="1" customWidth="1"/>
    <col min="27" max="30" width="5.109375" style="45" hidden="1" customWidth="1"/>
    <col min="31" max="31" width="8.6640625" style="45" hidden="1" customWidth="1"/>
    <col min="32" max="32" width="2" style="45" hidden="1" customWidth="1"/>
    <col min="33" max="255" width="9.109375" style="45" hidden="1" customWidth="1"/>
    <col min="256" max="16384" width="0" style="45" hidden="1"/>
  </cols>
  <sheetData>
    <row r="1" spans="1:32" x14ac:dyDescent="0.35">
      <c r="A1" s="86"/>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3"/>
    </row>
    <row r="2" spans="1:32" ht="37.5" customHeight="1" x14ac:dyDescent="0.35">
      <c r="A2" s="46"/>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8"/>
    </row>
    <row r="3" spans="1:32" ht="28.8" x14ac:dyDescent="0.55000000000000004">
      <c r="A3" s="2178" t="s">
        <v>990</v>
      </c>
      <c r="B3" s="2178"/>
      <c r="C3" s="2178"/>
      <c r="D3" s="2178"/>
      <c r="E3" s="2178"/>
      <c r="F3" s="2178"/>
      <c r="G3" s="2178"/>
      <c r="H3" s="2178"/>
      <c r="I3" s="2178"/>
      <c r="J3" s="2178"/>
      <c r="K3" s="2178"/>
      <c r="L3" s="2178"/>
      <c r="M3" s="2178"/>
      <c r="N3" s="2178"/>
      <c r="O3" s="2178"/>
      <c r="P3" s="2178"/>
      <c r="Q3" s="2178"/>
      <c r="R3" s="2178"/>
      <c r="S3" s="2178"/>
      <c r="T3" s="2178"/>
      <c r="U3" s="2178"/>
      <c r="V3" s="2178"/>
      <c r="W3" s="2178"/>
      <c r="X3" s="820"/>
      <c r="Y3" s="820"/>
      <c r="Z3" s="820"/>
      <c r="AA3" s="820"/>
      <c r="AB3" s="820"/>
      <c r="AC3" s="820"/>
      <c r="AD3" s="820"/>
      <c r="AE3" s="820"/>
      <c r="AF3" s="820"/>
    </row>
    <row r="4" spans="1:32" ht="15" hidden="1" customHeight="1" x14ac:dyDescent="0.35">
      <c r="A4" s="49"/>
      <c r="B4" s="53"/>
      <c r="C4" s="53"/>
      <c r="D4" s="53"/>
      <c r="E4" s="53"/>
      <c r="F4" s="53"/>
      <c r="G4" s="53"/>
      <c r="H4" s="53"/>
      <c r="I4" s="53"/>
      <c r="J4" s="53"/>
      <c r="K4" s="53"/>
      <c r="L4" s="53"/>
      <c r="M4" s="53"/>
      <c r="N4" s="53"/>
      <c r="O4" s="53"/>
      <c r="P4" s="53"/>
      <c r="Q4" s="53"/>
      <c r="R4" s="53"/>
      <c r="S4" s="53"/>
      <c r="T4" s="53"/>
      <c r="U4" s="53"/>
      <c r="V4" s="53"/>
      <c r="W4" s="42"/>
      <c r="X4" s="42"/>
      <c r="Y4" s="42"/>
      <c r="Z4" s="42"/>
      <c r="AA4" s="42"/>
      <c r="AB4" s="42"/>
      <c r="AC4" s="42"/>
      <c r="AD4" s="42"/>
      <c r="AE4" s="42"/>
      <c r="AF4" s="43"/>
    </row>
    <row r="5" spans="1:32" hidden="1" x14ac:dyDescent="0.35">
      <c r="A5" s="49"/>
      <c r="B5" s="50" t="s">
        <v>1069</v>
      </c>
      <c r="C5" s="51"/>
      <c r="D5" s="52"/>
      <c r="E5" s="2113" t="s">
        <v>961</v>
      </c>
      <c r="F5" s="2085"/>
      <c r="G5" s="2085"/>
      <c r="H5" s="2085"/>
      <c r="I5" s="2085"/>
      <c r="J5" s="2085"/>
      <c r="K5" s="2085"/>
      <c r="L5" s="2085"/>
      <c r="M5" s="2085"/>
      <c r="N5" s="2085"/>
      <c r="O5" s="2085"/>
      <c r="P5" s="2085"/>
      <c r="Q5" s="2085"/>
      <c r="R5" s="2085"/>
      <c r="S5" s="2086"/>
      <c r="T5" s="87"/>
      <c r="U5" s="53"/>
      <c r="V5" s="53"/>
      <c r="W5" s="53"/>
      <c r="X5" s="53"/>
      <c r="Y5" s="53"/>
      <c r="Z5" s="53"/>
      <c r="AA5" s="53"/>
      <c r="AB5" s="53"/>
      <c r="AC5" s="53"/>
      <c r="AD5" s="54"/>
    </row>
    <row r="6" spans="1:32" hidden="1" x14ac:dyDescent="0.35">
      <c r="A6" s="49"/>
      <c r="B6" s="1261" t="s">
        <v>962</v>
      </c>
      <c r="C6" s="51"/>
      <c r="D6" s="51"/>
      <c r="E6" s="1261" t="s">
        <v>965</v>
      </c>
      <c r="F6" s="1261" t="s">
        <v>966</v>
      </c>
      <c r="G6" s="1261" t="s">
        <v>967</v>
      </c>
      <c r="H6" s="1261" t="s">
        <v>968</v>
      </c>
      <c r="I6" s="1261" t="s">
        <v>969</v>
      </c>
      <c r="J6" s="1261" t="s">
        <v>970</v>
      </c>
      <c r="K6" s="1261" t="s">
        <v>971</v>
      </c>
      <c r="L6" s="1261" t="s">
        <v>972</v>
      </c>
      <c r="M6" s="1261" t="s">
        <v>973</v>
      </c>
      <c r="N6" s="1261" t="s">
        <v>974</v>
      </c>
      <c r="O6" s="1261" t="s">
        <v>975</v>
      </c>
      <c r="P6" s="1261" t="s">
        <v>976</v>
      </c>
      <c r="Q6" s="1261" t="s">
        <v>977</v>
      </c>
      <c r="R6" s="1261" t="s">
        <v>978</v>
      </c>
      <c r="S6" s="1265" t="s">
        <v>979</v>
      </c>
      <c r="T6" s="1261" t="s">
        <v>523</v>
      </c>
      <c r="U6" s="53"/>
      <c r="V6" s="53"/>
      <c r="W6" s="53"/>
      <c r="X6" s="53"/>
      <c r="Y6" s="53"/>
      <c r="Z6" s="53"/>
      <c r="AA6" s="53"/>
      <c r="AB6" s="53"/>
      <c r="AC6" s="53"/>
      <c r="AD6" s="54"/>
    </row>
    <row r="7" spans="1:32" hidden="1" x14ac:dyDescent="0.35">
      <c r="A7" s="49"/>
      <c r="B7" s="59">
        <v>45</v>
      </c>
      <c r="C7" s="60"/>
      <c r="D7" s="60"/>
      <c r="E7" s="88">
        <f>AVERAGE('DAF Parts CPV'!G7)</f>
        <v>1460.4483002661445</v>
      </c>
      <c r="F7" s="88">
        <f>AVERAGE('DAF Parts CPV'!H7)</f>
        <v>1532.7614456042872</v>
      </c>
      <c r="G7" s="88">
        <f>AVERAGE('DAF Parts CPV'!I7)</f>
        <v>2227.591079674281</v>
      </c>
      <c r="H7" s="88">
        <f>AVERAGE('DAF Parts CPV'!J7)</f>
        <v>2400.6341586863218</v>
      </c>
      <c r="I7" s="88">
        <f>AVERAGE('DAF Parts CPV'!K7)</f>
        <v>2354.4556288725348</v>
      </c>
      <c r="J7" s="88">
        <f>AVERAGE('DAF Parts CPV'!L7)</f>
        <v>1914.635618597443</v>
      </c>
      <c r="K7" s="88">
        <f>AVERAGE('DAF Parts CPV'!M7)</f>
        <v>2034.3003447597832</v>
      </c>
      <c r="L7" s="88">
        <f>AVERAGE('DAF Parts CPV'!N7)</f>
        <v>2153.9650709221232</v>
      </c>
      <c r="M7" s="88">
        <f>AVERAGE('DAF Parts CPV'!O7)</f>
        <v>2273.6297970844635</v>
      </c>
      <c r="N7" s="88">
        <f>AVERAGE('DAF Parts CPV'!P7)</f>
        <v>2393.2945232468037</v>
      </c>
      <c r="O7" s="88">
        <f>AVERAGE('DAF Parts CPV'!Q7)</f>
        <v>2297.5627423169317</v>
      </c>
      <c r="P7" s="88">
        <f>AVERAGE('DAF Parts CPV'!R7)</f>
        <v>2201.8309613870592</v>
      </c>
      <c r="Q7" s="88">
        <f>AVERAGE('DAF Parts CPV'!S7)</f>
        <v>2106.0991804571877</v>
      </c>
      <c r="R7" s="88">
        <f>AVERAGE('DAF Parts CPV'!T7)</f>
        <v>2010.3673995273152</v>
      </c>
      <c r="S7" s="89">
        <f>AVERAGE('DAF Parts CPV'!U7)</f>
        <v>1914.635618597443</v>
      </c>
      <c r="T7" s="71">
        <f>AVERAGE(E7:S7)</f>
        <v>2085.0807913333419</v>
      </c>
      <c r="U7" s="53"/>
      <c r="V7" s="53"/>
      <c r="W7" s="53"/>
      <c r="X7" s="53"/>
      <c r="Y7" s="53"/>
      <c r="Z7" s="53"/>
      <c r="AA7" s="53"/>
      <c r="AB7" s="53"/>
      <c r="AC7" s="53"/>
      <c r="AD7" s="54"/>
    </row>
    <row r="8" spans="1:32" hidden="1" x14ac:dyDescent="0.35">
      <c r="A8" s="49"/>
      <c r="B8" s="1040">
        <v>55</v>
      </c>
      <c r="C8" s="64"/>
      <c r="D8" s="60"/>
      <c r="E8" s="88">
        <f>AVERAGE('DAF Parts CPV'!G8:G10)</f>
        <v>1676.4525527982466</v>
      </c>
      <c r="F8" s="88">
        <f>AVERAGE('DAF Parts CPV'!H8:H10)</f>
        <v>1369.3403030660008</v>
      </c>
      <c r="G8" s="88">
        <f>AVERAGE('DAF Parts CPV'!I8:I10)</f>
        <v>2123.4649531088758</v>
      </c>
      <c r="H8" s="88">
        <f>AVERAGE('DAF Parts CPV'!J8:J10)</f>
        <v>2589.5186979983305</v>
      </c>
      <c r="I8" s="88">
        <f>AVERAGE('DAF Parts CPV'!K8:K10)</f>
        <v>3012.7160816808955</v>
      </c>
      <c r="J8" s="88">
        <f>AVERAGE('DAF Parts CPV'!L8:L10)</f>
        <v>3368.3990113133164</v>
      </c>
      <c r="K8" s="88">
        <f>AVERAGE('DAF Parts CPV'!M8:M10)</f>
        <v>3578.9239495203983</v>
      </c>
      <c r="L8" s="88">
        <f>AVERAGE('DAF Parts CPV'!N8:N10)</f>
        <v>3789.4488877274803</v>
      </c>
      <c r="M8" s="88">
        <f>AVERAGE('DAF Parts CPV'!O8:O10)</f>
        <v>3999.9738259345631</v>
      </c>
      <c r="N8" s="88">
        <f>AVERAGE('DAF Parts CPV'!P8:P10)</f>
        <v>4210.4987641416456</v>
      </c>
      <c r="O8" s="88">
        <f>AVERAGE('DAF Parts CPV'!Q8:Q10)</f>
        <v>4042.078813575979</v>
      </c>
      <c r="P8" s="88">
        <f>AVERAGE('DAF Parts CPV'!R8:R10)</f>
        <v>3873.6588630103129</v>
      </c>
      <c r="Q8" s="88">
        <f>AVERAGE('DAF Parts CPV'!S8:S10)</f>
        <v>3705.2389124446477</v>
      </c>
      <c r="R8" s="88">
        <f>AVERAGE('DAF Parts CPV'!T8:T10)</f>
        <v>3536.8189618789816</v>
      </c>
      <c r="S8" s="89">
        <f>AVERAGE('DAF Parts CPV'!U8:U10)</f>
        <v>3368.3990113133164</v>
      </c>
      <c r="T8" s="71">
        <f t="shared" ref="T8:T14" si="0">AVERAGE(E8:S8)</f>
        <v>3216.3287726342</v>
      </c>
      <c r="U8" s="53"/>
      <c r="V8" s="53"/>
      <c r="W8" s="53"/>
      <c r="X8" s="53"/>
      <c r="Y8" s="53"/>
      <c r="Z8" s="53"/>
      <c r="AA8" s="53"/>
      <c r="AB8" s="53"/>
      <c r="AC8" s="53"/>
      <c r="AD8" s="54"/>
    </row>
    <row r="9" spans="1:32" hidden="1" x14ac:dyDescent="0.35">
      <c r="A9" s="49"/>
      <c r="B9" s="66">
        <v>65</v>
      </c>
      <c r="C9" s="64"/>
      <c r="D9" s="60"/>
      <c r="E9" s="88">
        <f>AVERAGE('DAF Parts CPV'!G11)</f>
        <v>1379.6611799126292</v>
      </c>
      <c r="F9" s="88">
        <f>AVERAGE('DAF Parts CPV'!H11)</f>
        <v>1063.8066687037328</v>
      </c>
      <c r="G9" s="88">
        <f>AVERAGE('DAF Parts CPV'!I11)</f>
        <v>1855.6430872445394</v>
      </c>
      <c r="H9" s="88">
        <f>AVERAGE('DAF Parts CPV'!J11)</f>
        <v>2166.1306892953471</v>
      </c>
      <c r="I9" s="88">
        <f>AVERAGE('DAF Parts CPV'!K11)</f>
        <v>2313.1523908185022</v>
      </c>
      <c r="J9" s="88">
        <f>AVERAGE('DAF Parts CPV'!L11)</f>
        <v>2039.4119295876901</v>
      </c>
      <c r="K9" s="88">
        <f>AVERAGE('DAF Parts CPV'!M11)</f>
        <v>2166.8751751869208</v>
      </c>
      <c r="L9" s="88">
        <f>AVERAGE('DAF Parts CPV'!N11)</f>
        <v>2294.3384207861513</v>
      </c>
      <c r="M9" s="88">
        <f>AVERAGE('DAF Parts CPV'!O11)</f>
        <v>2421.8016663853818</v>
      </c>
      <c r="N9" s="88">
        <f>AVERAGE('DAF Parts CPV'!P11)</f>
        <v>2549.2649119846128</v>
      </c>
      <c r="O9" s="88">
        <f>AVERAGE('DAF Parts CPV'!Q11)</f>
        <v>2447.294315505228</v>
      </c>
      <c r="P9" s="88">
        <f>AVERAGE('DAF Parts CPV'!R11)</f>
        <v>2345.3237190258433</v>
      </c>
      <c r="Q9" s="88">
        <f>AVERAGE('DAF Parts CPV'!S11)</f>
        <v>2243.3531225464594</v>
      </c>
      <c r="R9" s="88">
        <f>AVERAGE('DAF Parts CPV'!T11)</f>
        <v>2141.3825260670747</v>
      </c>
      <c r="S9" s="89">
        <f>AVERAGE('DAF Parts CPV'!U11)</f>
        <v>2039.4119295876901</v>
      </c>
      <c r="T9" s="71">
        <f t="shared" si="0"/>
        <v>2097.7901155091872</v>
      </c>
      <c r="U9" s="53"/>
      <c r="V9" s="53"/>
      <c r="W9" s="53"/>
      <c r="X9" s="53"/>
      <c r="Y9" s="53"/>
      <c r="Z9" s="53"/>
      <c r="AA9" s="53"/>
      <c r="AB9" s="53"/>
      <c r="AC9" s="53"/>
      <c r="AD9" s="54"/>
    </row>
    <row r="10" spans="1:32" hidden="1" x14ac:dyDescent="0.35">
      <c r="A10" s="49"/>
      <c r="B10" s="1040">
        <v>75</v>
      </c>
      <c r="C10" s="64"/>
      <c r="D10" s="60"/>
      <c r="E10" s="88">
        <f>AVERAGE('DAF Parts CPV'!G12:G13,'DAF Parts CPV'!G15)</f>
        <v>1599.1517279854406</v>
      </c>
      <c r="F10" s="88">
        <f>AVERAGE('DAF Parts CPV'!H12:H13,'DAF Parts CPV'!H15)</f>
        <v>1147.0290064091573</v>
      </c>
      <c r="G10" s="88">
        <f>AVERAGE('DAF Parts CPV'!I12:I13,'DAF Parts CPV'!I15)</f>
        <v>2222.1907914220787</v>
      </c>
      <c r="H10" s="88">
        <f>AVERAGE('DAF Parts CPV'!J12:J13,'DAF Parts CPV'!J15)</f>
        <v>2641.5164956433928</v>
      </c>
      <c r="I10" s="88">
        <f>AVERAGE('DAF Parts CPV'!K12:K13,'DAF Parts CPV'!K15)</f>
        <v>3169.6503509668146</v>
      </c>
      <c r="J10" s="88">
        <f>AVERAGE('DAF Parts CPV'!L12:L13,'DAF Parts CPV'!L15)</f>
        <v>2768.0557947215093</v>
      </c>
      <c r="K10" s="88">
        <f>AVERAGE('DAF Parts CPV'!M12:M13,'DAF Parts CPV'!M15)</f>
        <v>2941.0592818916034</v>
      </c>
      <c r="L10" s="88">
        <f>AVERAGE('DAF Parts CPV'!N12:N13,'DAF Parts CPV'!N15)</f>
        <v>3114.062769061698</v>
      </c>
      <c r="M10" s="88">
        <f>AVERAGE('DAF Parts CPV'!O12:O13,'DAF Parts CPV'!O15)</f>
        <v>3287.0662562317921</v>
      </c>
      <c r="N10" s="88">
        <f>AVERAGE('DAF Parts CPV'!P12:P13,'DAF Parts CPV'!P15)</f>
        <v>3460.0697434018862</v>
      </c>
      <c r="O10" s="88">
        <f>AVERAGE('DAF Parts CPV'!Q12:Q13,'DAF Parts CPV'!Q15)</f>
        <v>3321.6669536658105</v>
      </c>
      <c r="P10" s="88">
        <f>AVERAGE('DAF Parts CPV'!R12:R13,'DAF Parts CPV'!R15)</f>
        <v>3183.2641639297349</v>
      </c>
      <c r="Q10" s="88">
        <f>AVERAGE('DAF Parts CPV'!S12:S13,'DAF Parts CPV'!S15)</f>
        <v>3044.8613741936606</v>
      </c>
      <c r="R10" s="88">
        <f>AVERAGE('DAF Parts CPV'!T12:T13,'DAF Parts CPV'!T15)</f>
        <v>2906.4585844575849</v>
      </c>
      <c r="S10" s="89">
        <f>AVERAGE('DAF Parts CPV'!U12:U13,'DAF Parts CPV'!U15)</f>
        <v>2768.0557947215093</v>
      </c>
      <c r="T10" s="71">
        <f t="shared" si="0"/>
        <v>2771.6106059135782</v>
      </c>
      <c r="U10" s="53"/>
      <c r="V10" s="53"/>
      <c r="W10" s="53"/>
      <c r="X10" s="53"/>
      <c r="Y10" s="53"/>
      <c r="Z10" s="53"/>
      <c r="AA10" s="53"/>
      <c r="AB10" s="53"/>
      <c r="AC10" s="53"/>
      <c r="AD10" s="54"/>
    </row>
    <row r="11" spans="1:32" hidden="1" x14ac:dyDescent="0.35">
      <c r="A11" s="49"/>
      <c r="B11" s="1040">
        <v>85</v>
      </c>
      <c r="C11" s="64"/>
      <c r="D11" s="60"/>
      <c r="E11" s="88">
        <f>AVERAGE('DAF Parts CPV'!G16:G17,'DAF Parts CPV'!G19:G20)</f>
        <v>1788.8891133414261</v>
      </c>
      <c r="F11" s="88">
        <f>AVERAGE('DAF Parts CPV'!H16:H17,'DAF Parts CPV'!H19:H20)</f>
        <v>1582.4529742693512</v>
      </c>
      <c r="G11" s="88">
        <f>AVERAGE('DAF Parts CPV'!I16:I17,'DAF Parts CPV'!I19:I20)</f>
        <v>2695.3567086427279</v>
      </c>
      <c r="H11" s="88">
        <f>AVERAGE('DAF Parts CPV'!J16:J17,'DAF Parts CPV'!J19:J20)</f>
        <v>3272.0329645000647</v>
      </c>
      <c r="I11" s="88">
        <f>AVERAGE('DAF Parts CPV'!K16:K17,'DAF Parts CPV'!K19:K20)</f>
        <v>3734.8626135833565</v>
      </c>
      <c r="J11" s="88">
        <f>AVERAGE('DAF Parts CPV'!L16:L17,'DAF Parts CPV'!L19:L20)</f>
        <v>3805.3993931741616</v>
      </c>
      <c r="K11" s="88">
        <f>AVERAGE('DAF Parts CPV'!M16:M17,'DAF Parts CPV'!M19:M20)</f>
        <v>4043.2368552475464</v>
      </c>
      <c r="L11" s="88">
        <f>AVERAGE('DAF Parts CPV'!N16:N17,'DAF Parts CPV'!N19:N20)</f>
        <v>4281.0743173209321</v>
      </c>
      <c r="M11" s="88">
        <f>AVERAGE('DAF Parts CPV'!O16:O17,'DAF Parts CPV'!O19:O20)</f>
        <v>4518.9117793943169</v>
      </c>
      <c r="N11" s="88">
        <f>AVERAGE('DAF Parts CPV'!P16:P17,'DAF Parts CPV'!P19:P20)</f>
        <v>4756.7492414677026</v>
      </c>
      <c r="O11" s="88">
        <f>AVERAGE('DAF Parts CPV'!Q16:Q17,'DAF Parts CPV'!Q19:Q20)</f>
        <v>4566.4792718089939</v>
      </c>
      <c r="P11" s="88">
        <f>AVERAGE('DAF Parts CPV'!R16:R17,'DAF Parts CPV'!R19:R20)</f>
        <v>4376.209302150286</v>
      </c>
      <c r="Q11" s="88">
        <f>AVERAGE('DAF Parts CPV'!S16:S17,'DAF Parts CPV'!S19:S20)</f>
        <v>4185.9393324915782</v>
      </c>
      <c r="R11" s="88">
        <f>AVERAGE('DAF Parts CPV'!T16:T17,'DAF Parts CPV'!T19:T20)</f>
        <v>3995.6693628328699</v>
      </c>
      <c r="S11" s="89">
        <f>AVERAGE('DAF Parts CPV'!U16:U17,'DAF Parts CPV'!U19:U20)</f>
        <v>3805.3993931741616</v>
      </c>
      <c r="T11" s="71">
        <f t="shared" si="0"/>
        <v>3693.9108415599653</v>
      </c>
      <c r="U11" s="53"/>
      <c r="V11" s="53"/>
      <c r="W11" s="53"/>
      <c r="X11" s="53"/>
      <c r="Y11" s="53"/>
      <c r="Z11" s="53"/>
      <c r="AA11" s="53"/>
      <c r="AB11" s="53"/>
      <c r="AC11" s="53"/>
      <c r="AD11" s="54"/>
    </row>
    <row r="12" spans="1:32" hidden="1" x14ac:dyDescent="0.35">
      <c r="A12" s="49"/>
      <c r="B12" s="1040">
        <v>95</v>
      </c>
      <c r="C12" s="64"/>
      <c r="D12" s="60"/>
      <c r="E12" s="88">
        <f>AVERAGE('DAF Parts CPV'!G21:G22,'DAF Parts CPV'!G24:G25)</f>
        <v>1770.0232776507858</v>
      </c>
      <c r="F12" s="88">
        <f>AVERAGE('DAF Parts CPV'!H21:H22,'DAF Parts CPV'!H24:H25)</f>
        <v>1594.5082462823138</v>
      </c>
      <c r="G12" s="88">
        <f>AVERAGE('DAF Parts CPV'!I21:I22,'DAF Parts CPV'!I24:I25)</f>
        <v>2721.6170179094961</v>
      </c>
      <c r="H12" s="88">
        <f>AVERAGE('DAF Parts CPV'!J21:J22,'DAF Parts CPV'!J24:J25)</f>
        <v>3234.9828911086115</v>
      </c>
      <c r="I12" s="88">
        <f>AVERAGE('DAF Parts CPV'!K21:K22,'DAF Parts CPV'!K24:K25)</f>
        <v>3146.8311169066756</v>
      </c>
      <c r="J12" s="88">
        <f>AVERAGE('DAF Parts CPV'!L21:L22,'DAF Parts CPV'!L24:L25)</f>
        <v>2969.4387949313314</v>
      </c>
      <c r="K12" s="88">
        <f>AVERAGE('DAF Parts CPV'!M21:M22,'DAF Parts CPV'!M24:M25)</f>
        <v>3155.0287196145396</v>
      </c>
      <c r="L12" s="88">
        <f>AVERAGE('DAF Parts CPV'!N21:N22,'DAF Parts CPV'!N24:N25)</f>
        <v>3340.6186442977478</v>
      </c>
      <c r="M12" s="88">
        <f>AVERAGE('DAF Parts CPV'!O21:O22,'DAF Parts CPV'!O24:O25)</f>
        <v>3526.208568980956</v>
      </c>
      <c r="N12" s="88">
        <f>AVERAGE('DAF Parts CPV'!P21:P22,'DAF Parts CPV'!P24:P25)</f>
        <v>3711.7984936641642</v>
      </c>
      <c r="O12" s="88">
        <f>AVERAGE('DAF Parts CPV'!Q21:Q22,'DAF Parts CPV'!Q24:Q25)</f>
        <v>3563.3265539175973</v>
      </c>
      <c r="P12" s="88">
        <f>AVERAGE('DAF Parts CPV'!R21:R22,'DAF Parts CPV'!R24:R25)</f>
        <v>3414.8546141710308</v>
      </c>
      <c r="Q12" s="88">
        <f>AVERAGE('DAF Parts CPV'!S21:S22,'DAF Parts CPV'!S24:S25)</f>
        <v>3266.3826744244643</v>
      </c>
      <c r="R12" s="88">
        <f>AVERAGE('DAF Parts CPV'!T21:T22,'DAF Parts CPV'!T24:T25)</f>
        <v>3117.9107346778978</v>
      </c>
      <c r="S12" s="89">
        <f>AVERAGE('DAF Parts CPV'!U21:U22,'DAF Parts CPV'!U24:U25)</f>
        <v>2969.4387949313314</v>
      </c>
      <c r="T12" s="71">
        <f t="shared" si="0"/>
        <v>3033.5312762312633</v>
      </c>
      <c r="U12" s="53"/>
      <c r="V12" s="53"/>
      <c r="W12" s="53"/>
      <c r="X12" s="53"/>
      <c r="Y12" s="53"/>
      <c r="Z12" s="53"/>
      <c r="AA12" s="53"/>
      <c r="AB12" s="53"/>
      <c r="AC12" s="53"/>
      <c r="AD12" s="54"/>
    </row>
    <row r="13" spans="1:32" hidden="1" x14ac:dyDescent="0.35">
      <c r="A13" s="49"/>
      <c r="B13" s="1260">
        <v>105</v>
      </c>
      <c r="C13" s="64"/>
      <c r="D13" s="60"/>
      <c r="E13" s="92">
        <f>AVERAGE('DAF Parts CPV'!G27:G28,'DAF Parts CPV'!G30:G31)</f>
        <v>1801.5266198510988</v>
      </c>
      <c r="F13" s="92">
        <f>AVERAGE('DAF Parts CPV'!H27:H28,'DAF Parts CPV'!H30:H31)</f>
        <v>1845.0208256739613</v>
      </c>
      <c r="G13" s="92">
        <f>AVERAGE('DAF Parts CPV'!I27:I28,'DAF Parts CPV'!I30:I31)</f>
        <v>1906.0195310625973</v>
      </c>
      <c r="H13" s="92">
        <f>AVERAGE('DAF Parts CPV'!J27:J28,'DAF Parts CPV'!J30:J31)</f>
        <v>3234.9828911086115</v>
      </c>
      <c r="I13" s="92">
        <f>AVERAGE('DAF Parts CPV'!K27:K28,'DAF Parts CPV'!K30:K31)</f>
        <v>3146.8311169066756</v>
      </c>
      <c r="J13" s="92">
        <f>AVERAGE('DAF Parts CPV'!L27:L28,'DAF Parts CPV'!L30:L31)</f>
        <v>2969.4387949313314</v>
      </c>
      <c r="K13" s="92">
        <f>AVERAGE('DAF Parts CPV'!M27:M28,'DAF Parts CPV'!M30:M31)</f>
        <v>3155.0287196145396</v>
      </c>
      <c r="L13" s="92">
        <f>AVERAGE('DAF Parts CPV'!N27:N28,'DAF Parts CPV'!N30:N31)</f>
        <v>3340.6186442977478</v>
      </c>
      <c r="M13" s="92">
        <f>AVERAGE('DAF Parts CPV'!O27:O28,'DAF Parts CPV'!O30:O31)</f>
        <v>3526.208568980956</v>
      </c>
      <c r="N13" s="92">
        <f>AVERAGE('DAF Parts CPV'!P27:P28,'DAF Parts CPV'!P30:P31)</f>
        <v>3711.7984936641642</v>
      </c>
      <c r="O13" s="92">
        <f>AVERAGE('DAF Parts CPV'!Q27:Q28,'DAF Parts CPV'!Q30:Q31)</f>
        <v>3563.3265539175973</v>
      </c>
      <c r="P13" s="92">
        <f>AVERAGE('DAF Parts CPV'!R27:R28,'DAF Parts CPV'!R30:R31)</f>
        <v>3414.8546141710308</v>
      </c>
      <c r="Q13" s="92">
        <f>AVERAGE('DAF Parts CPV'!S27:S28,'DAF Parts CPV'!S30:S31)</f>
        <v>3266.3826744244643</v>
      </c>
      <c r="R13" s="92">
        <f>AVERAGE('DAF Parts CPV'!T27:T28,'DAF Parts CPV'!T30:T31)</f>
        <v>3117.9107346778978</v>
      </c>
      <c r="S13" s="93">
        <f>AVERAGE('DAF Parts CPV'!U27:U28,'DAF Parts CPV'!U30:U31)</f>
        <v>2969.4387949313314</v>
      </c>
      <c r="T13" s="71">
        <f t="shared" si="0"/>
        <v>2997.9591718809338</v>
      </c>
      <c r="U13" s="53"/>
      <c r="V13" s="53"/>
      <c r="W13" s="53"/>
      <c r="X13" s="53"/>
      <c r="Y13" s="53"/>
      <c r="Z13" s="53"/>
      <c r="AA13" s="53"/>
      <c r="AB13" s="53"/>
      <c r="AC13" s="53"/>
      <c r="AD13" s="54"/>
    </row>
    <row r="14" spans="1:32" s="255" customFormat="1" hidden="1" x14ac:dyDescent="0.35">
      <c r="A14" s="825"/>
      <c r="B14" s="1266" t="s">
        <v>523</v>
      </c>
      <c r="C14" s="134"/>
      <c r="D14" s="51"/>
      <c r="E14" s="71">
        <f>AVERAGE(E7:E13)</f>
        <v>1639.4503959722531</v>
      </c>
      <c r="F14" s="71">
        <f t="shared" ref="F14:S14" si="1">AVERAGE(F7:F13)</f>
        <v>1447.8456385726863</v>
      </c>
      <c r="G14" s="71">
        <f t="shared" si="1"/>
        <v>2250.2690241520854</v>
      </c>
      <c r="H14" s="71">
        <f t="shared" si="1"/>
        <v>2791.3998269058111</v>
      </c>
      <c r="I14" s="71">
        <f t="shared" si="1"/>
        <v>2982.6427571050654</v>
      </c>
      <c r="J14" s="71">
        <f t="shared" si="1"/>
        <v>2833.5399053223978</v>
      </c>
      <c r="K14" s="71">
        <f t="shared" si="1"/>
        <v>3010.6361494050475</v>
      </c>
      <c r="L14" s="71">
        <f t="shared" si="1"/>
        <v>3187.7323934876977</v>
      </c>
      <c r="M14" s="71">
        <f t="shared" si="1"/>
        <v>3364.8286375703474</v>
      </c>
      <c r="N14" s="71">
        <f t="shared" si="1"/>
        <v>3541.9248816529976</v>
      </c>
      <c r="O14" s="71">
        <f t="shared" si="1"/>
        <v>3400.2478863868769</v>
      </c>
      <c r="P14" s="71">
        <f t="shared" si="1"/>
        <v>3258.5708911207571</v>
      </c>
      <c r="Q14" s="71">
        <f t="shared" si="1"/>
        <v>3116.8938958546378</v>
      </c>
      <c r="R14" s="71">
        <f t="shared" si="1"/>
        <v>2975.2169005885175</v>
      </c>
      <c r="S14" s="71">
        <f t="shared" si="1"/>
        <v>2833.5399053223978</v>
      </c>
      <c r="T14" s="71">
        <f t="shared" si="0"/>
        <v>2842.3159392946382</v>
      </c>
      <c r="U14" s="826"/>
      <c r="V14" s="826"/>
      <c r="W14" s="826"/>
      <c r="X14" s="826"/>
      <c r="Y14" s="826"/>
      <c r="Z14" s="826"/>
      <c r="AA14" s="826"/>
      <c r="AB14" s="826"/>
      <c r="AC14" s="826"/>
      <c r="AD14" s="826"/>
    </row>
    <row r="15" spans="1:32" x14ac:dyDescent="0.35">
      <c r="A15" s="46"/>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8"/>
    </row>
    <row r="16" spans="1:32" hidden="1" x14ac:dyDescent="0.35">
      <c r="A16" s="98"/>
      <c r="B16" s="76"/>
      <c r="D16" s="76"/>
      <c r="E16" s="76"/>
      <c r="G16" s="76"/>
      <c r="H16" s="76"/>
      <c r="I16" s="76"/>
      <c r="J16" s="76"/>
      <c r="K16" s="76"/>
      <c r="L16" s="76"/>
      <c r="M16" s="76"/>
      <c r="N16" s="76"/>
      <c r="O16" s="76"/>
      <c r="P16" s="76"/>
      <c r="Q16" s="76"/>
      <c r="R16" s="76"/>
      <c r="S16" s="76"/>
      <c r="T16" s="76"/>
      <c r="U16" s="76"/>
      <c r="V16" s="76"/>
      <c r="W16" s="44"/>
      <c r="X16" s="44"/>
      <c r="Y16" s="44"/>
      <c r="Z16" s="44"/>
      <c r="AA16" s="44"/>
      <c r="AB16" s="44"/>
      <c r="AC16" s="44"/>
      <c r="AD16" s="44"/>
      <c r="AE16" s="44"/>
      <c r="AF16" s="44"/>
    </row>
    <row r="17" spans="1:32" hidden="1" x14ac:dyDescent="0.35">
      <c r="A17" s="75"/>
      <c r="B17" s="73"/>
      <c r="D17" s="73"/>
      <c r="E17" s="73"/>
      <c r="G17" s="73"/>
      <c r="H17" s="73"/>
      <c r="I17" s="73"/>
      <c r="J17" s="73"/>
      <c r="K17" s="73"/>
      <c r="L17" s="73"/>
      <c r="M17" s="73"/>
      <c r="N17" s="73"/>
      <c r="O17" s="73"/>
      <c r="P17" s="73"/>
      <c r="Q17" s="73"/>
      <c r="R17" s="73"/>
      <c r="S17" s="73"/>
      <c r="T17" s="73"/>
      <c r="U17" s="73"/>
      <c r="V17" s="73"/>
      <c r="W17" s="44"/>
      <c r="X17" s="44"/>
      <c r="Y17" s="44"/>
      <c r="Z17" s="44"/>
      <c r="AA17" s="44"/>
      <c r="AB17" s="44"/>
      <c r="AC17" s="44"/>
      <c r="AD17" s="44"/>
      <c r="AE17" s="44"/>
      <c r="AF17" s="44"/>
    </row>
    <row r="18" spans="1:32" hidden="1" x14ac:dyDescent="0.35">
      <c r="A18" s="44"/>
      <c r="R18" s="44"/>
      <c r="S18" s="44"/>
      <c r="T18" s="44"/>
      <c r="U18" s="44"/>
      <c r="V18" s="44"/>
      <c r="W18" s="44"/>
      <c r="X18" s="44"/>
      <c r="Y18" s="44"/>
      <c r="Z18" s="44"/>
      <c r="AA18" s="44"/>
      <c r="AB18" s="44"/>
      <c r="AC18" s="44"/>
      <c r="AD18" s="44"/>
      <c r="AE18" s="44"/>
      <c r="AF18" s="44"/>
    </row>
    <row r="19" spans="1:32" hidden="1" x14ac:dyDescent="0.35">
      <c r="A19" s="44"/>
      <c r="R19" s="44"/>
      <c r="S19" s="44"/>
      <c r="T19" s="44"/>
      <c r="U19" s="44"/>
      <c r="V19" s="44"/>
      <c r="W19" s="44"/>
      <c r="X19" s="44"/>
      <c r="Y19" s="44"/>
      <c r="Z19" s="44"/>
      <c r="AA19" s="44"/>
      <c r="AB19" s="44"/>
      <c r="AC19" s="44"/>
      <c r="AD19" s="44"/>
      <c r="AE19" s="44"/>
      <c r="AF19" s="44"/>
    </row>
    <row r="20" spans="1:32" hidden="1" x14ac:dyDescent="0.35">
      <c r="A20" s="44"/>
      <c r="R20" s="44"/>
      <c r="S20" s="44"/>
      <c r="T20" s="44"/>
      <c r="U20" s="44"/>
      <c r="V20" s="44"/>
      <c r="W20" s="44"/>
      <c r="X20" s="44"/>
      <c r="Y20" s="44"/>
      <c r="Z20" s="44"/>
      <c r="AA20" s="44"/>
      <c r="AB20" s="44"/>
      <c r="AC20" s="44"/>
      <c r="AD20" s="44"/>
      <c r="AE20" s="44"/>
      <c r="AF20" s="44"/>
    </row>
    <row r="21" spans="1:32" hidden="1" x14ac:dyDescent="0.35">
      <c r="A21" s="44"/>
      <c r="R21" s="44"/>
      <c r="S21" s="44"/>
      <c r="T21" s="44"/>
      <c r="U21" s="44"/>
      <c r="V21" s="44"/>
      <c r="W21" s="44"/>
      <c r="X21" s="44"/>
      <c r="Y21" s="44"/>
      <c r="Z21" s="44"/>
      <c r="AA21" s="44"/>
      <c r="AB21" s="44"/>
      <c r="AC21" s="44"/>
      <c r="AD21" s="44"/>
      <c r="AE21" s="44"/>
      <c r="AF21" s="44"/>
    </row>
    <row r="22" spans="1:32" hidden="1" x14ac:dyDescent="0.35">
      <c r="A22" s="44"/>
      <c r="R22" s="44"/>
      <c r="S22" s="44"/>
      <c r="T22" s="44"/>
      <c r="U22" s="44"/>
      <c r="V22" s="44"/>
      <c r="W22" s="44"/>
      <c r="X22" s="44"/>
      <c r="Y22" s="44"/>
      <c r="Z22" s="44"/>
      <c r="AA22" s="44"/>
      <c r="AB22" s="44"/>
      <c r="AC22" s="44"/>
      <c r="AD22" s="44"/>
      <c r="AE22" s="44"/>
      <c r="AF22" s="44"/>
    </row>
    <row r="23" spans="1:32" hidden="1" x14ac:dyDescent="0.35">
      <c r="A23" s="44"/>
      <c r="R23" s="44"/>
      <c r="S23" s="44"/>
      <c r="T23" s="44"/>
      <c r="U23" s="44"/>
      <c r="V23" s="44"/>
      <c r="W23" s="44"/>
      <c r="X23" s="44"/>
      <c r="Y23" s="44"/>
      <c r="Z23" s="44"/>
      <c r="AA23" s="44"/>
      <c r="AB23" s="44"/>
      <c r="AC23" s="44"/>
      <c r="AD23" s="44"/>
      <c r="AE23" s="44"/>
      <c r="AF23" s="44"/>
    </row>
    <row r="24" spans="1:32" hidden="1" x14ac:dyDescent="0.35">
      <c r="A24" s="44"/>
      <c r="R24" s="44"/>
      <c r="S24" s="44"/>
      <c r="T24" s="44"/>
      <c r="U24" s="44"/>
      <c r="V24" s="44"/>
      <c r="W24" s="44"/>
      <c r="X24" s="44"/>
      <c r="Y24" s="44"/>
      <c r="Z24" s="44"/>
      <c r="AA24" s="44"/>
      <c r="AB24" s="44"/>
      <c r="AC24" s="44"/>
      <c r="AD24" s="44"/>
      <c r="AE24" s="44"/>
      <c r="AF24" s="44"/>
    </row>
    <row r="25" spans="1:32" hidden="1" x14ac:dyDescent="0.35">
      <c r="A25" s="44"/>
      <c r="R25" s="44"/>
      <c r="S25" s="44"/>
      <c r="T25" s="44"/>
      <c r="U25" s="44"/>
      <c r="V25" s="44"/>
      <c r="W25" s="44"/>
      <c r="X25" s="44"/>
      <c r="Y25" s="44"/>
      <c r="Z25" s="44"/>
      <c r="AA25" s="44"/>
      <c r="AB25" s="44"/>
      <c r="AC25" s="44"/>
      <c r="AD25" s="44"/>
      <c r="AE25" s="44"/>
      <c r="AF25" s="44"/>
    </row>
    <row r="26" spans="1:32" hidden="1" x14ac:dyDescent="0.35">
      <c r="A26" s="44"/>
      <c r="R26" s="44"/>
      <c r="S26" s="44"/>
      <c r="T26" s="44"/>
      <c r="U26" s="44"/>
      <c r="V26" s="44"/>
      <c r="W26" s="44"/>
      <c r="X26" s="44"/>
      <c r="Y26" s="44"/>
      <c r="Z26" s="44"/>
      <c r="AA26" s="44"/>
      <c r="AB26" s="44"/>
      <c r="AC26" s="44"/>
      <c r="AD26" s="44"/>
      <c r="AE26" s="44"/>
      <c r="AF26" s="44"/>
    </row>
    <row r="27" spans="1:32" hidden="1" x14ac:dyDescent="0.35">
      <c r="A27" s="44"/>
      <c r="R27" s="44"/>
      <c r="S27" s="44"/>
      <c r="T27" s="44"/>
      <c r="U27" s="44"/>
      <c r="V27" s="44"/>
      <c r="W27" s="44"/>
      <c r="X27" s="44"/>
      <c r="Y27" s="44"/>
      <c r="Z27" s="44"/>
      <c r="AA27" s="44"/>
      <c r="AB27" s="44"/>
      <c r="AC27" s="44"/>
      <c r="AD27" s="44"/>
      <c r="AE27" s="44"/>
      <c r="AF27" s="44"/>
    </row>
    <row r="28" spans="1:32" hidden="1" x14ac:dyDescent="0.35"/>
    <row r="29" spans="1:32" hidden="1" x14ac:dyDescent="0.35"/>
    <row r="30" spans="1:32" hidden="1" x14ac:dyDescent="0.35"/>
    <row r="31" spans="1:32" hidden="1" x14ac:dyDescent="0.35"/>
    <row r="32" spans="1:32"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sheetData>
  <sheetProtection password="813F" sheet="1" objects="1" scenarios="1" selectLockedCells="1" selectUnlockedCells="1"/>
  <customSheetViews>
    <customSheetView guid="{51165254-F18A-4CD1-9981-8F2DE14CC76C}" fitToPage="1" hiddenRows="1" hiddenColumns="1" state="hidden" showRuler="0">
      <selection activeCell="G6" sqref="G6"/>
      <pageMargins left="0.75" right="0.75" top="1" bottom="1" header="0.5" footer="0.5"/>
      <pageSetup paperSize="9" scale="47" orientation="portrait" r:id="rId1"/>
      <headerFooter alignWithMargins="0">
        <oddHeader>&amp;L&amp;F</oddHeader>
        <oddFooter xml:space="preserve">&amp;LDAF Dealer Business Plan&amp;CPrint date: &amp;D&amp;R&amp;P/&amp;N | DAF Trucks NV    </oddFooter>
      </headerFooter>
    </customSheetView>
  </customSheetViews>
  <mergeCells count="2">
    <mergeCell ref="A3:W3"/>
    <mergeCell ref="E5:S5"/>
  </mergeCells>
  <phoneticPr fontId="11" type="noConversion"/>
  <pageMargins left="0.75" right="0.75" top="1" bottom="1" header="0.5" footer="0.5"/>
  <pageSetup paperSize="9" scale="47" orientation="portrait" r:id="rId2"/>
  <headerFooter alignWithMargins="0">
    <oddHeader>&amp;L&amp;F</oddHeader>
    <oddFooter xml:space="preserve">&amp;LDAF Dealer Business Plan&amp;CPrint date: &amp;D&amp;R&amp;P/&amp;N | DAF Trucks NV    </oddFooter>
  </headerFooter>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6"/>
  <dimension ref="A1:IU47"/>
  <sheetViews>
    <sheetView workbookViewId="0">
      <selection activeCell="G11" sqref="G11:K12"/>
    </sheetView>
  </sheetViews>
  <sheetFormatPr baseColWidth="10" defaultColWidth="0" defaultRowHeight="14.4" zeroHeight="1" x14ac:dyDescent="0.35"/>
  <cols>
    <col min="1" max="1" width="2.6640625" style="45" customWidth="1"/>
    <col min="2" max="2" width="5.33203125" style="45" bestFit="1" customWidth="1"/>
    <col min="3" max="3" width="2.6640625" style="76" customWidth="1"/>
    <col min="4" max="4" width="7.44140625" style="45" bestFit="1" customWidth="1"/>
    <col min="5" max="5" width="5.44140625" style="45" customWidth="1"/>
    <col min="6" max="6" width="2.6640625" style="76" customWidth="1"/>
    <col min="7" max="21" width="8.77734375" style="45" customWidth="1"/>
    <col min="22" max="22" width="7.33203125" style="45" customWidth="1"/>
    <col min="23" max="23" width="5.109375" style="45" customWidth="1"/>
    <col min="24" max="32" width="5.109375" style="45" hidden="1" customWidth="1"/>
    <col min="33" max="33" width="8.6640625" style="45" hidden="1" customWidth="1"/>
    <col min="34" max="34" width="2" style="45" hidden="1" customWidth="1"/>
    <col min="35" max="255" width="9.109375" style="45" hidden="1" customWidth="1"/>
    <col min="256" max="16384" width="0" style="45" hidden="1"/>
  </cols>
  <sheetData>
    <row r="1" spans="1:34" x14ac:dyDescent="0.35">
      <c r="A1" s="99"/>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100"/>
    </row>
    <row r="2" spans="1:34" ht="37.5" customHeight="1" x14ac:dyDescent="0.35">
      <c r="A2" s="75"/>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4"/>
    </row>
    <row r="3" spans="1:34" ht="28.8" x14ac:dyDescent="0.55000000000000004">
      <c r="A3" s="2178" t="s">
        <v>991</v>
      </c>
      <c r="B3" s="2178"/>
      <c r="C3" s="2178"/>
      <c r="D3" s="2178"/>
      <c r="E3" s="2178"/>
      <c r="F3" s="2178"/>
      <c r="G3" s="2178"/>
      <c r="H3" s="2178"/>
      <c r="I3" s="2178"/>
      <c r="J3" s="2178"/>
      <c r="K3" s="2178"/>
      <c r="L3" s="2178"/>
      <c r="M3" s="2178"/>
      <c r="N3" s="2178"/>
      <c r="O3" s="2178"/>
      <c r="P3" s="2178"/>
      <c r="Q3" s="2178"/>
      <c r="R3" s="2178"/>
      <c r="S3" s="2178"/>
      <c r="T3" s="2178"/>
      <c r="U3" s="2178"/>
      <c r="V3" s="2178"/>
      <c r="W3" s="2178"/>
      <c r="X3" s="2178"/>
      <c r="Y3" s="2178"/>
      <c r="Z3" s="2178"/>
      <c r="AA3" s="2178"/>
      <c r="AB3" s="2178"/>
      <c r="AC3" s="2178"/>
      <c r="AD3" s="2178"/>
      <c r="AE3" s="2178"/>
      <c r="AF3" s="2178"/>
      <c r="AG3" s="2178"/>
      <c r="AH3" s="2178"/>
    </row>
    <row r="4" spans="1:34" ht="15" customHeight="1" x14ac:dyDescent="0.35">
      <c r="A4" s="98"/>
      <c r="B4" s="76"/>
      <c r="D4" s="76"/>
      <c r="E4" s="76"/>
      <c r="G4" s="76"/>
      <c r="H4" s="76"/>
      <c r="I4" s="76"/>
      <c r="J4" s="76"/>
      <c r="K4" s="76"/>
      <c r="L4" s="76"/>
      <c r="M4" s="76"/>
      <c r="N4" s="76"/>
      <c r="O4" s="76"/>
      <c r="P4" s="76"/>
      <c r="Q4" s="76"/>
      <c r="R4" s="76"/>
      <c r="S4" s="76"/>
      <c r="T4" s="76"/>
      <c r="U4" s="76"/>
      <c r="V4" s="76"/>
      <c r="W4" s="77"/>
      <c r="X4" s="77"/>
      <c r="Y4" s="77"/>
      <c r="Z4" s="77"/>
      <c r="AA4" s="77"/>
      <c r="AB4" s="77"/>
      <c r="AC4" s="77"/>
      <c r="AD4" s="77"/>
      <c r="AE4" s="77"/>
      <c r="AF4" s="77"/>
      <c r="AG4" s="77"/>
      <c r="AH4" s="100"/>
    </row>
    <row r="5" spans="1:34" hidden="1" x14ac:dyDescent="0.35">
      <c r="A5" s="98"/>
      <c r="B5" s="101" t="s">
        <v>1069</v>
      </c>
      <c r="C5" s="102"/>
      <c r="D5" s="2186" t="s">
        <v>960</v>
      </c>
      <c r="E5" s="2190"/>
      <c r="F5" s="103"/>
      <c r="G5" s="2186" t="s">
        <v>992</v>
      </c>
      <c r="H5" s="2085"/>
      <c r="I5" s="2085"/>
      <c r="J5" s="2085"/>
      <c r="K5" s="2085"/>
      <c r="L5" s="2085"/>
      <c r="M5" s="2085"/>
      <c r="N5" s="2085"/>
      <c r="O5" s="2085"/>
      <c r="P5" s="2085"/>
      <c r="Q5" s="2085"/>
      <c r="R5" s="2085"/>
      <c r="S5" s="2085"/>
      <c r="T5" s="2085"/>
      <c r="U5" s="2085"/>
      <c r="V5" s="104"/>
      <c r="W5" s="76"/>
      <c r="X5" s="76"/>
      <c r="Y5" s="76"/>
      <c r="Z5" s="76"/>
      <c r="AA5" s="76"/>
      <c r="AB5" s="76"/>
      <c r="AC5" s="76"/>
      <c r="AD5" s="76"/>
      <c r="AE5" s="76"/>
      <c r="AF5" s="76"/>
      <c r="AG5" s="76"/>
      <c r="AH5" s="105"/>
    </row>
    <row r="6" spans="1:34" hidden="1" x14ac:dyDescent="0.35">
      <c r="A6" s="98"/>
      <c r="B6" s="106" t="s">
        <v>962</v>
      </c>
      <c r="C6" s="102"/>
      <c r="D6" s="107" t="s">
        <v>963</v>
      </c>
      <c r="E6" s="108" t="s">
        <v>964</v>
      </c>
      <c r="F6" s="102"/>
      <c r="G6" s="107" t="s">
        <v>965</v>
      </c>
      <c r="H6" s="109" t="s">
        <v>966</v>
      </c>
      <c r="I6" s="109" t="s">
        <v>967</v>
      </c>
      <c r="J6" s="109" t="s">
        <v>968</v>
      </c>
      <c r="K6" s="109" t="s">
        <v>969</v>
      </c>
      <c r="L6" s="109" t="s">
        <v>970</v>
      </c>
      <c r="M6" s="109" t="s">
        <v>971</v>
      </c>
      <c r="N6" s="109" t="s">
        <v>972</v>
      </c>
      <c r="O6" s="109" t="s">
        <v>973</v>
      </c>
      <c r="P6" s="109" t="s">
        <v>974</v>
      </c>
      <c r="Q6" s="109" t="s">
        <v>975</v>
      </c>
      <c r="R6" s="109" t="s">
        <v>976</v>
      </c>
      <c r="S6" s="109" t="s">
        <v>977</v>
      </c>
      <c r="T6" s="109" t="s">
        <v>978</v>
      </c>
      <c r="U6" s="109" t="s">
        <v>979</v>
      </c>
      <c r="V6" s="110"/>
      <c r="W6" s="44"/>
      <c r="X6" s="76"/>
      <c r="Y6" s="76"/>
      <c r="Z6" s="76"/>
      <c r="AA6" s="76"/>
      <c r="AB6" s="76"/>
      <c r="AC6" s="76"/>
      <c r="AD6" s="76"/>
      <c r="AE6" s="76"/>
      <c r="AF6" s="76"/>
      <c r="AG6" s="76"/>
      <c r="AH6" s="105"/>
    </row>
    <row r="7" spans="1:34" hidden="1" x14ac:dyDescent="0.35">
      <c r="A7" s="98"/>
      <c r="B7" s="111">
        <v>45</v>
      </c>
      <c r="C7" s="112"/>
      <c r="D7" s="113" t="s">
        <v>980</v>
      </c>
      <c r="E7" s="113">
        <v>2</v>
      </c>
      <c r="F7" s="112"/>
      <c r="G7" s="114">
        <v>15.238311587989163</v>
      </c>
      <c r="H7" s="114">
        <v>14.968145844987411</v>
      </c>
      <c r="I7" s="114">
        <v>20.847961520118179</v>
      </c>
      <c r="J7" s="114">
        <v>21.561288438656774</v>
      </c>
      <c r="K7" s="114">
        <v>22.103424324944687</v>
      </c>
      <c r="L7" s="114">
        <v>19.444019770793808</v>
      </c>
      <c r="M7" s="114">
        <v>20.659271006468423</v>
      </c>
      <c r="N7" s="114">
        <v>21.874522242143033</v>
      </c>
      <c r="O7" s="114">
        <v>23.089773477817648</v>
      </c>
      <c r="P7" s="114">
        <v>24.305024713492259</v>
      </c>
      <c r="Q7" s="114">
        <v>23.332823724952569</v>
      </c>
      <c r="R7" s="114">
        <v>22.360622736412878</v>
      </c>
      <c r="S7" s="114">
        <v>21.388421747873192</v>
      </c>
      <c r="T7" s="114">
        <v>20.416220759333498</v>
      </c>
      <c r="U7" s="114">
        <v>19.444019770793808</v>
      </c>
      <c r="V7" s="115"/>
      <c r="W7" s="44"/>
      <c r="X7" s="76"/>
      <c r="Y7" s="76"/>
      <c r="Z7" s="76"/>
      <c r="AA7" s="76"/>
      <c r="AB7" s="76"/>
      <c r="AC7" s="76"/>
      <c r="AD7" s="76"/>
      <c r="AE7" s="76"/>
      <c r="AF7" s="76"/>
      <c r="AG7" s="76"/>
      <c r="AH7" s="105"/>
    </row>
    <row r="8" spans="1:34" hidden="1" x14ac:dyDescent="0.35">
      <c r="A8" s="98"/>
      <c r="B8" s="2187">
        <v>55</v>
      </c>
      <c r="C8" s="116"/>
      <c r="D8" s="2187" t="s">
        <v>980</v>
      </c>
      <c r="E8" s="111">
        <v>2</v>
      </c>
      <c r="F8" s="112"/>
      <c r="G8" s="114">
        <v>15.955678347354596</v>
      </c>
      <c r="H8" s="114">
        <v>11.944638807236851</v>
      </c>
      <c r="I8" s="114">
        <v>18.176007355508528</v>
      </c>
      <c r="J8" s="114">
        <v>20.917835170682665</v>
      </c>
      <c r="K8" s="114">
        <v>22.980340174917117</v>
      </c>
      <c r="L8" s="114">
        <v>24.693551585429425</v>
      </c>
      <c r="M8" s="114">
        <v>26.236898559518764</v>
      </c>
      <c r="N8" s="114">
        <v>27.780245533608102</v>
      </c>
      <c r="O8" s="114">
        <v>29.323592507697441</v>
      </c>
      <c r="P8" s="114">
        <v>30.86693948178678</v>
      </c>
      <c r="Q8" s="114">
        <v>29.63226190251531</v>
      </c>
      <c r="R8" s="114">
        <v>28.397584323243837</v>
      </c>
      <c r="S8" s="114">
        <v>27.162906743972371</v>
      </c>
      <c r="T8" s="114">
        <v>25.928229164700898</v>
      </c>
      <c r="U8" s="114">
        <v>24.693551585429425</v>
      </c>
      <c r="V8" s="115"/>
      <c r="W8" s="44"/>
      <c r="X8" s="76"/>
      <c r="Y8" s="76"/>
      <c r="Z8" s="76"/>
      <c r="AA8" s="76"/>
      <c r="AB8" s="76"/>
      <c r="AC8" s="76"/>
      <c r="AD8" s="76"/>
      <c r="AE8" s="76"/>
      <c r="AF8" s="76"/>
      <c r="AG8" s="76"/>
      <c r="AH8" s="105"/>
    </row>
    <row r="9" spans="1:34" hidden="1" x14ac:dyDescent="0.35">
      <c r="A9" s="98"/>
      <c r="B9" s="2188"/>
      <c r="C9" s="116"/>
      <c r="D9" s="2189"/>
      <c r="E9" s="111">
        <v>3</v>
      </c>
      <c r="F9" s="112"/>
      <c r="G9" s="114">
        <v>18.014381694213029</v>
      </c>
      <c r="H9" s="114">
        <v>14.024229377306252</v>
      </c>
      <c r="I9" s="114">
        <v>22.529561971545977</v>
      </c>
      <c r="J9" s="114">
        <v>23.626580209885834</v>
      </c>
      <c r="K9" s="114">
        <v>26.022586203348464</v>
      </c>
      <c r="L9" s="114">
        <v>27.95764626317408</v>
      </c>
      <c r="M9" s="114">
        <v>29.70499915462246</v>
      </c>
      <c r="N9" s="114">
        <v>31.452352046070839</v>
      </c>
      <c r="O9" s="114">
        <v>33.199704937519222</v>
      </c>
      <c r="P9" s="114">
        <v>34.947057828967601</v>
      </c>
      <c r="Q9" s="114">
        <v>33.549175515808898</v>
      </c>
      <c r="R9" s="114">
        <v>32.151293202650187</v>
      </c>
      <c r="S9" s="114">
        <v>30.753410889491491</v>
      </c>
      <c r="T9" s="114">
        <v>29.355528576332784</v>
      </c>
      <c r="U9" s="114">
        <v>27.95764626317408</v>
      </c>
      <c r="V9" s="115"/>
      <c r="W9" s="44"/>
      <c r="X9" s="76"/>
      <c r="Y9" s="76"/>
      <c r="Z9" s="76"/>
      <c r="AA9" s="76"/>
      <c r="AB9" s="76"/>
      <c r="AC9" s="76"/>
      <c r="AD9" s="76"/>
      <c r="AE9" s="76"/>
      <c r="AF9" s="76"/>
      <c r="AG9" s="76"/>
      <c r="AH9" s="105"/>
    </row>
    <row r="10" spans="1:34" hidden="1" x14ac:dyDescent="0.35">
      <c r="A10" s="98"/>
      <c r="B10" s="2189"/>
      <c r="C10" s="116"/>
      <c r="D10" s="111" t="s">
        <v>981</v>
      </c>
      <c r="E10" s="111">
        <v>2</v>
      </c>
      <c r="F10" s="112"/>
      <c r="G10" s="114">
        <v>17.025766176719781</v>
      </c>
      <c r="H10" s="114">
        <v>10.19954284202948</v>
      </c>
      <c r="I10" s="114">
        <v>12.393529677188058</v>
      </c>
      <c r="J10" s="114">
        <v>15.697516512346635</v>
      </c>
      <c r="K10" s="114">
        <v>20.007707937218839</v>
      </c>
      <c r="L10" s="114">
        <v>24.317899362091044</v>
      </c>
      <c r="M10" s="114">
        <v>25.837768072221735</v>
      </c>
      <c r="N10" s="114">
        <v>27.357636782352426</v>
      </c>
      <c r="O10" s="114">
        <v>28.877505492483113</v>
      </c>
      <c r="P10" s="114">
        <v>30.397374202613804</v>
      </c>
      <c r="Q10" s="114">
        <v>29.181479234509251</v>
      </c>
      <c r="R10" s="114">
        <v>27.965584266404697</v>
      </c>
      <c r="S10" s="114">
        <v>26.749689298300151</v>
      </c>
      <c r="T10" s="114">
        <v>25.533794330195597</v>
      </c>
      <c r="U10" s="114">
        <v>24.317899362091044</v>
      </c>
      <c r="V10" s="115"/>
      <c r="W10" s="44"/>
      <c r="X10" s="76"/>
      <c r="Y10" s="76"/>
      <c r="Z10" s="76"/>
      <c r="AA10" s="76"/>
      <c r="AB10" s="76"/>
      <c r="AC10" s="76"/>
      <c r="AD10" s="76"/>
      <c r="AE10" s="76"/>
      <c r="AF10" s="76"/>
      <c r="AG10" s="76"/>
      <c r="AH10" s="105"/>
    </row>
    <row r="11" spans="1:34" hidden="1" x14ac:dyDescent="0.35">
      <c r="A11" s="98"/>
      <c r="B11" s="117">
        <v>65</v>
      </c>
      <c r="C11" s="112"/>
      <c r="D11" s="111" t="s">
        <v>980</v>
      </c>
      <c r="E11" s="111">
        <v>2</v>
      </c>
      <c r="F11" s="112"/>
      <c r="G11" s="114">
        <v>14.319528245773435</v>
      </c>
      <c r="H11" s="114">
        <v>10.311800658351183</v>
      </c>
      <c r="I11" s="114">
        <v>17.013707984276177</v>
      </c>
      <c r="J11" s="114">
        <v>19.447234419144326</v>
      </c>
      <c r="K11" s="114">
        <v>22.481838513951846</v>
      </c>
      <c r="L11" s="114">
        <v>25.941887550396405</v>
      </c>
      <c r="M11" s="114">
        <v>27.563255522296181</v>
      </c>
      <c r="N11" s="114">
        <v>29.184623494195957</v>
      </c>
      <c r="O11" s="114">
        <v>30.80599146609573</v>
      </c>
      <c r="P11" s="114">
        <v>32.427359437995506</v>
      </c>
      <c r="Q11" s="114">
        <v>31.130265060475686</v>
      </c>
      <c r="R11" s="114">
        <v>29.833170682955863</v>
      </c>
      <c r="S11" s="114">
        <v>28.536076305436048</v>
      </c>
      <c r="T11" s="114">
        <v>27.238981927916228</v>
      </c>
      <c r="U11" s="114">
        <v>25.941887550396405</v>
      </c>
      <c r="V11" s="115"/>
      <c r="W11" s="44"/>
      <c r="X11" s="76"/>
      <c r="Y11" s="76"/>
      <c r="Z11" s="76"/>
      <c r="AA11" s="76"/>
      <c r="AB11" s="76"/>
      <c r="AC11" s="76"/>
      <c r="AD11" s="76"/>
      <c r="AE11" s="76"/>
      <c r="AF11" s="76"/>
      <c r="AG11" s="76"/>
      <c r="AH11" s="105"/>
    </row>
    <row r="12" spans="1:34" hidden="1" x14ac:dyDescent="0.35">
      <c r="A12" s="98"/>
      <c r="B12" s="2187">
        <v>75</v>
      </c>
      <c r="C12" s="116"/>
      <c r="D12" s="2187" t="s">
        <v>980</v>
      </c>
      <c r="E12" s="111">
        <v>2</v>
      </c>
      <c r="F12" s="112"/>
      <c r="G12" s="114">
        <v>20.604443018834413</v>
      </c>
      <c r="H12" s="114">
        <v>16.115043234819488</v>
      </c>
      <c r="I12" s="114">
        <v>22.478166205562168</v>
      </c>
      <c r="J12" s="114">
        <v>26.157655698951949</v>
      </c>
      <c r="K12" s="114">
        <v>29.949380688194623</v>
      </c>
      <c r="L12" s="114">
        <v>37.797635455615755</v>
      </c>
      <c r="M12" s="114">
        <v>40.159987671591736</v>
      </c>
      <c r="N12" s="114">
        <v>42.522339887567725</v>
      </c>
      <c r="O12" s="114">
        <v>44.884692103543706</v>
      </c>
      <c r="P12" s="114">
        <v>47.247044319519695</v>
      </c>
      <c r="Q12" s="114">
        <v>45.357162546738905</v>
      </c>
      <c r="R12" s="114">
        <v>43.467280773958116</v>
      </c>
      <c r="S12" s="114">
        <v>41.577399001177334</v>
      </c>
      <c r="T12" s="114">
        <v>39.687517228396544</v>
      </c>
      <c r="U12" s="114">
        <v>37.797635455615755</v>
      </c>
      <c r="V12" s="115"/>
      <c r="W12" s="44"/>
      <c r="X12" s="76"/>
      <c r="Y12" s="76"/>
      <c r="Z12" s="76"/>
      <c r="AA12" s="76"/>
      <c r="AB12" s="76"/>
      <c r="AC12" s="76"/>
      <c r="AD12" s="76"/>
      <c r="AE12" s="76"/>
      <c r="AF12" s="76"/>
      <c r="AG12" s="76"/>
      <c r="AH12" s="105"/>
    </row>
    <row r="13" spans="1:34" hidden="1" x14ac:dyDescent="0.35">
      <c r="A13" s="98"/>
      <c r="B13" s="2188"/>
      <c r="C13" s="116"/>
      <c r="D13" s="2188"/>
      <c r="E13" s="111">
        <v>3</v>
      </c>
      <c r="F13" s="112"/>
      <c r="G13" s="114">
        <v>18.264941097090798</v>
      </c>
      <c r="H13" s="114">
        <v>14.381592671077955</v>
      </c>
      <c r="I13" s="114">
        <v>21.178572687113167</v>
      </c>
      <c r="J13" s="114">
        <v>25.234022727068208</v>
      </c>
      <c r="K13" s="114">
        <v>32.548754568191995</v>
      </c>
      <c r="L13" s="114">
        <v>35.060509839757486</v>
      </c>
      <c r="M13" s="114">
        <v>37.251791704742331</v>
      </c>
      <c r="N13" s="114">
        <v>39.443073569727176</v>
      </c>
      <c r="O13" s="114">
        <v>41.634355434712013</v>
      </c>
      <c r="P13" s="114">
        <v>43.825637299696858</v>
      </c>
      <c r="Q13" s="114">
        <v>42.072611807708981</v>
      </c>
      <c r="R13" s="114">
        <v>40.319586315721104</v>
      </c>
      <c r="S13" s="114">
        <v>38.566560823733241</v>
      </c>
      <c r="T13" s="114">
        <v>36.813535331745364</v>
      </c>
      <c r="U13" s="114">
        <v>35.060509839757486</v>
      </c>
      <c r="V13" s="115"/>
      <c r="W13" s="44"/>
      <c r="X13" s="76"/>
      <c r="Y13" s="76"/>
      <c r="Z13" s="76"/>
      <c r="AA13" s="76"/>
      <c r="AB13" s="76"/>
      <c r="AC13" s="76"/>
      <c r="AD13" s="76"/>
      <c r="AE13" s="76"/>
      <c r="AF13" s="76"/>
      <c r="AG13" s="76"/>
      <c r="AH13" s="105"/>
    </row>
    <row r="14" spans="1:34" hidden="1" x14ac:dyDescent="0.35">
      <c r="A14" s="98"/>
      <c r="B14" s="2188"/>
      <c r="C14" s="116"/>
      <c r="D14" s="2189"/>
      <c r="E14" s="111">
        <v>4</v>
      </c>
      <c r="F14" s="112"/>
      <c r="G14" s="114">
        <v>19.425526085957571</v>
      </c>
      <c r="H14" s="114">
        <v>17.722278774338029</v>
      </c>
      <c r="I14" s="114">
        <v>36.636525168398606</v>
      </c>
      <c r="J14" s="114">
        <v>48.803680653368282</v>
      </c>
      <c r="K14" s="114">
        <v>43.81122366141166</v>
      </c>
      <c r="L14" s="114">
        <v>38.81876666945503</v>
      </c>
      <c r="M14" s="114">
        <v>41.24493958629597</v>
      </c>
      <c r="N14" s="114">
        <v>43.671112503136911</v>
      </c>
      <c r="O14" s="114">
        <v>46.097285419977851</v>
      </c>
      <c r="P14" s="114">
        <v>48.523458336818791</v>
      </c>
      <c r="Q14" s="114">
        <v>46.582520003346033</v>
      </c>
      <c r="R14" s="114">
        <v>44.641581669873283</v>
      </c>
      <c r="S14" s="114">
        <v>42.700643336400539</v>
      </c>
      <c r="T14" s="114">
        <v>40.759705002927781</v>
      </c>
      <c r="U14" s="114">
        <v>38.81876666945503</v>
      </c>
      <c r="V14" s="115"/>
      <c r="W14" s="44"/>
      <c r="X14" s="76"/>
      <c r="Y14" s="76"/>
      <c r="Z14" s="76"/>
      <c r="AA14" s="76"/>
      <c r="AB14" s="76"/>
      <c r="AC14" s="76"/>
      <c r="AD14" s="76"/>
      <c r="AE14" s="76"/>
      <c r="AF14" s="76"/>
      <c r="AG14" s="76"/>
      <c r="AH14" s="105"/>
    </row>
    <row r="15" spans="1:34" hidden="1" x14ac:dyDescent="0.35">
      <c r="A15" s="98"/>
      <c r="B15" s="2189"/>
      <c r="C15" s="116"/>
      <c r="D15" s="111" t="s">
        <v>981</v>
      </c>
      <c r="E15" s="111">
        <v>2</v>
      </c>
      <c r="F15" s="112"/>
      <c r="G15" s="114">
        <v>14.141117384875065</v>
      </c>
      <c r="H15" s="114">
        <v>9.8946381464821744</v>
      </c>
      <c r="I15" s="114">
        <v>20.459424420203199</v>
      </c>
      <c r="J15" s="114">
        <v>23.953515387764369</v>
      </c>
      <c r="K15" s="114">
        <v>30.520846812581535</v>
      </c>
      <c r="L15" s="114">
        <v>20.371916558251691</v>
      </c>
      <c r="M15" s="114">
        <v>21.645161343142423</v>
      </c>
      <c r="N15" s="114">
        <v>22.918406128033151</v>
      </c>
      <c r="O15" s="114">
        <v>24.191650912923883</v>
      </c>
      <c r="P15" s="114">
        <v>25.464895697814612</v>
      </c>
      <c r="Q15" s="114">
        <v>24.446299869902028</v>
      </c>
      <c r="R15" s="114">
        <v>23.427704041989443</v>
      </c>
      <c r="S15" s="114">
        <v>22.409108214076863</v>
      </c>
      <c r="T15" s="114">
        <v>21.390512386164275</v>
      </c>
      <c r="U15" s="114">
        <v>20.371916558251691</v>
      </c>
      <c r="V15" s="115"/>
      <c r="W15" s="44"/>
      <c r="X15" s="76"/>
      <c r="Y15" s="76"/>
      <c r="Z15" s="76"/>
      <c r="AA15" s="76"/>
      <c r="AB15" s="76"/>
      <c r="AC15" s="76"/>
      <c r="AD15" s="76"/>
      <c r="AE15" s="76"/>
      <c r="AF15" s="76"/>
      <c r="AG15" s="76"/>
      <c r="AH15" s="105"/>
    </row>
    <row r="16" spans="1:34" hidden="1" x14ac:dyDescent="0.35">
      <c r="A16" s="98"/>
      <c r="B16" s="2187">
        <v>85</v>
      </c>
      <c r="C16" s="116"/>
      <c r="D16" s="2187" t="s">
        <v>980</v>
      </c>
      <c r="E16" s="111">
        <v>2</v>
      </c>
      <c r="F16" s="112"/>
      <c r="G16" s="114">
        <v>19.880453363435983</v>
      </c>
      <c r="H16" s="114">
        <v>22.845487958483968</v>
      </c>
      <c r="I16" s="114">
        <v>25.900708005249999</v>
      </c>
      <c r="J16" s="114">
        <v>27.100275634149668</v>
      </c>
      <c r="K16" s="114">
        <v>34.054330158261877</v>
      </c>
      <c r="L16" s="114">
        <v>28.039951210893452</v>
      </c>
      <c r="M16" s="114">
        <v>29.792448161574292</v>
      </c>
      <c r="N16" s="114">
        <v>31.544945112255135</v>
      </c>
      <c r="O16" s="114">
        <v>33.297442062935971</v>
      </c>
      <c r="P16" s="114">
        <v>35.049939013616815</v>
      </c>
      <c r="Q16" s="114">
        <v>33.647941453072143</v>
      </c>
      <c r="R16" s="114">
        <v>32.245943892527471</v>
      </c>
      <c r="S16" s="114">
        <v>30.843946331982799</v>
      </c>
      <c r="T16" s="114">
        <v>29.441948771438128</v>
      </c>
      <c r="U16" s="114">
        <v>28.039951210893452</v>
      </c>
      <c r="V16" s="115"/>
      <c r="W16" s="44"/>
      <c r="X16" s="76"/>
      <c r="Y16" s="76"/>
      <c r="Z16" s="76"/>
      <c r="AA16" s="76"/>
      <c r="AB16" s="76"/>
      <c r="AC16" s="76"/>
      <c r="AD16" s="76"/>
      <c r="AE16" s="76"/>
      <c r="AF16" s="76"/>
      <c r="AG16" s="76"/>
      <c r="AH16" s="105"/>
    </row>
    <row r="17" spans="1:34" hidden="1" x14ac:dyDescent="0.35">
      <c r="A17" s="98"/>
      <c r="B17" s="2188"/>
      <c r="C17" s="116"/>
      <c r="D17" s="2188"/>
      <c r="E17" s="111">
        <v>3</v>
      </c>
      <c r="F17" s="112"/>
      <c r="G17" s="114">
        <v>25.772585904958678</v>
      </c>
      <c r="H17" s="114">
        <v>49.206931270483288</v>
      </c>
      <c r="I17" s="114">
        <v>44.466006397844552</v>
      </c>
      <c r="J17" s="114">
        <v>39.725081525205816</v>
      </c>
      <c r="K17" s="114">
        <v>45.227929580102732</v>
      </c>
      <c r="L17" s="114">
        <v>53.209140328792955</v>
      </c>
      <c r="M17" s="114">
        <v>56.534711599342515</v>
      </c>
      <c r="N17" s="114">
        <v>59.860282869892075</v>
      </c>
      <c r="O17" s="114">
        <v>63.185854140441634</v>
      </c>
      <c r="P17" s="114">
        <v>66.511425410991194</v>
      </c>
      <c r="Q17" s="114">
        <v>63.850968394551543</v>
      </c>
      <c r="R17" s="114">
        <v>61.190511378111893</v>
      </c>
      <c r="S17" s="114">
        <v>58.530054361672256</v>
      </c>
      <c r="T17" s="114">
        <v>55.869597345232606</v>
      </c>
      <c r="U17" s="114">
        <v>53.209140328792955</v>
      </c>
      <c r="V17" s="115"/>
      <c r="W17" s="44"/>
      <c r="X17" s="76"/>
      <c r="Y17" s="76"/>
      <c r="Z17" s="76"/>
      <c r="AA17" s="76"/>
      <c r="AB17" s="76"/>
      <c r="AC17" s="76"/>
      <c r="AD17" s="76"/>
      <c r="AE17" s="76"/>
      <c r="AF17" s="76"/>
      <c r="AG17" s="76"/>
      <c r="AH17" s="105"/>
    </row>
    <row r="18" spans="1:34" hidden="1" x14ac:dyDescent="0.35">
      <c r="A18" s="98"/>
      <c r="B18" s="2188"/>
      <c r="C18" s="116"/>
      <c r="D18" s="2189"/>
      <c r="E18" s="111">
        <v>4</v>
      </c>
      <c r="F18" s="112"/>
      <c r="G18" s="114">
        <v>23.148686434755806</v>
      </c>
      <c r="H18" s="114">
        <v>24.00788205441226</v>
      </c>
      <c r="I18" s="114">
        <v>46.180381473185044</v>
      </c>
      <c r="J18" s="114">
        <v>50.927383735718266</v>
      </c>
      <c r="K18" s="114">
        <v>52.19168494179187</v>
      </c>
      <c r="L18" s="114">
        <v>50.403150460382861</v>
      </c>
      <c r="M18" s="114">
        <v>53.553347364156792</v>
      </c>
      <c r="N18" s="114">
        <v>56.703544267930717</v>
      </c>
      <c r="O18" s="114">
        <v>59.853741171704648</v>
      </c>
      <c r="P18" s="114">
        <v>63.003938075478573</v>
      </c>
      <c r="Q18" s="114">
        <v>60.483780552459429</v>
      </c>
      <c r="R18" s="114">
        <v>57.963623029440285</v>
      </c>
      <c r="S18" s="114">
        <v>55.443465506421148</v>
      </c>
      <c r="T18" s="114">
        <v>52.923307983402005</v>
      </c>
      <c r="U18" s="114">
        <v>50.403150460382861</v>
      </c>
      <c r="V18" s="115"/>
      <c r="W18" s="44"/>
      <c r="X18" s="76"/>
      <c r="Y18" s="76"/>
      <c r="Z18" s="76"/>
      <c r="AA18" s="76"/>
      <c r="AB18" s="76"/>
      <c r="AC18" s="76"/>
      <c r="AD18" s="76"/>
      <c r="AE18" s="76"/>
      <c r="AF18" s="76"/>
      <c r="AG18" s="76"/>
      <c r="AH18" s="105"/>
    </row>
    <row r="19" spans="1:34" hidden="1" x14ac:dyDescent="0.35">
      <c r="A19" s="98"/>
      <c r="B19" s="2188"/>
      <c r="C19" s="116"/>
      <c r="D19" s="2187" t="s">
        <v>981</v>
      </c>
      <c r="E19" s="111">
        <v>2</v>
      </c>
      <c r="F19" s="112"/>
      <c r="G19" s="114">
        <v>18.342548621461198</v>
      </c>
      <c r="H19" s="114">
        <v>15.701873935655952</v>
      </c>
      <c r="I19" s="114">
        <v>22.474544688432541</v>
      </c>
      <c r="J19" s="114">
        <v>24.042061096280808</v>
      </c>
      <c r="K19" s="114">
        <v>30.738795248096782</v>
      </c>
      <c r="L19" s="114">
        <v>36.861738158761462</v>
      </c>
      <c r="M19" s="114">
        <v>39.165596793684053</v>
      </c>
      <c r="N19" s="114">
        <v>41.469455428606643</v>
      </c>
      <c r="O19" s="114">
        <v>43.773314063529234</v>
      </c>
      <c r="P19" s="114">
        <v>46.077172698451825</v>
      </c>
      <c r="Q19" s="114">
        <v>44.234085790513753</v>
      </c>
      <c r="R19" s="114">
        <v>42.39099888257568</v>
      </c>
      <c r="S19" s="114">
        <v>40.547911974637614</v>
      </c>
      <c r="T19" s="114">
        <v>38.704825066699534</v>
      </c>
      <c r="U19" s="114">
        <v>36.861738158761462</v>
      </c>
      <c r="V19" s="115"/>
      <c r="W19" s="44"/>
      <c r="X19" s="76"/>
      <c r="Y19" s="76"/>
      <c r="Z19" s="76"/>
      <c r="AA19" s="76"/>
      <c r="AB19" s="76"/>
      <c r="AC19" s="76"/>
      <c r="AD19" s="76"/>
      <c r="AE19" s="76"/>
      <c r="AF19" s="76"/>
      <c r="AG19" s="76"/>
      <c r="AH19" s="105"/>
    </row>
    <row r="20" spans="1:34" hidden="1" x14ac:dyDescent="0.35">
      <c r="A20" s="98"/>
      <c r="B20" s="2189"/>
      <c r="C20" s="116"/>
      <c r="D20" s="2189"/>
      <c r="E20" s="111">
        <v>3</v>
      </c>
      <c r="F20" s="112"/>
      <c r="G20" s="114">
        <v>16.81091572341861</v>
      </c>
      <c r="H20" s="114">
        <v>14.116118440942664</v>
      </c>
      <c r="I20" s="114">
        <v>28.791075000156933</v>
      </c>
      <c r="J20" s="114">
        <v>33.819102134816063</v>
      </c>
      <c r="K20" s="114">
        <v>33.938540395530232</v>
      </c>
      <c r="L20" s="114">
        <v>39.596237752718501</v>
      </c>
      <c r="M20" s="114">
        <v>42.071002612263406</v>
      </c>
      <c r="N20" s="114">
        <v>44.545767471808311</v>
      </c>
      <c r="O20" s="114">
        <v>47.020532331353223</v>
      </c>
      <c r="P20" s="114">
        <v>49.495297190898128</v>
      </c>
      <c r="Q20" s="114">
        <v>47.515485303262203</v>
      </c>
      <c r="R20" s="114">
        <v>45.53567341562627</v>
      </c>
      <c r="S20" s="114">
        <v>43.555861527990352</v>
      </c>
      <c r="T20" s="114">
        <v>41.576049640354427</v>
      </c>
      <c r="U20" s="114">
        <v>39.596237752718501</v>
      </c>
      <c r="V20" s="115"/>
      <c r="W20" s="44"/>
      <c r="X20" s="76"/>
      <c r="Y20" s="76"/>
      <c r="Z20" s="76"/>
      <c r="AA20" s="76"/>
      <c r="AB20" s="76"/>
      <c r="AC20" s="76"/>
      <c r="AD20" s="76"/>
      <c r="AE20" s="76"/>
      <c r="AF20" s="76"/>
      <c r="AG20" s="76"/>
      <c r="AH20" s="105"/>
    </row>
    <row r="21" spans="1:34" hidden="1" x14ac:dyDescent="0.35">
      <c r="A21" s="98"/>
      <c r="B21" s="2187">
        <v>95</v>
      </c>
      <c r="C21" s="116"/>
      <c r="D21" s="2187" t="s">
        <v>980</v>
      </c>
      <c r="E21" s="111">
        <v>2</v>
      </c>
      <c r="F21" s="112"/>
      <c r="G21" s="114">
        <v>23.316349591933999</v>
      </c>
      <c r="H21" s="114">
        <v>23.641141808554032</v>
      </c>
      <c r="I21" s="114">
        <v>29.458484936584213</v>
      </c>
      <c r="J21" s="114">
        <v>38.501853151722415</v>
      </c>
      <c r="K21" s="114">
        <v>26.847123503563878</v>
      </c>
      <c r="L21" s="114">
        <v>23.328019191942893</v>
      </c>
      <c r="M21" s="114">
        <v>24.786020391439322</v>
      </c>
      <c r="N21" s="114">
        <v>26.244021590935755</v>
      </c>
      <c r="O21" s="114">
        <v>27.702022790432185</v>
      </c>
      <c r="P21" s="114">
        <v>29.160023989928618</v>
      </c>
      <c r="Q21" s="114">
        <v>27.99362303033147</v>
      </c>
      <c r="R21" s="114">
        <v>26.827222070734326</v>
      </c>
      <c r="S21" s="114">
        <v>25.660821111137185</v>
      </c>
      <c r="T21" s="114">
        <v>24.494420151540037</v>
      </c>
      <c r="U21" s="114">
        <v>23.328019191942893</v>
      </c>
      <c r="V21" s="115"/>
      <c r="W21" s="44"/>
      <c r="X21" s="76"/>
      <c r="Y21" s="76"/>
      <c r="Z21" s="76"/>
      <c r="AA21" s="76"/>
      <c r="AB21" s="76"/>
      <c r="AC21" s="76"/>
      <c r="AD21" s="76"/>
      <c r="AE21" s="76"/>
      <c r="AF21" s="76"/>
      <c r="AG21" s="76"/>
      <c r="AH21" s="105"/>
    </row>
    <row r="22" spans="1:34" hidden="1" x14ac:dyDescent="0.35">
      <c r="A22" s="98"/>
      <c r="B22" s="2188"/>
      <c r="C22" s="116"/>
      <c r="D22" s="2188"/>
      <c r="E22" s="111">
        <v>3</v>
      </c>
      <c r="F22" s="112"/>
      <c r="G22" s="114">
        <v>26.173197214263055</v>
      </c>
      <c r="H22" s="114">
        <v>26.31366924106657</v>
      </c>
      <c r="I22" s="114">
        <v>38.613859287554121</v>
      </c>
      <c r="J22" s="114">
        <v>39.483836451179862</v>
      </c>
      <c r="K22" s="114">
        <v>40.485915645067493</v>
      </c>
      <c r="L22" s="114">
        <v>35.013005106425808</v>
      </c>
      <c r="M22" s="114">
        <v>37.20131792557742</v>
      </c>
      <c r="N22" s="114">
        <v>39.389630744729033</v>
      </c>
      <c r="O22" s="114">
        <v>41.577943563880645</v>
      </c>
      <c r="P22" s="114">
        <v>43.766256383032257</v>
      </c>
      <c r="Q22" s="114">
        <v>42.015606127710967</v>
      </c>
      <c r="R22" s="114">
        <v>40.264955872389677</v>
      </c>
      <c r="S22" s="114">
        <v>38.514305617068395</v>
      </c>
      <c r="T22" s="114">
        <v>36.763655361747098</v>
      </c>
      <c r="U22" s="114">
        <v>35.013005106425808</v>
      </c>
      <c r="V22" s="115"/>
      <c r="W22" s="44"/>
      <c r="X22" s="76"/>
      <c r="Y22" s="76"/>
      <c r="Z22" s="76"/>
      <c r="AA22" s="76"/>
      <c r="AB22" s="76"/>
      <c r="AC22" s="76"/>
      <c r="AD22" s="76"/>
      <c r="AE22" s="76"/>
      <c r="AF22" s="76"/>
      <c r="AG22" s="76"/>
      <c r="AH22" s="105"/>
    </row>
    <row r="23" spans="1:34" hidden="1" x14ac:dyDescent="0.35">
      <c r="A23" s="98"/>
      <c r="B23" s="2188"/>
      <c r="C23" s="116"/>
      <c r="D23" s="2189"/>
      <c r="E23" s="111">
        <v>4</v>
      </c>
      <c r="F23" s="112"/>
      <c r="G23" s="114">
        <v>29.328649153787012</v>
      </c>
      <c r="H23" s="114">
        <v>38.470028209818992</v>
      </c>
      <c r="I23" s="114">
        <v>56.045543298550953</v>
      </c>
      <c r="J23" s="114">
        <v>43.586128754134101</v>
      </c>
      <c r="K23" s="114">
        <v>44.16342178095563</v>
      </c>
      <c r="L23" s="114">
        <v>38.290506008071588</v>
      </c>
      <c r="M23" s="114">
        <v>40.683662633576063</v>
      </c>
      <c r="N23" s="114">
        <v>43.076819259080537</v>
      </c>
      <c r="O23" s="114">
        <v>45.469975884585011</v>
      </c>
      <c r="P23" s="114">
        <v>47.863132510089486</v>
      </c>
      <c r="Q23" s="114">
        <v>45.948607209685903</v>
      </c>
      <c r="R23" s="114">
        <v>44.034081909282321</v>
      </c>
      <c r="S23" s="114">
        <v>42.119556608878753</v>
      </c>
      <c r="T23" s="114">
        <v>40.205031308475171</v>
      </c>
      <c r="U23" s="114">
        <v>38.290506008071588</v>
      </c>
      <c r="V23" s="115"/>
      <c r="W23" s="44"/>
      <c r="X23" s="76"/>
      <c r="Y23" s="76"/>
      <c r="Z23" s="76"/>
      <c r="AA23" s="76"/>
      <c r="AB23" s="76"/>
      <c r="AC23" s="76"/>
      <c r="AD23" s="76"/>
      <c r="AE23" s="76"/>
      <c r="AF23" s="76"/>
      <c r="AG23" s="76"/>
      <c r="AH23" s="105"/>
    </row>
    <row r="24" spans="1:34" hidden="1" x14ac:dyDescent="0.35">
      <c r="A24" s="98"/>
      <c r="B24" s="2188"/>
      <c r="C24" s="116"/>
      <c r="D24" s="2187" t="s">
        <v>981</v>
      </c>
      <c r="E24" s="111">
        <v>2</v>
      </c>
      <c r="F24" s="112"/>
      <c r="G24" s="114">
        <v>20.647779408828729</v>
      </c>
      <c r="H24" s="114">
        <v>19.882294192172914</v>
      </c>
      <c r="I24" s="114">
        <v>28.127000480649759</v>
      </c>
      <c r="J24" s="114">
        <v>29.667025350570288</v>
      </c>
      <c r="K24" s="114">
        <v>34.164042046279846</v>
      </c>
      <c r="L24" s="114">
        <v>35.700539240189499</v>
      </c>
      <c r="M24" s="114">
        <v>37.931822942701345</v>
      </c>
      <c r="N24" s="114">
        <v>40.16310664521319</v>
      </c>
      <c r="O24" s="114">
        <v>42.394390347725029</v>
      </c>
      <c r="P24" s="114">
        <v>44.625674050236874</v>
      </c>
      <c r="Q24" s="114">
        <v>42.840647088227399</v>
      </c>
      <c r="R24" s="114">
        <v>41.055620126217924</v>
      </c>
      <c r="S24" s="114">
        <v>39.270593164208449</v>
      </c>
      <c r="T24" s="114">
        <v>37.485566202198974</v>
      </c>
      <c r="U24" s="114">
        <v>35.700539240189499</v>
      </c>
      <c r="V24" s="115"/>
      <c r="W24" s="44"/>
      <c r="X24" s="76"/>
      <c r="Y24" s="76"/>
      <c r="Z24" s="76"/>
      <c r="AA24" s="76"/>
      <c r="AB24" s="76"/>
      <c r="AC24" s="76"/>
      <c r="AD24" s="76"/>
      <c r="AE24" s="76"/>
      <c r="AF24" s="76"/>
      <c r="AG24" s="76"/>
      <c r="AH24" s="105"/>
    </row>
    <row r="25" spans="1:34" hidden="1" x14ac:dyDescent="0.35">
      <c r="A25" s="98"/>
      <c r="B25" s="2188"/>
      <c r="C25" s="116"/>
      <c r="D25" s="2188"/>
      <c r="E25" s="111">
        <v>3</v>
      </c>
      <c r="F25" s="112"/>
      <c r="G25" s="114">
        <v>19.497474691642466</v>
      </c>
      <c r="H25" s="114">
        <v>15.91982181980741</v>
      </c>
      <c r="I25" s="114">
        <v>29.780463884713171</v>
      </c>
      <c r="J25" s="114">
        <v>33.471215369429039</v>
      </c>
      <c r="K25" s="114">
        <v>31.624785063425481</v>
      </c>
      <c r="L25" s="114">
        <v>27.204875750554883</v>
      </c>
      <c r="M25" s="114">
        <v>28.905180484964564</v>
      </c>
      <c r="N25" s="114">
        <v>30.605485219374245</v>
      </c>
      <c r="O25" s="114">
        <v>32.305789953783922</v>
      </c>
      <c r="P25" s="114">
        <v>34.006094688193606</v>
      </c>
      <c r="Q25" s="114">
        <v>32.645850900665856</v>
      </c>
      <c r="R25" s="114">
        <v>31.285607113138113</v>
      </c>
      <c r="S25" s="114">
        <v>29.925363325610373</v>
      </c>
      <c r="T25" s="114">
        <v>28.56511953808263</v>
      </c>
      <c r="U25" s="114">
        <v>27.204875750554883</v>
      </c>
      <c r="V25" s="115"/>
      <c r="W25" s="44"/>
      <c r="X25" s="76"/>
      <c r="Y25" s="76"/>
      <c r="Z25" s="76"/>
      <c r="AA25" s="76"/>
      <c r="AB25" s="76"/>
      <c r="AC25" s="76"/>
      <c r="AD25" s="76"/>
      <c r="AE25" s="76"/>
      <c r="AF25" s="76"/>
      <c r="AG25" s="76"/>
      <c r="AH25" s="105"/>
    </row>
    <row r="26" spans="1:34" hidden="1" x14ac:dyDescent="0.35">
      <c r="A26" s="98"/>
      <c r="B26" s="2189"/>
      <c r="C26" s="116"/>
      <c r="D26" s="2189"/>
      <c r="E26" s="111">
        <v>4</v>
      </c>
      <c r="F26" s="112"/>
      <c r="G26" s="114">
        <v>22.851082559072189</v>
      </c>
      <c r="H26" s="114">
        <v>22.469231217675176</v>
      </c>
      <c r="I26" s="114">
        <v>36.93609490915901</v>
      </c>
      <c r="J26" s="114">
        <v>36.118708677894261</v>
      </c>
      <c r="K26" s="114">
        <v>34.264989328839299</v>
      </c>
      <c r="L26" s="114">
        <v>29.52203675634626</v>
      </c>
      <c r="M26" s="114">
        <v>31.367164053617902</v>
      </c>
      <c r="N26" s="114">
        <v>33.212291350889544</v>
      </c>
      <c r="O26" s="114">
        <v>35.057418648161182</v>
      </c>
      <c r="P26" s="114">
        <v>36.902545945432827</v>
      </c>
      <c r="Q26" s="114">
        <v>35.426444107615509</v>
      </c>
      <c r="R26" s="114">
        <v>33.950342269798199</v>
      </c>
      <c r="S26" s="114">
        <v>32.474240431980888</v>
      </c>
      <c r="T26" s="114">
        <v>30.998138594163574</v>
      </c>
      <c r="U26" s="114">
        <v>29.52203675634626</v>
      </c>
      <c r="V26" s="115"/>
      <c r="W26" s="44"/>
      <c r="X26" s="76"/>
      <c r="Y26" s="76"/>
      <c r="Z26" s="76"/>
      <c r="AA26" s="76"/>
      <c r="AB26" s="76"/>
      <c r="AC26" s="76"/>
      <c r="AD26" s="76"/>
      <c r="AE26" s="76"/>
      <c r="AF26" s="76"/>
      <c r="AG26" s="76"/>
      <c r="AH26" s="105"/>
    </row>
    <row r="27" spans="1:34" hidden="1" x14ac:dyDescent="0.35">
      <c r="A27" s="98"/>
      <c r="B27" s="2187">
        <v>105</v>
      </c>
      <c r="C27" s="116"/>
      <c r="D27" s="2187" t="s">
        <v>980</v>
      </c>
      <c r="E27" s="111">
        <v>2</v>
      </c>
      <c r="F27" s="112"/>
      <c r="G27" s="114">
        <v>33.512414532237393</v>
      </c>
      <c r="H27" s="114">
        <v>26.510743701077367</v>
      </c>
      <c r="I27" s="114">
        <v>22.52450120027526</v>
      </c>
      <c r="J27" s="114">
        <v>38.501853151722415</v>
      </c>
      <c r="K27" s="114">
        <v>26.847123503563878</v>
      </c>
      <c r="L27" s="114">
        <v>23.328019191942893</v>
      </c>
      <c r="M27" s="114">
        <v>24.786020391439322</v>
      </c>
      <c r="N27" s="114">
        <v>26.244021590935755</v>
      </c>
      <c r="O27" s="114">
        <v>27.702022790432185</v>
      </c>
      <c r="P27" s="114">
        <v>29.160023989928618</v>
      </c>
      <c r="Q27" s="114">
        <v>27.99362303033147</v>
      </c>
      <c r="R27" s="114">
        <v>26.827222070734326</v>
      </c>
      <c r="S27" s="114">
        <v>25.660821111137185</v>
      </c>
      <c r="T27" s="114">
        <v>24.494420151540037</v>
      </c>
      <c r="U27" s="114">
        <v>23.328019191942893</v>
      </c>
      <c r="V27" s="115"/>
      <c r="W27" s="44"/>
      <c r="X27" s="76"/>
      <c r="Y27" s="76"/>
      <c r="Z27" s="76"/>
      <c r="AA27" s="76"/>
      <c r="AB27" s="76"/>
      <c r="AC27" s="76"/>
      <c r="AD27" s="76"/>
      <c r="AE27" s="76"/>
      <c r="AF27" s="76"/>
      <c r="AG27" s="76"/>
      <c r="AH27" s="105"/>
    </row>
    <row r="28" spans="1:34" hidden="1" x14ac:dyDescent="0.35">
      <c r="A28" s="98"/>
      <c r="B28" s="2188"/>
      <c r="C28" s="116"/>
      <c r="D28" s="2188"/>
      <c r="E28" s="111">
        <v>3</v>
      </c>
      <c r="F28" s="112"/>
      <c r="G28" s="114">
        <v>32.153387209236371</v>
      </c>
      <c r="H28" s="114">
        <v>24.760315235008321</v>
      </c>
      <c r="I28" s="114">
        <v>26.817096458231827</v>
      </c>
      <c r="J28" s="114">
        <v>39.483836451179862</v>
      </c>
      <c r="K28" s="114">
        <v>40.485915645067493</v>
      </c>
      <c r="L28" s="114">
        <v>35.013005106425808</v>
      </c>
      <c r="M28" s="114">
        <v>37.20131792557742</v>
      </c>
      <c r="N28" s="114">
        <v>39.389630744729033</v>
      </c>
      <c r="O28" s="114">
        <v>41.577943563880645</v>
      </c>
      <c r="P28" s="114">
        <v>43.766256383032257</v>
      </c>
      <c r="Q28" s="114">
        <v>42.015606127710967</v>
      </c>
      <c r="R28" s="114">
        <v>40.264955872389677</v>
      </c>
      <c r="S28" s="114">
        <v>38.514305617068395</v>
      </c>
      <c r="T28" s="114">
        <v>36.763655361747098</v>
      </c>
      <c r="U28" s="114">
        <v>35.013005106425808</v>
      </c>
      <c r="V28" s="115"/>
      <c r="W28" s="44"/>
      <c r="X28" s="76"/>
      <c r="Y28" s="76"/>
      <c r="Z28" s="76"/>
      <c r="AA28" s="76"/>
      <c r="AB28" s="76"/>
      <c r="AC28" s="76"/>
      <c r="AD28" s="76"/>
      <c r="AE28" s="76"/>
      <c r="AF28" s="76"/>
      <c r="AG28" s="76"/>
      <c r="AH28" s="105"/>
    </row>
    <row r="29" spans="1:34" hidden="1" x14ac:dyDescent="0.35">
      <c r="A29" s="98"/>
      <c r="B29" s="2188"/>
      <c r="C29" s="116"/>
      <c r="D29" s="2189"/>
      <c r="E29" s="111">
        <v>4</v>
      </c>
      <c r="F29" s="112"/>
      <c r="G29" s="114">
        <v>45.698104749778238</v>
      </c>
      <c r="H29" s="114">
        <v>26.839169731551905</v>
      </c>
      <c r="I29" s="114">
        <v>31.476674928265169</v>
      </c>
      <c r="J29" s="114">
        <v>43.586128754134101</v>
      </c>
      <c r="K29" s="114">
        <v>44.16342178095563</v>
      </c>
      <c r="L29" s="114">
        <v>38.290506008071588</v>
      </c>
      <c r="M29" s="114">
        <v>40.683662633576063</v>
      </c>
      <c r="N29" s="114">
        <v>43.076819259080537</v>
      </c>
      <c r="O29" s="114">
        <v>45.469975884585011</v>
      </c>
      <c r="P29" s="114">
        <v>47.863132510089486</v>
      </c>
      <c r="Q29" s="114">
        <v>45.948607209685903</v>
      </c>
      <c r="R29" s="114">
        <v>44.034081909282321</v>
      </c>
      <c r="S29" s="114">
        <v>42.119556608878753</v>
      </c>
      <c r="T29" s="114">
        <v>40.205031308475171</v>
      </c>
      <c r="U29" s="114">
        <v>38.290506008071588</v>
      </c>
      <c r="V29" s="115"/>
      <c r="W29" s="44"/>
      <c r="X29" s="76"/>
      <c r="Y29" s="76"/>
      <c r="Z29" s="76"/>
      <c r="AA29" s="76"/>
      <c r="AB29" s="76"/>
      <c r="AC29" s="76"/>
      <c r="AD29" s="76"/>
      <c r="AE29" s="76"/>
      <c r="AF29" s="76"/>
      <c r="AG29" s="76"/>
      <c r="AH29" s="105"/>
    </row>
    <row r="30" spans="1:34" hidden="1" x14ac:dyDescent="0.35">
      <c r="A30" s="98"/>
      <c r="B30" s="2188"/>
      <c r="C30" s="116"/>
      <c r="D30" s="2187" t="s">
        <v>981</v>
      </c>
      <c r="E30" s="111">
        <v>2</v>
      </c>
      <c r="F30" s="112"/>
      <c r="G30" s="114">
        <v>26.65566276877129</v>
      </c>
      <c r="H30" s="114">
        <v>20.823463359648485</v>
      </c>
      <c r="I30" s="114">
        <v>17.359209330055773</v>
      </c>
      <c r="J30" s="114">
        <v>29.667025350570288</v>
      </c>
      <c r="K30" s="114">
        <v>34.164042046279846</v>
      </c>
      <c r="L30" s="114">
        <v>35.700539240189499</v>
      </c>
      <c r="M30" s="114">
        <v>37.931822942701345</v>
      </c>
      <c r="N30" s="114">
        <v>40.16310664521319</v>
      </c>
      <c r="O30" s="114">
        <v>42.394390347725029</v>
      </c>
      <c r="P30" s="114">
        <v>44.625674050236874</v>
      </c>
      <c r="Q30" s="114">
        <v>42.840647088227399</v>
      </c>
      <c r="R30" s="114">
        <v>41.055620126217924</v>
      </c>
      <c r="S30" s="114">
        <v>39.270593164208449</v>
      </c>
      <c r="T30" s="114">
        <v>37.485566202198974</v>
      </c>
      <c r="U30" s="114">
        <v>35.700539240189499</v>
      </c>
      <c r="V30" s="115"/>
      <c r="W30" s="44"/>
      <c r="X30" s="76"/>
      <c r="Y30" s="76"/>
      <c r="Z30" s="76"/>
      <c r="AA30" s="76"/>
      <c r="AB30" s="76"/>
      <c r="AC30" s="76"/>
      <c r="AD30" s="76"/>
      <c r="AE30" s="76"/>
      <c r="AF30" s="76"/>
      <c r="AG30" s="76"/>
      <c r="AH30" s="105"/>
    </row>
    <row r="31" spans="1:34" hidden="1" x14ac:dyDescent="0.35">
      <c r="A31" s="98"/>
      <c r="B31" s="2188"/>
      <c r="C31" s="116"/>
      <c r="D31" s="2188"/>
      <c r="E31" s="111">
        <v>3</v>
      </c>
      <c r="F31" s="112"/>
      <c r="G31" s="114">
        <v>20.975465723904712</v>
      </c>
      <c r="H31" s="114">
        <v>12.879318443327541</v>
      </c>
      <c r="I31" s="114">
        <v>13.810259397486069</v>
      </c>
      <c r="J31" s="114">
        <v>33.471215369429039</v>
      </c>
      <c r="K31" s="114">
        <v>31.624785063425481</v>
      </c>
      <c r="L31" s="114">
        <v>27.204875750554883</v>
      </c>
      <c r="M31" s="114">
        <v>28.905180484964564</v>
      </c>
      <c r="N31" s="114">
        <v>30.605485219374245</v>
      </c>
      <c r="O31" s="114">
        <v>32.305789953783922</v>
      </c>
      <c r="P31" s="114">
        <v>34.006094688193606</v>
      </c>
      <c r="Q31" s="114">
        <v>32.645850900665856</v>
      </c>
      <c r="R31" s="114">
        <v>31.285607113138113</v>
      </c>
      <c r="S31" s="114">
        <v>29.925363325610373</v>
      </c>
      <c r="T31" s="114">
        <v>28.56511953808263</v>
      </c>
      <c r="U31" s="114">
        <v>27.204875750554883</v>
      </c>
      <c r="V31" s="115"/>
      <c r="W31" s="44"/>
      <c r="X31" s="76"/>
      <c r="Y31" s="76"/>
      <c r="Z31" s="76"/>
      <c r="AA31" s="76"/>
      <c r="AB31" s="76"/>
      <c r="AC31" s="76"/>
      <c r="AD31" s="76"/>
      <c r="AE31" s="76"/>
      <c r="AF31" s="76"/>
      <c r="AG31" s="76"/>
      <c r="AH31" s="105"/>
    </row>
    <row r="32" spans="1:34" hidden="1" x14ac:dyDescent="0.35">
      <c r="A32" s="98"/>
      <c r="B32" s="2189"/>
      <c r="C32" s="116"/>
      <c r="D32" s="2189"/>
      <c r="E32" s="111">
        <v>4</v>
      </c>
      <c r="F32" s="112"/>
      <c r="G32" s="114">
        <v>25.412748465353967</v>
      </c>
      <c r="H32" s="114">
        <v>19.087599832748019</v>
      </c>
      <c r="I32" s="114">
        <v>17.795093974510248</v>
      </c>
      <c r="J32" s="114">
        <v>36.118708677894261</v>
      </c>
      <c r="K32" s="114">
        <v>34.264989328839299</v>
      </c>
      <c r="L32" s="114">
        <v>29.52203675634626</v>
      </c>
      <c r="M32" s="114">
        <v>31.367164053617902</v>
      </c>
      <c r="N32" s="114">
        <v>33.212291350889544</v>
      </c>
      <c r="O32" s="114">
        <v>35.057418648161182</v>
      </c>
      <c r="P32" s="114">
        <v>36.902545945432827</v>
      </c>
      <c r="Q32" s="114">
        <v>35.426444107615509</v>
      </c>
      <c r="R32" s="114">
        <v>33.950342269798199</v>
      </c>
      <c r="S32" s="114">
        <v>32.474240431980888</v>
      </c>
      <c r="T32" s="114">
        <v>30.998138594163574</v>
      </c>
      <c r="U32" s="114">
        <v>29.52203675634626</v>
      </c>
      <c r="V32" s="115"/>
      <c r="W32" s="44"/>
      <c r="X32" s="76"/>
      <c r="Y32" s="76"/>
      <c r="Z32" s="76"/>
      <c r="AA32" s="76"/>
      <c r="AB32" s="76"/>
      <c r="AC32" s="76"/>
      <c r="AD32" s="76"/>
      <c r="AE32" s="76"/>
      <c r="AF32" s="76"/>
      <c r="AG32" s="76"/>
      <c r="AH32" s="105"/>
    </row>
    <row r="33" spans="1:34" ht="15" hidden="1" customHeight="1" x14ac:dyDescent="0.35">
      <c r="A33" s="98"/>
      <c r="B33" s="118"/>
      <c r="C33" s="119"/>
      <c r="D33" s="2184"/>
      <c r="E33" s="2185"/>
      <c r="F33" s="119"/>
      <c r="G33" s="120"/>
      <c r="H33" s="121"/>
      <c r="I33" s="121"/>
      <c r="J33" s="121"/>
      <c r="K33" s="121"/>
      <c r="L33" s="121"/>
      <c r="M33" s="121"/>
      <c r="N33" s="121"/>
      <c r="O33" s="121"/>
      <c r="P33" s="121"/>
      <c r="Q33" s="121"/>
      <c r="R33" s="121"/>
      <c r="S33" s="121"/>
      <c r="T33" s="121"/>
      <c r="U33" s="122"/>
      <c r="V33" s="123"/>
      <c r="W33" s="44"/>
      <c r="X33" s="76"/>
      <c r="Y33" s="76"/>
      <c r="Z33" s="76"/>
      <c r="AA33" s="76"/>
      <c r="AB33" s="76"/>
      <c r="AC33" s="76"/>
      <c r="AD33" s="76"/>
      <c r="AE33" s="76"/>
      <c r="AF33" s="76"/>
      <c r="AG33" s="76"/>
      <c r="AH33" s="105"/>
    </row>
    <row r="34" spans="1:34" x14ac:dyDescent="0.35">
      <c r="A34" s="75"/>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4"/>
    </row>
    <row r="35" spans="1:34" hidden="1" x14ac:dyDescent="0.35">
      <c r="A35" s="98"/>
      <c r="B35" s="76"/>
      <c r="D35" s="76"/>
      <c r="E35" s="76"/>
      <c r="G35" s="76"/>
      <c r="H35" s="76"/>
      <c r="I35" s="76"/>
      <c r="J35" s="76"/>
      <c r="K35" s="76"/>
      <c r="L35" s="76"/>
      <c r="M35" s="76"/>
      <c r="N35" s="76"/>
      <c r="O35" s="76"/>
      <c r="P35" s="76"/>
      <c r="Q35" s="76"/>
      <c r="R35" s="76"/>
      <c r="S35" s="76"/>
      <c r="T35" s="76"/>
      <c r="U35" s="76"/>
      <c r="V35" s="76"/>
      <c r="W35" s="44"/>
      <c r="X35" s="44"/>
      <c r="Y35" s="44"/>
      <c r="Z35" s="44"/>
      <c r="AA35" s="44"/>
      <c r="AB35" s="44"/>
      <c r="AC35" s="44"/>
      <c r="AD35" s="44"/>
      <c r="AE35" s="44"/>
      <c r="AF35" s="44"/>
      <c r="AG35" s="44"/>
      <c r="AH35" s="44"/>
    </row>
    <row r="36" spans="1:34" hidden="1" x14ac:dyDescent="0.35">
      <c r="A36" s="75"/>
      <c r="B36" s="73"/>
      <c r="D36" s="73"/>
      <c r="E36" s="73"/>
      <c r="G36" s="73"/>
      <c r="H36" s="73"/>
      <c r="I36" s="73"/>
      <c r="J36" s="73"/>
      <c r="K36" s="73"/>
      <c r="L36" s="73"/>
      <c r="M36" s="73"/>
      <c r="N36" s="73"/>
      <c r="O36" s="73"/>
      <c r="P36" s="73"/>
      <c r="Q36" s="73"/>
      <c r="R36" s="73"/>
      <c r="S36" s="73"/>
      <c r="T36" s="73"/>
      <c r="U36" s="73"/>
      <c r="V36" s="73"/>
      <c r="W36" s="44"/>
      <c r="X36" s="44"/>
      <c r="Y36" s="44"/>
      <c r="Z36" s="44"/>
      <c r="AA36" s="44"/>
      <c r="AB36" s="44"/>
      <c r="AC36" s="44"/>
      <c r="AD36" s="44"/>
      <c r="AE36" s="44"/>
      <c r="AF36" s="44"/>
      <c r="AG36" s="44"/>
      <c r="AH36" s="44"/>
    </row>
    <row r="37" spans="1:34" hidden="1" x14ac:dyDescent="0.35">
      <c r="A37" s="44"/>
      <c r="R37" s="44"/>
      <c r="S37" s="44"/>
      <c r="T37" s="44"/>
      <c r="U37" s="44"/>
      <c r="V37" s="44"/>
      <c r="W37" s="44"/>
      <c r="X37" s="44"/>
      <c r="Y37" s="44"/>
      <c r="Z37" s="44"/>
      <c r="AA37" s="44"/>
      <c r="AB37" s="44"/>
      <c r="AC37" s="44"/>
      <c r="AD37" s="44"/>
      <c r="AE37" s="44"/>
      <c r="AF37" s="44"/>
      <c r="AG37" s="44"/>
      <c r="AH37" s="44"/>
    </row>
    <row r="38" spans="1:34" hidden="1" x14ac:dyDescent="0.35">
      <c r="A38" s="44"/>
      <c r="R38" s="44"/>
      <c r="S38" s="44"/>
      <c r="T38" s="44"/>
      <c r="U38" s="44"/>
      <c r="V38" s="44"/>
      <c r="W38" s="44"/>
      <c r="X38" s="44"/>
      <c r="Y38" s="44"/>
      <c r="Z38" s="44"/>
      <c r="AA38" s="44"/>
      <c r="AB38" s="44"/>
      <c r="AC38" s="44"/>
      <c r="AD38" s="44"/>
      <c r="AE38" s="44"/>
      <c r="AF38" s="44"/>
      <c r="AG38" s="44"/>
      <c r="AH38" s="44"/>
    </row>
    <row r="39" spans="1:34" hidden="1" x14ac:dyDescent="0.35">
      <c r="A39" s="44"/>
      <c r="R39" s="44"/>
      <c r="S39" s="44"/>
      <c r="T39" s="44"/>
      <c r="U39" s="44"/>
      <c r="V39" s="44"/>
      <c r="W39" s="44"/>
      <c r="X39" s="44"/>
      <c r="Y39" s="44"/>
      <c r="Z39" s="44"/>
      <c r="AA39" s="44"/>
      <c r="AB39" s="44"/>
      <c r="AC39" s="44"/>
      <c r="AD39" s="44"/>
      <c r="AE39" s="44"/>
      <c r="AF39" s="44"/>
      <c r="AG39" s="44"/>
      <c r="AH39" s="44"/>
    </row>
    <row r="40" spans="1:34" hidden="1" x14ac:dyDescent="0.35">
      <c r="A40" s="44"/>
      <c r="R40" s="44"/>
      <c r="S40" s="44"/>
      <c r="T40" s="44"/>
      <c r="U40" s="44"/>
      <c r="V40" s="44"/>
      <c r="W40" s="44"/>
      <c r="X40" s="44"/>
      <c r="Y40" s="44"/>
      <c r="Z40" s="44"/>
      <c r="AA40" s="44"/>
      <c r="AB40" s="44"/>
      <c r="AC40" s="44"/>
      <c r="AD40" s="44"/>
      <c r="AE40" s="44"/>
      <c r="AF40" s="44"/>
      <c r="AG40" s="44"/>
      <c r="AH40" s="44"/>
    </row>
    <row r="41" spans="1:34" hidden="1" x14ac:dyDescent="0.35">
      <c r="A41" s="44"/>
      <c r="R41" s="44"/>
      <c r="S41" s="44"/>
      <c r="T41" s="44"/>
      <c r="U41" s="44"/>
      <c r="V41" s="44"/>
      <c r="W41" s="44"/>
      <c r="X41" s="44"/>
      <c r="Y41" s="44"/>
      <c r="Z41" s="44"/>
      <c r="AA41" s="44"/>
      <c r="AB41" s="44"/>
      <c r="AC41" s="44"/>
      <c r="AD41" s="44"/>
      <c r="AE41" s="44"/>
      <c r="AF41" s="44"/>
      <c r="AG41" s="44"/>
      <c r="AH41" s="44"/>
    </row>
    <row r="42" spans="1:34" hidden="1" x14ac:dyDescent="0.35">
      <c r="A42" s="44"/>
      <c r="R42" s="44"/>
      <c r="S42" s="44"/>
      <c r="T42" s="44"/>
      <c r="U42" s="44"/>
      <c r="V42" s="44"/>
      <c r="W42" s="44"/>
      <c r="X42" s="44"/>
      <c r="Y42" s="44"/>
      <c r="Z42" s="44"/>
      <c r="AA42" s="44"/>
      <c r="AB42" s="44"/>
      <c r="AC42" s="44"/>
      <c r="AD42" s="44"/>
      <c r="AE42" s="44"/>
      <c r="AF42" s="44"/>
      <c r="AG42" s="44"/>
      <c r="AH42" s="44"/>
    </row>
    <row r="43" spans="1:34" hidden="1" x14ac:dyDescent="0.35">
      <c r="A43" s="44"/>
      <c r="R43" s="44"/>
      <c r="S43" s="44"/>
      <c r="T43" s="44"/>
      <c r="U43" s="44"/>
      <c r="V43" s="44"/>
      <c r="W43" s="44"/>
      <c r="X43" s="44"/>
      <c r="Y43" s="44"/>
      <c r="Z43" s="44"/>
      <c r="AA43" s="44"/>
      <c r="AB43" s="44"/>
      <c r="AC43" s="44"/>
      <c r="AD43" s="44"/>
      <c r="AE43" s="44"/>
      <c r="AF43" s="44"/>
      <c r="AG43" s="44"/>
      <c r="AH43" s="44"/>
    </row>
    <row r="44" spans="1:34" hidden="1" x14ac:dyDescent="0.35">
      <c r="A44" s="44"/>
      <c r="R44" s="44"/>
      <c r="S44" s="44"/>
      <c r="T44" s="44"/>
      <c r="U44" s="44"/>
      <c r="V44" s="44"/>
      <c r="W44" s="44"/>
      <c r="X44" s="44"/>
      <c r="Y44" s="44"/>
      <c r="Z44" s="44"/>
      <c r="AA44" s="44"/>
      <c r="AB44" s="44"/>
      <c r="AC44" s="44"/>
      <c r="AD44" s="44"/>
      <c r="AE44" s="44"/>
      <c r="AF44" s="44"/>
      <c r="AG44" s="44"/>
      <c r="AH44" s="44"/>
    </row>
    <row r="45" spans="1:34" hidden="1" x14ac:dyDescent="0.35">
      <c r="A45" s="44"/>
      <c r="R45" s="44"/>
      <c r="S45" s="44"/>
      <c r="T45" s="44"/>
      <c r="U45" s="44"/>
      <c r="V45" s="44"/>
      <c r="W45" s="44"/>
      <c r="X45" s="44"/>
      <c r="Y45" s="44"/>
      <c r="Z45" s="44"/>
      <c r="AA45" s="44"/>
      <c r="AB45" s="44"/>
      <c r="AC45" s="44"/>
      <c r="AD45" s="44"/>
      <c r="AE45" s="44"/>
      <c r="AF45" s="44"/>
      <c r="AG45" s="44"/>
      <c r="AH45" s="44"/>
    </row>
    <row r="46" spans="1:34" hidden="1" x14ac:dyDescent="0.35">
      <c r="A46" s="44"/>
      <c r="R46" s="44"/>
      <c r="S46" s="44"/>
      <c r="T46" s="44"/>
      <c r="U46" s="44"/>
      <c r="V46" s="44"/>
      <c r="W46" s="44"/>
      <c r="X46" s="44"/>
      <c r="Y46" s="44"/>
      <c r="Z46" s="44"/>
      <c r="AA46" s="44"/>
      <c r="AB46" s="44"/>
      <c r="AC46" s="44"/>
      <c r="AD46" s="44"/>
      <c r="AE46" s="44"/>
      <c r="AF46" s="44"/>
      <c r="AG46" s="44"/>
      <c r="AH46" s="44"/>
    </row>
    <row r="47" spans="1:34" hidden="1" x14ac:dyDescent="0.35"/>
  </sheetData>
  <sheetProtection password="813F" sheet="1" objects="1" scenarios="1" selectLockedCells="1" selectUnlockedCells="1"/>
  <customSheetViews>
    <customSheetView guid="{51165254-F18A-4CD1-9981-8F2DE14CC76C}" hiddenRows="1" hiddenColumns="1" state="hidden" showRuler="0">
      <selection activeCell="N16" sqref="N16"/>
      <pageMargins left="0.75" right="0.75" top="1" bottom="1" header="0.5" footer="0.5"/>
      <pageSetup paperSize="9" scale="76" orientation="landscape" r:id="rId1"/>
      <headerFooter alignWithMargins="0"/>
    </customSheetView>
  </customSheetViews>
  <mergeCells count="18">
    <mergeCell ref="B27:B32"/>
    <mergeCell ref="D27:D29"/>
    <mergeCell ref="D30:D32"/>
    <mergeCell ref="B16:B20"/>
    <mergeCell ref="X3:AH3"/>
    <mergeCell ref="B21:B26"/>
    <mergeCell ref="A3:W3"/>
    <mergeCell ref="B8:B10"/>
    <mergeCell ref="B12:B15"/>
    <mergeCell ref="D33:E33"/>
    <mergeCell ref="G5:U5"/>
    <mergeCell ref="D24:D26"/>
    <mergeCell ref="D5:E5"/>
    <mergeCell ref="D12:D14"/>
    <mergeCell ref="D8:D9"/>
    <mergeCell ref="D16:D18"/>
    <mergeCell ref="D19:D20"/>
    <mergeCell ref="D21:D23"/>
  </mergeCells>
  <phoneticPr fontId="11" type="noConversion"/>
  <pageMargins left="0.75" right="0.75" top="1" bottom="1" header="0.5" footer="0.5"/>
  <pageSetup paperSize="9" scale="76" orientation="landscape" r:id="rId2"/>
  <headerFooter alignWithMargins="0"/>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7">
    <pageSetUpPr fitToPage="1"/>
  </sheetPr>
  <dimension ref="A1:IU47"/>
  <sheetViews>
    <sheetView workbookViewId="0">
      <selection activeCell="A4" sqref="A4:IV15"/>
    </sheetView>
  </sheetViews>
  <sheetFormatPr baseColWidth="10" defaultColWidth="0" defaultRowHeight="14.4" zeroHeight="1" x14ac:dyDescent="0.35"/>
  <cols>
    <col min="1" max="1" width="2.6640625" style="45" customWidth="1"/>
    <col min="2" max="2" width="5.33203125" style="45" bestFit="1" customWidth="1"/>
    <col min="3" max="3" width="2.6640625" style="76" customWidth="1"/>
    <col min="4" max="4" width="7.44140625" style="45" bestFit="1" customWidth="1"/>
    <col min="5" max="5" width="8.109375" style="45" customWidth="1"/>
    <col min="6" max="6" width="9.109375" style="76" customWidth="1"/>
    <col min="7" max="21" width="8.77734375" style="45" customWidth="1"/>
    <col min="22" max="22" width="7.33203125" style="45" customWidth="1"/>
    <col min="23" max="23" width="5.109375" style="45" customWidth="1"/>
    <col min="24" max="32" width="5.109375" style="45" hidden="1" customWidth="1"/>
    <col min="33" max="33" width="8.6640625" style="45" hidden="1" customWidth="1"/>
    <col min="34" max="34" width="2" style="45" hidden="1" customWidth="1"/>
    <col min="35" max="255" width="9.109375" style="45" hidden="1" customWidth="1"/>
    <col min="256" max="16384" width="0" style="45" hidden="1"/>
  </cols>
  <sheetData>
    <row r="1" spans="1:34" x14ac:dyDescent="0.35">
      <c r="A1" s="99"/>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100"/>
    </row>
    <row r="2" spans="1:34" ht="37.5" customHeight="1" x14ac:dyDescent="0.35">
      <c r="A2" s="75"/>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4"/>
    </row>
    <row r="3" spans="1:34" ht="28.8" x14ac:dyDescent="0.55000000000000004">
      <c r="A3" s="2178" t="s">
        <v>991</v>
      </c>
      <c r="B3" s="2178"/>
      <c r="C3" s="2178"/>
      <c r="D3" s="2178"/>
      <c r="E3" s="2178"/>
      <c r="F3" s="2178"/>
      <c r="G3" s="2178"/>
      <c r="H3" s="2178"/>
      <c r="I3" s="2178"/>
      <c r="J3" s="2178"/>
      <c r="K3" s="2178"/>
      <c r="L3" s="2178"/>
      <c r="M3" s="2178"/>
      <c r="N3" s="2178"/>
      <c r="O3" s="2178"/>
      <c r="P3" s="2178"/>
      <c r="Q3" s="2178"/>
      <c r="R3" s="2178"/>
      <c r="S3" s="2178"/>
      <c r="T3" s="2178"/>
      <c r="U3" s="2178"/>
      <c r="V3" s="2178"/>
      <c r="W3" s="2178"/>
      <c r="X3" s="2178"/>
      <c r="Y3" s="2178"/>
      <c r="Z3" s="2178"/>
      <c r="AA3" s="2178"/>
      <c r="AB3" s="2178"/>
      <c r="AC3" s="2178"/>
      <c r="AD3" s="2178"/>
      <c r="AE3" s="2178"/>
      <c r="AF3" s="2178"/>
      <c r="AG3" s="2178"/>
      <c r="AH3" s="2178"/>
    </row>
    <row r="4" spans="1:34" ht="15" customHeight="1" x14ac:dyDescent="0.35">
      <c r="A4" s="98"/>
      <c r="B4" s="76"/>
      <c r="D4" s="76"/>
      <c r="E4" s="76"/>
      <c r="G4" s="76"/>
      <c r="H4" s="76"/>
      <c r="I4" s="76"/>
      <c r="J4" s="76"/>
      <c r="K4" s="76"/>
      <c r="L4" s="76"/>
      <c r="M4" s="76"/>
      <c r="N4" s="76"/>
      <c r="O4" s="76"/>
      <c r="P4" s="76"/>
      <c r="Q4" s="76"/>
      <c r="R4" s="76"/>
      <c r="S4" s="76"/>
      <c r="T4" s="76"/>
      <c r="U4" s="76"/>
      <c r="V4" s="76"/>
      <c r="W4" s="77"/>
      <c r="X4" s="77"/>
      <c r="Y4" s="77"/>
      <c r="Z4" s="77"/>
      <c r="AA4" s="77"/>
      <c r="AB4" s="77"/>
      <c r="AC4" s="77"/>
      <c r="AD4" s="77"/>
      <c r="AE4" s="77"/>
      <c r="AF4" s="77"/>
      <c r="AG4" s="77"/>
      <c r="AH4" s="100"/>
    </row>
    <row r="5" spans="1:34" hidden="1" x14ac:dyDescent="0.35">
      <c r="A5" s="98"/>
      <c r="B5" s="101" t="s">
        <v>1069</v>
      </c>
      <c r="C5" s="102"/>
      <c r="D5" s="103"/>
      <c r="E5" s="2186" t="s">
        <v>992</v>
      </c>
      <c r="F5" s="2085"/>
      <c r="G5" s="2085"/>
      <c r="H5" s="2085"/>
      <c r="I5" s="2085"/>
      <c r="J5" s="2085"/>
      <c r="K5" s="2085"/>
      <c r="L5" s="2085"/>
      <c r="M5" s="2085"/>
      <c r="N5" s="2085"/>
      <c r="O5" s="2085"/>
      <c r="P5" s="2085"/>
      <c r="Q5" s="2085"/>
      <c r="R5" s="2085"/>
      <c r="S5" s="2085"/>
      <c r="T5" s="104"/>
      <c r="U5" s="76"/>
      <c r="V5" s="76"/>
      <c r="W5" s="76"/>
      <c r="X5" s="76"/>
      <c r="Y5" s="76"/>
      <c r="Z5" s="76"/>
      <c r="AA5" s="76"/>
      <c r="AB5" s="76"/>
      <c r="AC5" s="76"/>
      <c r="AD5" s="76"/>
      <c r="AE5" s="76"/>
      <c r="AF5" s="105"/>
    </row>
    <row r="6" spans="1:34" hidden="1" x14ac:dyDescent="0.35">
      <c r="A6" s="98"/>
      <c r="B6" s="106" t="s">
        <v>962</v>
      </c>
      <c r="C6" s="102"/>
      <c r="D6" s="102"/>
      <c r="E6" s="1264" t="s">
        <v>965</v>
      </c>
      <c r="F6" s="1264" t="s">
        <v>966</v>
      </c>
      <c r="G6" s="1264" t="s">
        <v>967</v>
      </c>
      <c r="H6" s="1264" t="s">
        <v>968</v>
      </c>
      <c r="I6" s="1264" t="s">
        <v>969</v>
      </c>
      <c r="J6" s="1264" t="s">
        <v>970</v>
      </c>
      <c r="K6" s="1264" t="s">
        <v>971</v>
      </c>
      <c r="L6" s="1264" t="s">
        <v>972</v>
      </c>
      <c r="M6" s="1264" t="s">
        <v>973</v>
      </c>
      <c r="N6" s="1264" t="s">
        <v>974</v>
      </c>
      <c r="O6" s="1264" t="s">
        <v>975</v>
      </c>
      <c r="P6" s="1264" t="s">
        <v>976</v>
      </c>
      <c r="Q6" s="1264" t="s">
        <v>977</v>
      </c>
      <c r="R6" s="1264" t="s">
        <v>978</v>
      </c>
      <c r="S6" s="1264" t="s">
        <v>979</v>
      </c>
      <c r="T6" s="1264" t="s">
        <v>523</v>
      </c>
      <c r="U6" s="44"/>
      <c r="V6" s="76"/>
      <c r="W6" s="76"/>
      <c r="X6" s="76"/>
      <c r="Y6" s="76"/>
      <c r="Z6" s="76"/>
      <c r="AA6" s="76"/>
      <c r="AB6" s="76"/>
      <c r="AC6" s="76"/>
      <c r="AD6" s="76"/>
      <c r="AE6" s="76"/>
      <c r="AF6" s="105"/>
    </row>
    <row r="7" spans="1:34" hidden="1" x14ac:dyDescent="0.35">
      <c r="A7" s="98"/>
      <c r="B7" s="111">
        <v>45</v>
      </c>
      <c r="C7" s="112"/>
      <c r="D7" s="112"/>
      <c r="E7" s="114">
        <f>AVERAGE('DAF Labour CPV'!G7)</f>
        <v>15.238311587989163</v>
      </c>
      <c r="F7" s="114">
        <f>AVERAGE('DAF Labour CPV'!H7)</f>
        <v>14.968145844987411</v>
      </c>
      <c r="G7" s="114">
        <f>AVERAGE('DAF Labour CPV'!I7)</f>
        <v>20.847961520118179</v>
      </c>
      <c r="H7" s="114">
        <f>AVERAGE('DAF Labour CPV'!J7)</f>
        <v>21.561288438656774</v>
      </c>
      <c r="I7" s="114">
        <f>AVERAGE('DAF Labour CPV'!K7)</f>
        <v>22.103424324944687</v>
      </c>
      <c r="J7" s="114">
        <f>AVERAGE('DAF Labour CPV'!L7)</f>
        <v>19.444019770793808</v>
      </c>
      <c r="K7" s="114">
        <f>AVERAGE('DAF Labour CPV'!M7)</f>
        <v>20.659271006468423</v>
      </c>
      <c r="L7" s="114">
        <f>AVERAGE('DAF Labour CPV'!N7)</f>
        <v>21.874522242143033</v>
      </c>
      <c r="M7" s="114">
        <f>AVERAGE('DAF Labour CPV'!O7)</f>
        <v>23.089773477817648</v>
      </c>
      <c r="N7" s="114">
        <f>AVERAGE('DAF Labour CPV'!P7)</f>
        <v>24.305024713492259</v>
      </c>
      <c r="O7" s="114">
        <f>AVERAGE('DAF Labour CPV'!Q7)</f>
        <v>23.332823724952569</v>
      </c>
      <c r="P7" s="114">
        <f>AVERAGE('DAF Labour CPV'!R7)</f>
        <v>22.360622736412878</v>
      </c>
      <c r="Q7" s="114">
        <f>AVERAGE('DAF Labour CPV'!S7)</f>
        <v>21.388421747873192</v>
      </c>
      <c r="R7" s="114">
        <f>AVERAGE('DAF Labour CPV'!T7)</f>
        <v>20.416220759333498</v>
      </c>
      <c r="S7" s="114">
        <f>AVERAGE('DAF Labour CPV'!U7)</f>
        <v>19.444019770793808</v>
      </c>
      <c r="T7" s="1263">
        <f>AVERAGE(E7:S7)</f>
        <v>20.735590111118487</v>
      </c>
      <c r="U7" s="44"/>
      <c r="V7" s="76"/>
      <c r="W7" s="76"/>
      <c r="X7" s="76"/>
      <c r="Y7" s="76"/>
      <c r="Z7" s="76"/>
      <c r="AA7" s="76"/>
      <c r="AB7" s="76"/>
      <c r="AC7" s="76"/>
      <c r="AD7" s="76"/>
      <c r="AE7" s="76"/>
      <c r="AF7" s="105"/>
    </row>
    <row r="8" spans="1:34" hidden="1" x14ac:dyDescent="0.35">
      <c r="A8" s="98"/>
      <c r="B8" s="1041">
        <v>55</v>
      </c>
      <c r="C8" s="116"/>
      <c r="D8" s="112"/>
      <c r="E8" s="114">
        <f>AVERAGE('DAF Labour CPV'!G8:G10)</f>
        <v>16.998608739429134</v>
      </c>
      <c r="F8" s="114">
        <f>AVERAGE('DAF Labour CPV'!H8:H10)</f>
        <v>12.056137008857528</v>
      </c>
      <c r="G8" s="114">
        <f>AVERAGE('DAF Labour CPV'!I8:I10)</f>
        <v>17.699699668080854</v>
      </c>
      <c r="H8" s="114">
        <f>AVERAGE('DAF Labour CPV'!J8:J10)</f>
        <v>20.080643964305043</v>
      </c>
      <c r="I8" s="114">
        <f>AVERAGE('DAF Labour CPV'!K8:K10)</f>
        <v>23.003544771828143</v>
      </c>
      <c r="J8" s="114">
        <f>AVERAGE('DAF Labour CPV'!L8:L10)</f>
        <v>25.656365736898181</v>
      </c>
      <c r="K8" s="114">
        <f>AVERAGE('DAF Labour CPV'!M8:M10)</f>
        <v>27.259888595454317</v>
      </c>
      <c r="L8" s="114">
        <f>AVERAGE('DAF Labour CPV'!N8:N10)</f>
        <v>28.863411454010457</v>
      </c>
      <c r="M8" s="114">
        <f>AVERAGE('DAF Labour CPV'!O8:O10)</f>
        <v>30.466934312566593</v>
      </c>
      <c r="N8" s="114">
        <f>AVERAGE('DAF Labour CPV'!P8:P10)</f>
        <v>32.070457171122733</v>
      </c>
      <c r="O8" s="114">
        <f>AVERAGE('DAF Labour CPV'!Q8:Q10)</f>
        <v>30.787638884277822</v>
      </c>
      <c r="P8" s="114">
        <f>AVERAGE('DAF Labour CPV'!R8:R10)</f>
        <v>29.504820597432911</v>
      </c>
      <c r="Q8" s="114">
        <f>AVERAGE('DAF Labour CPV'!S8:S10)</f>
        <v>28.222002310588007</v>
      </c>
      <c r="R8" s="114">
        <f>AVERAGE('DAF Labour CPV'!T8:T10)</f>
        <v>26.939184023743092</v>
      </c>
      <c r="S8" s="114">
        <f>AVERAGE('DAF Labour CPV'!U8:U10)</f>
        <v>25.656365736898181</v>
      </c>
      <c r="T8" s="1263">
        <f t="shared" ref="T8:T13" si="0">AVERAGE(E8:S8)</f>
        <v>25.017713531699535</v>
      </c>
      <c r="U8" s="44"/>
      <c r="V8" s="76"/>
      <c r="W8" s="76"/>
      <c r="X8" s="76"/>
      <c r="Y8" s="76"/>
      <c r="Z8" s="76"/>
      <c r="AA8" s="76"/>
      <c r="AB8" s="76"/>
      <c r="AC8" s="76"/>
      <c r="AD8" s="76"/>
      <c r="AE8" s="76"/>
      <c r="AF8" s="105"/>
    </row>
    <row r="9" spans="1:34" hidden="1" x14ac:dyDescent="0.35">
      <c r="A9" s="98"/>
      <c r="B9" s="117">
        <v>65</v>
      </c>
      <c r="C9" s="112"/>
      <c r="D9" s="112"/>
      <c r="E9" s="114">
        <f>AVERAGE('DAF Labour CPV'!G11)</f>
        <v>14.319528245773435</v>
      </c>
      <c r="F9" s="114">
        <f>AVERAGE('DAF Labour CPV'!H11)</f>
        <v>10.311800658351183</v>
      </c>
      <c r="G9" s="114">
        <f>AVERAGE('DAF Labour CPV'!I11)</f>
        <v>17.013707984276177</v>
      </c>
      <c r="H9" s="114">
        <f>AVERAGE('DAF Labour CPV'!J11)</f>
        <v>19.447234419144326</v>
      </c>
      <c r="I9" s="114">
        <f>AVERAGE('DAF Labour CPV'!K11)</f>
        <v>22.481838513951846</v>
      </c>
      <c r="J9" s="114">
        <f>AVERAGE('DAF Labour CPV'!L11)</f>
        <v>25.941887550396405</v>
      </c>
      <c r="K9" s="114">
        <f>AVERAGE('DAF Labour CPV'!M11)</f>
        <v>27.563255522296181</v>
      </c>
      <c r="L9" s="114">
        <f>AVERAGE('DAF Labour CPV'!N11)</f>
        <v>29.184623494195957</v>
      </c>
      <c r="M9" s="114">
        <f>AVERAGE('DAF Labour CPV'!O11)</f>
        <v>30.80599146609573</v>
      </c>
      <c r="N9" s="114">
        <f>AVERAGE('DAF Labour CPV'!P11)</f>
        <v>32.427359437995506</v>
      </c>
      <c r="O9" s="114">
        <f>AVERAGE('DAF Labour CPV'!Q11)</f>
        <v>31.130265060475686</v>
      </c>
      <c r="P9" s="114">
        <f>AVERAGE('DAF Labour CPV'!R11)</f>
        <v>29.833170682955863</v>
      </c>
      <c r="Q9" s="114">
        <f>AVERAGE('DAF Labour CPV'!S11)</f>
        <v>28.536076305436048</v>
      </c>
      <c r="R9" s="114">
        <f>AVERAGE('DAF Labour CPV'!T11)</f>
        <v>27.238981927916228</v>
      </c>
      <c r="S9" s="114">
        <f>AVERAGE('DAF Labour CPV'!U11)</f>
        <v>25.941887550396405</v>
      </c>
      <c r="T9" s="1263">
        <f t="shared" si="0"/>
        <v>24.811840587977134</v>
      </c>
      <c r="U9" s="44"/>
      <c r="V9" s="76"/>
      <c r="W9" s="76"/>
      <c r="X9" s="76"/>
      <c r="Y9" s="76"/>
      <c r="Z9" s="76"/>
      <c r="AA9" s="76"/>
      <c r="AB9" s="76"/>
      <c r="AC9" s="76"/>
      <c r="AD9" s="76"/>
      <c r="AE9" s="76"/>
      <c r="AF9" s="105"/>
    </row>
    <row r="10" spans="1:34" hidden="1" x14ac:dyDescent="0.35">
      <c r="A10" s="98"/>
      <c r="B10" s="1041">
        <v>75</v>
      </c>
      <c r="C10" s="116"/>
      <c r="D10" s="112"/>
      <c r="E10" s="114">
        <f>AVERAGE('DAF Labour CPV'!G12:G13,'DAF Labour CPV'!G15)</f>
        <v>17.670167166933428</v>
      </c>
      <c r="F10" s="114">
        <f>AVERAGE('DAF Labour CPV'!H12:H13,'DAF Labour CPV'!H15)</f>
        <v>13.463758017459872</v>
      </c>
      <c r="G10" s="114">
        <f>AVERAGE('DAF Labour CPV'!I12:I13,'DAF Labour CPV'!I15)</f>
        <v>21.372054437626179</v>
      </c>
      <c r="H10" s="114">
        <f>AVERAGE('DAF Labour CPV'!J12:J13,'DAF Labour CPV'!J15)</f>
        <v>25.115064604594846</v>
      </c>
      <c r="I10" s="114">
        <f>AVERAGE('DAF Labour CPV'!K12:K13,'DAF Labour CPV'!K15)</f>
        <v>31.006327356322718</v>
      </c>
      <c r="J10" s="114">
        <f>AVERAGE('DAF Labour CPV'!L12:L13,'DAF Labour CPV'!L15)</f>
        <v>31.076687284541645</v>
      </c>
      <c r="K10" s="114">
        <f>AVERAGE('DAF Labour CPV'!M12:M13,'DAF Labour CPV'!M15)</f>
        <v>33.018980239825495</v>
      </c>
      <c r="L10" s="114">
        <f>AVERAGE('DAF Labour CPV'!N12:N13,'DAF Labour CPV'!N15)</f>
        <v>34.961273195109349</v>
      </c>
      <c r="M10" s="114">
        <f>AVERAGE('DAF Labour CPV'!O12:O13,'DAF Labour CPV'!O15)</f>
        <v>36.903566150393203</v>
      </c>
      <c r="N10" s="114">
        <f>AVERAGE('DAF Labour CPV'!P12:P13,'DAF Labour CPV'!P15)</f>
        <v>38.845859105677057</v>
      </c>
      <c r="O10" s="114">
        <f>AVERAGE('DAF Labour CPV'!Q12:Q13,'DAF Labour CPV'!Q15)</f>
        <v>37.292024741449971</v>
      </c>
      <c r="P10" s="114">
        <f>AVERAGE('DAF Labour CPV'!R12:R13,'DAF Labour CPV'!R15)</f>
        <v>35.738190377222885</v>
      </c>
      <c r="Q10" s="114">
        <f>AVERAGE('DAF Labour CPV'!S12:S13,'DAF Labour CPV'!S15)</f>
        <v>34.184356012995814</v>
      </c>
      <c r="R10" s="114">
        <f>AVERAGE('DAF Labour CPV'!T12:T13,'DAF Labour CPV'!T15)</f>
        <v>32.630521648768728</v>
      </c>
      <c r="S10" s="114">
        <f>AVERAGE('DAF Labour CPV'!U12:U13,'DAF Labour CPV'!U15)</f>
        <v>31.076687284541645</v>
      </c>
      <c r="T10" s="1263">
        <f t="shared" si="0"/>
        <v>30.290367841564191</v>
      </c>
      <c r="U10" s="44"/>
      <c r="V10" s="76"/>
      <c r="W10" s="76"/>
      <c r="X10" s="76"/>
      <c r="Y10" s="76"/>
      <c r="Z10" s="76"/>
      <c r="AA10" s="76"/>
      <c r="AB10" s="76"/>
      <c r="AC10" s="76"/>
      <c r="AD10" s="76"/>
      <c r="AE10" s="76"/>
      <c r="AF10" s="105"/>
    </row>
    <row r="11" spans="1:34" hidden="1" x14ac:dyDescent="0.35">
      <c r="A11" s="98"/>
      <c r="B11" s="1041">
        <v>85</v>
      </c>
      <c r="C11" s="116"/>
      <c r="D11" s="112"/>
      <c r="E11" s="114">
        <f>AVERAGE('DAF Labour CPV'!G16:G17,'DAF Labour CPV'!G19:G20)</f>
        <v>20.201625903318618</v>
      </c>
      <c r="F11" s="114">
        <f>AVERAGE('DAF Labour CPV'!H16:H17,'DAF Labour CPV'!H19:H20)</f>
        <v>25.467602901391466</v>
      </c>
      <c r="G11" s="114">
        <f>AVERAGE('DAF Labour CPV'!I16:I17,'DAF Labour CPV'!I19:I20)</f>
        <v>30.408083522921007</v>
      </c>
      <c r="H11" s="114">
        <f>AVERAGE('DAF Labour CPV'!J16:J17,'DAF Labour CPV'!J19:J20)</f>
        <v>31.17163009761309</v>
      </c>
      <c r="I11" s="114">
        <f>AVERAGE('DAF Labour CPV'!K16:K17,'DAF Labour CPV'!K19:K20)</f>
        <v>35.989898845497905</v>
      </c>
      <c r="J11" s="114">
        <f>AVERAGE('DAF Labour CPV'!L16:L17,'DAF Labour CPV'!L19:L20)</f>
        <v>39.426766862791595</v>
      </c>
      <c r="K11" s="114">
        <f>AVERAGE('DAF Labour CPV'!M16:M17,'DAF Labour CPV'!M19:M20)</f>
        <v>41.890939791716065</v>
      </c>
      <c r="L11" s="114">
        <f>AVERAGE('DAF Labour CPV'!N16:N17,'DAF Labour CPV'!N19:N20)</f>
        <v>44.355112720640541</v>
      </c>
      <c r="M11" s="114">
        <f>AVERAGE('DAF Labour CPV'!O16:O17,'DAF Labour CPV'!O19:O20)</f>
        <v>46.819285649565018</v>
      </c>
      <c r="N11" s="114">
        <f>AVERAGE('DAF Labour CPV'!P16:P17,'DAF Labour CPV'!P19:P20)</f>
        <v>49.283458578489487</v>
      </c>
      <c r="O11" s="114">
        <f>AVERAGE('DAF Labour CPV'!Q16:Q17,'DAF Labour CPV'!Q19:Q20)</f>
        <v>47.312120235349909</v>
      </c>
      <c r="P11" s="114">
        <f>AVERAGE('DAF Labour CPV'!R16:R17,'DAF Labour CPV'!R19:R20)</f>
        <v>45.340781892210323</v>
      </c>
      <c r="Q11" s="114">
        <f>AVERAGE('DAF Labour CPV'!S16:S17,'DAF Labour CPV'!S19:S20)</f>
        <v>43.369443549070759</v>
      </c>
      <c r="R11" s="114">
        <f>AVERAGE('DAF Labour CPV'!T16:T17,'DAF Labour CPV'!T19:T20)</f>
        <v>41.398105205931174</v>
      </c>
      <c r="S11" s="114">
        <f>AVERAGE('DAF Labour CPV'!U16:U17,'DAF Labour CPV'!U19:U20)</f>
        <v>39.426766862791595</v>
      </c>
      <c r="T11" s="1263">
        <f t="shared" si="0"/>
        <v>38.79077484128657</v>
      </c>
      <c r="U11" s="44"/>
      <c r="V11" s="76"/>
      <c r="W11" s="76"/>
      <c r="X11" s="76"/>
      <c r="Y11" s="76"/>
      <c r="Z11" s="76"/>
      <c r="AA11" s="76"/>
      <c r="AB11" s="76"/>
      <c r="AC11" s="76"/>
      <c r="AD11" s="76"/>
      <c r="AE11" s="76"/>
      <c r="AF11" s="105"/>
    </row>
    <row r="12" spans="1:34" hidden="1" x14ac:dyDescent="0.35">
      <c r="A12" s="98"/>
      <c r="B12" s="1041">
        <v>95</v>
      </c>
      <c r="C12" s="116"/>
      <c r="D12" s="112"/>
      <c r="E12" s="114">
        <f>AVERAGE('DAF Labour CPV'!G21:G22,'DAF Labour CPV'!G24:G25)</f>
        <v>22.408700226667062</v>
      </c>
      <c r="F12" s="114">
        <f>AVERAGE('DAF Labour CPV'!H21:H22,'DAF Labour CPV'!H24:H25)</f>
        <v>21.439231765400233</v>
      </c>
      <c r="G12" s="114">
        <f>AVERAGE('DAF Labour CPV'!I21:I22,'DAF Labour CPV'!I24:I25)</f>
        <v>31.494952147375315</v>
      </c>
      <c r="H12" s="114">
        <f>AVERAGE('DAF Labour CPV'!J21:J22,'DAF Labour CPV'!J24:J25)</f>
        <v>35.2809825807254</v>
      </c>
      <c r="I12" s="114">
        <f>AVERAGE('DAF Labour CPV'!K21:K22,'DAF Labour CPV'!K24:K25)</f>
        <v>33.280466564584174</v>
      </c>
      <c r="J12" s="114">
        <f>AVERAGE('DAF Labour CPV'!L21:L22,'DAF Labour CPV'!L24:L25)</f>
        <v>30.311609822278271</v>
      </c>
      <c r="K12" s="114">
        <f>AVERAGE('DAF Labour CPV'!M21:M22,'DAF Labour CPV'!M24:M25)</f>
        <v>32.206085436170667</v>
      </c>
      <c r="L12" s="114">
        <f>AVERAGE('DAF Labour CPV'!N21:N22,'DAF Labour CPV'!N24:N25)</f>
        <v>34.100561050063057</v>
      </c>
      <c r="M12" s="114">
        <f>AVERAGE('DAF Labour CPV'!O21:O22,'DAF Labour CPV'!O24:O25)</f>
        <v>35.995036663955446</v>
      </c>
      <c r="N12" s="114">
        <f>AVERAGE('DAF Labour CPV'!P21:P22,'DAF Labour CPV'!P24:P25)</f>
        <v>37.889512277847835</v>
      </c>
      <c r="O12" s="114">
        <f>AVERAGE('DAF Labour CPV'!Q21:Q22,'DAF Labour CPV'!Q24:Q25)</f>
        <v>36.373931786733927</v>
      </c>
      <c r="P12" s="114">
        <f>AVERAGE('DAF Labour CPV'!R21:R22,'DAF Labour CPV'!R24:R25)</f>
        <v>34.858351295620011</v>
      </c>
      <c r="Q12" s="114">
        <f>AVERAGE('DAF Labour CPV'!S21:S22,'DAF Labour CPV'!S24:S25)</f>
        <v>33.342770804506102</v>
      </c>
      <c r="R12" s="114">
        <f>AVERAGE('DAF Labour CPV'!T21:T22,'DAF Labour CPV'!T24:T25)</f>
        <v>31.827190313392187</v>
      </c>
      <c r="S12" s="114">
        <f>AVERAGE('DAF Labour CPV'!U21:U22,'DAF Labour CPV'!U24:U25)</f>
        <v>30.311609822278271</v>
      </c>
      <c r="T12" s="1263">
        <f t="shared" si="0"/>
        <v>32.074732837173194</v>
      </c>
      <c r="U12" s="44"/>
      <c r="V12" s="76"/>
      <c r="W12" s="76"/>
      <c r="X12" s="76"/>
      <c r="Y12" s="76"/>
      <c r="Z12" s="76"/>
      <c r="AA12" s="76"/>
      <c r="AB12" s="76"/>
      <c r="AC12" s="76"/>
      <c r="AD12" s="76"/>
      <c r="AE12" s="76"/>
      <c r="AF12" s="105"/>
    </row>
    <row r="13" spans="1:34" hidden="1" x14ac:dyDescent="0.35">
      <c r="A13" s="98"/>
      <c r="B13" s="1041">
        <v>105</v>
      </c>
      <c r="C13" s="116"/>
      <c r="D13" s="112"/>
      <c r="E13" s="114">
        <f>AVERAGE('DAF Labour CPV'!G27:G28,'DAF Labour CPV'!G30:G31)</f>
        <v>28.324232558537439</v>
      </c>
      <c r="F13" s="114">
        <f>AVERAGE('DAF Labour CPV'!H27:H28,'DAF Labour CPV'!H30:H31)</f>
        <v>21.243460184765432</v>
      </c>
      <c r="G13" s="114">
        <f>AVERAGE('DAF Labour CPV'!I27:I28,'DAF Labour CPV'!I30:I31)</f>
        <v>20.127766596512231</v>
      </c>
      <c r="H13" s="114">
        <f>AVERAGE('DAF Labour CPV'!J27:J28,'DAF Labour CPV'!J30:J31)</f>
        <v>35.2809825807254</v>
      </c>
      <c r="I13" s="114">
        <f>AVERAGE('DAF Labour CPV'!K27:K28,'DAF Labour CPV'!K30:K31)</f>
        <v>33.280466564584174</v>
      </c>
      <c r="J13" s="114">
        <f>AVERAGE('DAF Labour CPV'!L27:L28,'DAF Labour CPV'!L30:L31)</f>
        <v>30.311609822278271</v>
      </c>
      <c r="K13" s="114">
        <f>AVERAGE('DAF Labour CPV'!M27:M28,'DAF Labour CPV'!M30:M31)</f>
        <v>32.206085436170667</v>
      </c>
      <c r="L13" s="114">
        <f>AVERAGE('DAF Labour CPV'!N27:N28,'DAF Labour CPV'!N30:N31)</f>
        <v>34.100561050063057</v>
      </c>
      <c r="M13" s="114">
        <f>AVERAGE('DAF Labour CPV'!O27:O28,'DAF Labour CPV'!O30:O31)</f>
        <v>35.995036663955446</v>
      </c>
      <c r="N13" s="114">
        <f>AVERAGE('DAF Labour CPV'!P27:P28,'DAF Labour CPV'!P30:P31)</f>
        <v>37.889512277847835</v>
      </c>
      <c r="O13" s="114">
        <f>AVERAGE('DAF Labour CPV'!Q27:Q28,'DAF Labour CPV'!Q30:Q31)</f>
        <v>36.373931786733927</v>
      </c>
      <c r="P13" s="114">
        <f>AVERAGE('DAF Labour CPV'!R27:R28,'DAF Labour CPV'!R30:R31)</f>
        <v>34.858351295620011</v>
      </c>
      <c r="Q13" s="114">
        <f>AVERAGE('DAF Labour CPV'!S27:S28,'DAF Labour CPV'!S30:S31)</f>
        <v>33.342770804506102</v>
      </c>
      <c r="R13" s="114">
        <f>AVERAGE('DAF Labour CPV'!T27:T28,'DAF Labour CPV'!T30:T31)</f>
        <v>31.827190313392187</v>
      </c>
      <c r="S13" s="114">
        <f>AVERAGE('DAF Labour CPV'!U27:U28,'DAF Labour CPV'!U30:U31)</f>
        <v>30.311609822278271</v>
      </c>
      <c r="T13" s="1263">
        <f t="shared" si="0"/>
        <v>31.698237850531363</v>
      </c>
      <c r="U13" s="44"/>
      <c r="V13" s="76"/>
      <c r="W13" s="76"/>
      <c r="X13" s="76"/>
      <c r="Y13" s="76"/>
      <c r="Z13" s="76"/>
      <c r="AA13" s="76"/>
      <c r="AB13" s="76"/>
      <c r="AC13" s="76"/>
      <c r="AD13" s="76"/>
      <c r="AE13" s="76"/>
      <c r="AF13" s="105"/>
    </row>
    <row r="14" spans="1:34" ht="15" hidden="1" customHeight="1" x14ac:dyDescent="0.35">
      <c r="A14" s="98"/>
      <c r="B14" s="118" t="s">
        <v>523</v>
      </c>
      <c r="C14" s="119"/>
      <c r="D14" s="119"/>
      <c r="E14" s="1262">
        <f>AVERAGE(E7:E13)</f>
        <v>19.30873920409261</v>
      </c>
      <c r="F14" s="1262">
        <f t="shared" ref="F14:S14" si="1">AVERAGE(F7:F13)</f>
        <v>16.99287662588759</v>
      </c>
      <c r="G14" s="1262">
        <f t="shared" si="1"/>
        <v>22.70917512527285</v>
      </c>
      <c r="H14" s="1262">
        <f t="shared" si="1"/>
        <v>26.848260955109271</v>
      </c>
      <c r="I14" s="1262">
        <f t="shared" si="1"/>
        <v>28.735138134530523</v>
      </c>
      <c r="J14" s="1262">
        <f t="shared" si="1"/>
        <v>28.88127812142546</v>
      </c>
      <c r="K14" s="1262">
        <f t="shared" si="1"/>
        <v>30.686358004014547</v>
      </c>
      <c r="L14" s="1262">
        <f t="shared" si="1"/>
        <v>32.491437886603634</v>
      </c>
      <c r="M14" s="1262">
        <f t="shared" si="1"/>
        <v>34.296517769192725</v>
      </c>
      <c r="N14" s="1262">
        <f t="shared" si="1"/>
        <v>36.101597651781823</v>
      </c>
      <c r="O14" s="1262">
        <f t="shared" si="1"/>
        <v>34.657533745710545</v>
      </c>
      <c r="P14" s="1262">
        <f t="shared" si="1"/>
        <v>33.213469839639274</v>
      </c>
      <c r="Q14" s="1262">
        <f t="shared" si="1"/>
        <v>31.769405933568002</v>
      </c>
      <c r="R14" s="1262">
        <f t="shared" si="1"/>
        <v>30.325342027496724</v>
      </c>
      <c r="S14" s="1262">
        <f t="shared" si="1"/>
        <v>28.88127812142546</v>
      </c>
      <c r="T14" s="1263">
        <f>AVERAGE(E14:S14)</f>
        <v>29.059893943050074</v>
      </c>
      <c r="U14" s="44"/>
      <c r="V14" s="76"/>
      <c r="W14" s="76"/>
      <c r="X14" s="76"/>
      <c r="Y14" s="76"/>
      <c r="Z14" s="76"/>
      <c r="AA14" s="76"/>
      <c r="AB14" s="76"/>
      <c r="AC14" s="76"/>
      <c r="AD14" s="76"/>
      <c r="AE14" s="76"/>
      <c r="AF14" s="105"/>
    </row>
    <row r="15" spans="1:34" x14ac:dyDescent="0.35">
      <c r="A15" s="75"/>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4"/>
    </row>
    <row r="16" spans="1:34" hidden="1" x14ac:dyDescent="0.35">
      <c r="A16" s="98"/>
      <c r="B16" s="76"/>
      <c r="D16" s="76"/>
      <c r="E16" s="76"/>
      <c r="G16" s="76"/>
      <c r="H16" s="76"/>
      <c r="I16" s="76"/>
      <c r="J16" s="76"/>
      <c r="K16" s="76"/>
      <c r="L16" s="76"/>
      <c r="M16" s="76"/>
      <c r="N16" s="76"/>
      <c r="O16" s="76"/>
      <c r="P16" s="76"/>
      <c r="Q16" s="76"/>
      <c r="R16" s="76"/>
      <c r="S16" s="76"/>
      <c r="T16" s="76"/>
      <c r="U16" s="76"/>
      <c r="V16" s="76"/>
      <c r="W16" s="44"/>
      <c r="X16" s="44"/>
      <c r="Y16" s="44"/>
      <c r="Z16" s="44"/>
      <c r="AA16" s="44"/>
      <c r="AB16" s="44"/>
      <c r="AC16" s="44"/>
      <c r="AD16" s="44"/>
      <c r="AE16" s="44"/>
      <c r="AF16" s="44"/>
      <c r="AG16" s="44"/>
      <c r="AH16" s="44"/>
    </row>
    <row r="17" spans="1:34" hidden="1" x14ac:dyDescent="0.35">
      <c r="A17" s="75"/>
      <c r="B17" s="73"/>
      <c r="D17" s="73"/>
      <c r="E17" s="73"/>
      <c r="G17" s="73"/>
      <c r="H17" s="73"/>
      <c r="I17" s="73"/>
      <c r="J17" s="73"/>
      <c r="K17" s="73"/>
      <c r="L17" s="73"/>
      <c r="M17" s="73"/>
      <c r="N17" s="73"/>
      <c r="O17" s="73"/>
      <c r="P17" s="73"/>
      <c r="Q17" s="73"/>
      <c r="R17" s="73"/>
      <c r="S17" s="73"/>
      <c r="T17" s="73"/>
      <c r="U17" s="73"/>
      <c r="V17" s="73"/>
      <c r="W17" s="44"/>
      <c r="X17" s="44"/>
      <c r="Y17" s="44"/>
      <c r="Z17" s="44"/>
      <c r="AA17" s="44"/>
      <c r="AB17" s="44"/>
      <c r="AC17" s="44"/>
      <c r="AD17" s="44"/>
      <c r="AE17" s="44"/>
      <c r="AF17" s="44"/>
      <c r="AG17" s="44"/>
      <c r="AH17" s="44"/>
    </row>
    <row r="18" spans="1:34" hidden="1" x14ac:dyDescent="0.35">
      <c r="A18" s="44"/>
      <c r="R18" s="44"/>
      <c r="S18" s="44"/>
      <c r="T18" s="44"/>
      <c r="U18" s="44"/>
      <c r="V18" s="44"/>
      <c r="W18" s="44"/>
      <c r="X18" s="44"/>
      <c r="Y18" s="44"/>
      <c r="Z18" s="44"/>
      <c r="AA18" s="44"/>
      <c r="AB18" s="44"/>
      <c r="AC18" s="44"/>
      <c r="AD18" s="44"/>
      <c r="AE18" s="44"/>
      <c r="AF18" s="44"/>
      <c r="AG18" s="44"/>
      <c r="AH18" s="44"/>
    </row>
    <row r="19" spans="1:34" hidden="1" x14ac:dyDescent="0.35">
      <c r="A19" s="44"/>
      <c r="R19" s="44"/>
      <c r="S19" s="44"/>
      <c r="T19" s="44"/>
      <c r="U19" s="44"/>
      <c r="V19" s="44"/>
      <c r="W19" s="44"/>
      <c r="X19" s="44"/>
      <c r="Y19" s="44"/>
      <c r="Z19" s="44"/>
      <c r="AA19" s="44"/>
      <c r="AB19" s="44"/>
      <c r="AC19" s="44"/>
      <c r="AD19" s="44"/>
      <c r="AE19" s="44"/>
      <c r="AF19" s="44"/>
      <c r="AG19" s="44"/>
      <c r="AH19" s="44"/>
    </row>
    <row r="20" spans="1:34" hidden="1" x14ac:dyDescent="0.35">
      <c r="A20" s="44"/>
      <c r="R20" s="44"/>
      <c r="S20" s="44"/>
      <c r="T20" s="44"/>
      <c r="U20" s="44"/>
      <c r="V20" s="44"/>
      <c r="W20" s="44"/>
      <c r="X20" s="44"/>
      <c r="Y20" s="44"/>
      <c r="Z20" s="44"/>
      <c r="AA20" s="44"/>
      <c r="AB20" s="44"/>
      <c r="AC20" s="44"/>
      <c r="AD20" s="44"/>
      <c r="AE20" s="44"/>
      <c r="AF20" s="44"/>
      <c r="AG20" s="44"/>
      <c r="AH20" s="44"/>
    </row>
    <row r="21" spans="1:34" hidden="1" x14ac:dyDescent="0.35">
      <c r="A21" s="44"/>
      <c r="R21" s="44"/>
      <c r="S21" s="44"/>
      <c r="T21" s="44"/>
      <c r="U21" s="44"/>
      <c r="V21" s="44"/>
      <c r="W21" s="44"/>
      <c r="X21" s="44"/>
      <c r="Y21" s="44"/>
      <c r="Z21" s="44"/>
      <c r="AA21" s="44"/>
      <c r="AB21" s="44"/>
      <c r="AC21" s="44"/>
      <c r="AD21" s="44"/>
      <c r="AE21" s="44"/>
      <c r="AF21" s="44"/>
      <c r="AG21" s="44"/>
      <c r="AH21" s="44"/>
    </row>
    <row r="22" spans="1:34" hidden="1" x14ac:dyDescent="0.35">
      <c r="A22" s="44"/>
      <c r="R22" s="44"/>
      <c r="S22" s="44"/>
      <c r="T22" s="44"/>
      <c r="U22" s="44"/>
      <c r="V22" s="44"/>
      <c r="W22" s="44"/>
      <c r="X22" s="44"/>
      <c r="Y22" s="44"/>
      <c r="Z22" s="44"/>
      <c r="AA22" s="44"/>
      <c r="AB22" s="44"/>
      <c r="AC22" s="44"/>
      <c r="AD22" s="44"/>
      <c r="AE22" s="44"/>
      <c r="AF22" s="44"/>
      <c r="AG22" s="44"/>
      <c r="AH22" s="44"/>
    </row>
    <row r="23" spans="1:34" hidden="1" x14ac:dyDescent="0.35">
      <c r="A23" s="44"/>
      <c r="R23" s="44"/>
      <c r="S23" s="44"/>
      <c r="T23" s="44"/>
      <c r="U23" s="44"/>
      <c r="V23" s="44"/>
      <c r="W23" s="44"/>
      <c r="X23" s="44"/>
      <c r="Y23" s="44"/>
      <c r="Z23" s="44"/>
      <c r="AA23" s="44"/>
      <c r="AB23" s="44"/>
      <c r="AC23" s="44"/>
      <c r="AD23" s="44"/>
      <c r="AE23" s="44"/>
      <c r="AF23" s="44"/>
      <c r="AG23" s="44"/>
      <c r="AH23" s="44"/>
    </row>
    <row r="24" spans="1:34" hidden="1" x14ac:dyDescent="0.35">
      <c r="A24" s="44"/>
      <c r="R24" s="44"/>
      <c r="S24" s="44"/>
      <c r="T24" s="44"/>
      <c r="U24" s="44"/>
      <c r="V24" s="44"/>
      <c r="W24" s="44"/>
      <c r="X24" s="44"/>
      <c r="Y24" s="44"/>
      <c r="Z24" s="44"/>
      <c r="AA24" s="44"/>
      <c r="AB24" s="44"/>
      <c r="AC24" s="44"/>
      <c r="AD24" s="44"/>
      <c r="AE24" s="44"/>
      <c r="AF24" s="44"/>
      <c r="AG24" s="44"/>
      <c r="AH24" s="44"/>
    </row>
    <row r="25" spans="1:34" hidden="1" x14ac:dyDescent="0.35">
      <c r="A25" s="44"/>
      <c r="R25" s="44"/>
      <c r="S25" s="44"/>
      <c r="T25" s="44"/>
      <c r="U25" s="44"/>
      <c r="V25" s="44"/>
      <c r="W25" s="44"/>
      <c r="X25" s="44"/>
      <c r="Y25" s="44"/>
      <c r="Z25" s="44"/>
      <c r="AA25" s="44"/>
      <c r="AB25" s="44"/>
      <c r="AC25" s="44"/>
      <c r="AD25" s="44"/>
      <c r="AE25" s="44"/>
      <c r="AF25" s="44"/>
      <c r="AG25" s="44"/>
      <c r="AH25" s="44"/>
    </row>
    <row r="26" spans="1:34" hidden="1" x14ac:dyDescent="0.35">
      <c r="A26" s="44"/>
      <c r="R26" s="44"/>
      <c r="S26" s="44"/>
      <c r="T26" s="44"/>
      <c r="U26" s="44"/>
      <c r="V26" s="44"/>
      <c r="W26" s="44"/>
      <c r="X26" s="44"/>
      <c r="Y26" s="44"/>
      <c r="Z26" s="44"/>
      <c r="AA26" s="44"/>
      <c r="AB26" s="44"/>
      <c r="AC26" s="44"/>
      <c r="AD26" s="44"/>
      <c r="AE26" s="44"/>
      <c r="AF26" s="44"/>
      <c r="AG26" s="44"/>
      <c r="AH26" s="44"/>
    </row>
    <row r="27" spans="1:34" hidden="1" x14ac:dyDescent="0.35">
      <c r="A27" s="44"/>
      <c r="R27" s="44"/>
      <c r="S27" s="44"/>
      <c r="T27" s="44"/>
      <c r="U27" s="44"/>
      <c r="V27" s="44"/>
      <c r="W27" s="44"/>
      <c r="X27" s="44"/>
      <c r="Y27" s="44"/>
      <c r="Z27" s="44"/>
      <c r="AA27" s="44"/>
      <c r="AB27" s="44"/>
      <c r="AC27" s="44"/>
      <c r="AD27" s="44"/>
      <c r="AE27" s="44"/>
      <c r="AF27" s="44"/>
      <c r="AG27" s="44"/>
      <c r="AH27" s="44"/>
    </row>
    <row r="28" spans="1:34" hidden="1" x14ac:dyDescent="0.35"/>
    <row r="29" spans="1:34" hidden="1" x14ac:dyDescent="0.35"/>
    <row r="30" spans="1:34" hidden="1" x14ac:dyDescent="0.35"/>
    <row r="31" spans="1:34" hidden="1" x14ac:dyDescent="0.35"/>
    <row r="32" spans="1:34"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sheetData>
  <sheetProtection password="813F" sheet="1" objects="1" scenarios="1" selectLockedCells="1" selectUnlockedCells="1"/>
  <customSheetViews>
    <customSheetView guid="{51165254-F18A-4CD1-9981-8F2DE14CC76C}" fitToPage="1" hiddenRows="1" hiddenColumns="1" state="hidden" showRuler="0">
      <selection activeCell="G6" sqref="G6"/>
      <pageMargins left="0.75" right="0.75" top="1" bottom="1" header="0.5" footer="0.5"/>
      <pageSetup paperSize="9" scale="48" orientation="portrait" r:id="rId1"/>
      <headerFooter alignWithMargins="0">
        <oddHeader>&amp;L&amp;F</oddHeader>
        <oddFooter xml:space="preserve">&amp;LDAF Dealer Business Plan&amp;CPrint date: &amp;D&amp;R&amp;P/&amp;N | DAF Trucks NV    </oddFooter>
      </headerFooter>
    </customSheetView>
  </customSheetViews>
  <mergeCells count="3">
    <mergeCell ref="A3:W3"/>
    <mergeCell ref="X3:AH3"/>
    <mergeCell ref="E5:S5"/>
  </mergeCells>
  <phoneticPr fontId="11" type="noConversion"/>
  <pageMargins left="0.75" right="0.75" top="1" bottom="1" header="0.5" footer="0.5"/>
  <pageSetup paperSize="9" scale="48" orientation="portrait" r:id="rId2"/>
  <headerFooter alignWithMargins="0">
    <oddHeader>&amp;L&amp;F</oddHeader>
    <oddFooter xml:space="preserve">&amp;LDAF Dealer Business Plan&amp;CPrint date: &amp;D&amp;R&amp;P/&amp;N | DAF Trucks NV    </oddFooter>
  </headerFooter>
  <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7"/>
  <dimension ref="A1:IU47"/>
  <sheetViews>
    <sheetView workbookViewId="0">
      <selection activeCell="G11" sqref="G11:K12"/>
    </sheetView>
  </sheetViews>
  <sheetFormatPr baseColWidth="10" defaultColWidth="0" defaultRowHeight="14.4" zeroHeight="1" x14ac:dyDescent="0.35"/>
  <cols>
    <col min="1" max="1" width="2.6640625" style="45" customWidth="1"/>
    <col min="2" max="2" width="5.33203125" style="45" bestFit="1" customWidth="1"/>
    <col min="3" max="3" width="2.6640625" style="76" customWidth="1"/>
    <col min="4" max="4" width="7.44140625" style="45" bestFit="1" customWidth="1"/>
    <col min="5" max="5" width="5.44140625" style="45" customWidth="1"/>
    <col min="6" max="6" width="2.6640625" style="76" customWidth="1"/>
    <col min="7" max="21" width="8.77734375" style="45" customWidth="1"/>
    <col min="22" max="22" width="7.33203125" style="45" customWidth="1"/>
    <col min="23" max="23" width="5.109375" style="45" customWidth="1"/>
    <col min="24" max="32" width="5.109375" style="45" hidden="1" customWidth="1"/>
    <col min="33" max="33" width="8.6640625" style="45" hidden="1" customWidth="1"/>
    <col min="34" max="34" width="2" style="45" hidden="1" customWidth="1"/>
    <col min="35" max="255" width="9.109375" style="45" hidden="1" customWidth="1"/>
    <col min="256" max="16384" width="0" style="45" hidden="1"/>
  </cols>
  <sheetData>
    <row r="1" spans="1:34" x14ac:dyDescent="0.35">
      <c r="A1" s="99"/>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100"/>
    </row>
    <row r="2" spans="1:34" ht="37.5" customHeight="1" x14ac:dyDescent="0.35">
      <c r="A2" s="75"/>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4"/>
    </row>
    <row r="3" spans="1:34" ht="28.8" x14ac:dyDescent="0.55000000000000004">
      <c r="A3" s="2178" t="s">
        <v>993</v>
      </c>
      <c r="B3" s="2178"/>
      <c r="C3" s="2178"/>
      <c r="D3" s="2178"/>
      <c r="E3" s="2178"/>
      <c r="F3" s="2178"/>
      <c r="G3" s="2178"/>
      <c r="H3" s="2178"/>
      <c r="I3" s="2178"/>
      <c r="J3" s="2178"/>
      <c r="K3" s="2178"/>
      <c r="L3" s="2178"/>
      <c r="M3" s="2178"/>
      <c r="N3" s="2178"/>
      <c r="O3" s="2178"/>
      <c r="P3" s="2178"/>
      <c r="Q3" s="2178"/>
      <c r="R3" s="2178"/>
      <c r="S3" s="2178"/>
      <c r="T3" s="2178"/>
      <c r="U3" s="2178"/>
      <c r="V3" s="2178"/>
      <c r="W3" s="2178"/>
      <c r="X3" s="2178"/>
      <c r="Y3" s="2178"/>
      <c r="Z3" s="2178"/>
      <c r="AA3" s="2178"/>
      <c r="AB3" s="2178"/>
      <c r="AC3" s="2178"/>
      <c r="AD3" s="2178"/>
      <c r="AE3" s="2178"/>
      <c r="AF3" s="2178"/>
      <c r="AG3" s="2178"/>
      <c r="AH3" s="2178"/>
    </row>
    <row r="4" spans="1:34" ht="15" customHeight="1" x14ac:dyDescent="0.35">
      <c r="A4" s="98"/>
      <c r="B4" s="76"/>
      <c r="D4" s="76"/>
      <c r="E4" s="76"/>
      <c r="G4" s="76"/>
      <c r="H4" s="76"/>
      <c r="I4" s="76"/>
      <c r="J4" s="76"/>
      <c r="K4" s="76"/>
      <c r="L4" s="76"/>
      <c r="M4" s="76"/>
      <c r="N4" s="76"/>
      <c r="O4" s="76"/>
      <c r="P4" s="76"/>
      <c r="Q4" s="76"/>
      <c r="R4" s="76"/>
      <c r="S4" s="76"/>
      <c r="T4" s="76"/>
      <c r="U4" s="76"/>
      <c r="V4" s="76"/>
      <c r="W4" s="77"/>
      <c r="X4" s="77"/>
      <c r="Y4" s="77"/>
      <c r="Z4" s="77"/>
      <c r="AA4" s="77"/>
      <c r="AB4" s="77"/>
      <c r="AC4" s="77"/>
      <c r="AD4" s="77"/>
      <c r="AE4" s="77"/>
      <c r="AF4" s="77"/>
      <c r="AG4" s="77"/>
      <c r="AH4" s="100"/>
    </row>
    <row r="5" spans="1:34" hidden="1" x14ac:dyDescent="0.35">
      <c r="A5" s="98"/>
      <c r="B5" s="101" t="s">
        <v>1069</v>
      </c>
      <c r="C5" s="102"/>
      <c r="D5" s="2186" t="s">
        <v>960</v>
      </c>
      <c r="E5" s="2190"/>
      <c r="F5" s="103"/>
      <c r="G5" s="2186" t="s">
        <v>994</v>
      </c>
      <c r="H5" s="2085"/>
      <c r="I5" s="2085"/>
      <c r="J5" s="2085"/>
      <c r="K5" s="2085"/>
      <c r="L5" s="2085"/>
      <c r="M5" s="2085"/>
      <c r="N5" s="2085"/>
      <c r="O5" s="2085"/>
      <c r="P5" s="2085"/>
      <c r="Q5" s="2085"/>
      <c r="R5" s="2085"/>
      <c r="S5" s="2085"/>
      <c r="T5" s="2085"/>
      <c r="U5" s="2085"/>
      <c r="V5" s="104"/>
      <c r="W5" s="76"/>
      <c r="X5" s="76"/>
      <c r="Y5" s="76"/>
      <c r="Z5" s="76"/>
      <c r="AA5" s="76"/>
      <c r="AB5" s="76"/>
      <c r="AC5" s="76"/>
      <c r="AD5" s="76"/>
      <c r="AE5" s="76"/>
      <c r="AF5" s="76"/>
      <c r="AG5" s="76"/>
      <c r="AH5" s="105"/>
    </row>
    <row r="6" spans="1:34" hidden="1" x14ac:dyDescent="0.35">
      <c r="A6" s="98"/>
      <c r="B6" s="106" t="s">
        <v>962</v>
      </c>
      <c r="C6" s="102"/>
      <c r="D6" s="107" t="s">
        <v>963</v>
      </c>
      <c r="E6" s="108" t="s">
        <v>964</v>
      </c>
      <c r="F6" s="102"/>
      <c r="G6" s="107" t="s">
        <v>965</v>
      </c>
      <c r="H6" s="109" t="s">
        <v>966</v>
      </c>
      <c r="I6" s="109" t="s">
        <v>967</v>
      </c>
      <c r="J6" s="109" t="s">
        <v>968</v>
      </c>
      <c r="K6" s="109" t="s">
        <v>969</v>
      </c>
      <c r="L6" s="109" t="s">
        <v>970</v>
      </c>
      <c r="M6" s="109" t="s">
        <v>971</v>
      </c>
      <c r="N6" s="109" t="s">
        <v>972</v>
      </c>
      <c r="O6" s="109" t="s">
        <v>973</v>
      </c>
      <c r="P6" s="109" t="s">
        <v>974</v>
      </c>
      <c r="Q6" s="109" t="s">
        <v>975</v>
      </c>
      <c r="R6" s="109" t="s">
        <v>976</v>
      </c>
      <c r="S6" s="109" t="s">
        <v>977</v>
      </c>
      <c r="T6" s="109" t="s">
        <v>978</v>
      </c>
      <c r="U6" s="109" t="s">
        <v>979</v>
      </c>
      <c r="V6" s="110"/>
      <c r="W6" s="44"/>
      <c r="X6" s="76"/>
      <c r="Y6" s="76"/>
      <c r="Z6" s="76"/>
      <c r="AA6" s="76"/>
      <c r="AB6" s="76"/>
      <c r="AC6" s="76"/>
      <c r="AD6" s="76"/>
      <c r="AE6" s="76"/>
      <c r="AF6" s="76"/>
      <c r="AG6" s="76"/>
      <c r="AH6" s="105"/>
    </row>
    <row r="7" spans="1:34" hidden="1" x14ac:dyDescent="0.35">
      <c r="A7" s="98"/>
      <c r="B7" s="111">
        <v>45</v>
      </c>
      <c r="C7" s="112"/>
      <c r="D7" s="113" t="s">
        <v>980</v>
      </c>
      <c r="E7" s="113">
        <v>2</v>
      </c>
      <c r="F7" s="112"/>
      <c r="G7" s="124">
        <v>98.22</v>
      </c>
      <c r="H7" s="124">
        <v>144.624</v>
      </c>
      <c r="I7" s="124">
        <v>123.684</v>
      </c>
      <c r="J7" s="124">
        <v>140.328</v>
      </c>
      <c r="K7" s="124">
        <v>139.00800000000001</v>
      </c>
      <c r="L7" s="124">
        <v>124.68</v>
      </c>
      <c r="M7" s="124">
        <v>132.4725</v>
      </c>
      <c r="N7" s="124">
        <v>140.26499999999999</v>
      </c>
      <c r="O7" s="124">
        <v>148.0575</v>
      </c>
      <c r="P7" s="124">
        <v>155.85</v>
      </c>
      <c r="Q7" s="124">
        <v>149.61600000000001</v>
      </c>
      <c r="R7" s="124">
        <v>143.38200000000001</v>
      </c>
      <c r="S7" s="124">
        <v>137.14800000000002</v>
      </c>
      <c r="T7" s="124">
        <v>130.91400000000002</v>
      </c>
      <c r="U7" s="124">
        <v>124.68</v>
      </c>
      <c r="V7" s="115"/>
      <c r="W7" s="44"/>
      <c r="X7" s="76"/>
      <c r="Y7" s="76"/>
      <c r="Z7" s="76"/>
      <c r="AA7" s="76"/>
      <c r="AB7" s="76"/>
      <c r="AC7" s="76"/>
      <c r="AD7" s="76"/>
      <c r="AE7" s="76"/>
      <c r="AF7" s="76"/>
      <c r="AG7" s="76"/>
      <c r="AH7" s="105"/>
    </row>
    <row r="8" spans="1:34" hidden="1" x14ac:dyDescent="0.35">
      <c r="A8" s="98"/>
      <c r="B8" s="2187">
        <v>55</v>
      </c>
      <c r="C8" s="116"/>
      <c r="D8" s="2187" t="s">
        <v>980</v>
      </c>
      <c r="E8" s="111">
        <v>2</v>
      </c>
      <c r="F8" s="112"/>
      <c r="G8" s="124">
        <v>112.164</v>
      </c>
      <c r="H8" s="124">
        <v>150.864</v>
      </c>
      <c r="I8" s="124">
        <v>139.428</v>
      </c>
      <c r="J8" s="124">
        <v>143.62799999999999</v>
      </c>
      <c r="K8" s="124">
        <v>118.968</v>
      </c>
      <c r="L8" s="124">
        <v>142.64400000000001</v>
      </c>
      <c r="M8" s="124">
        <v>151.55925000000002</v>
      </c>
      <c r="N8" s="124">
        <v>160.47450000000001</v>
      </c>
      <c r="O8" s="124">
        <v>169.38974999999999</v>
      </c>
      <c r="P8" s="124">
        <v>178.30500000000001</v>
      </c>
      <c r="Q8" s="124">
        <v>171.1728</v>
      </c>
      <c r="R8" s="124">
        <v>164.04059999999998</v>
      </c>
      <c r="S8" s="124">
        <v>156.90840000000003</v>
      </c>
      <c r="T8" s="124">
        <v>149.77620000000002</v>
      </c>
      <c r="U8" s="124">
        <v>142.64400000000001</v>
      </c>
      <c r="V8" s="115"/>
      <c r="W8" s="44"/>
      <c r="X8" s="76"/>
      <c r="Y8" s="76"/>
      <c r="Z8" s="76"/>
      <c r="AA8" s="76"/>
      <c r="AB8" s="76"/>
      <c r="AC8" s="76"/>
      <c r="AD8" s="76"/>
      <c r="AE8" s="76"/>
      <c r="AF8" s="76"/>
      <c r="AG8" s="76"/>
      <c r="AH8" s="105"/>
    </row>
    <row r="9" spans="1:34" hidden="1" x14ac:dyDescent="0.35">
      <c r="A9" s="98"/>
      <c r="B9" s="2188"/>
      <c r="C9" s="116"/>
      <c r="D9" s="2189"/>
      <c r="E9" s="111">
        <v>3</v>
      </c>
      <c r="F9" s="112"/>
      <c r="G9" s="124">
        <v>140.50781465231117</v>
      </c>
      <c r="H9" s="124">
        <v>188.98729494050028</v>
      </c>
      <c r="I9" s="124">
        <v>174.66142061037803</v>
      </c>
      <c r="J9" s="124">
        <v>179.92275955638306</v>
      </c>
      <c r="K9" s="124">
        <v>149.03118374483932</v>
      </c>
      <c r="L9" s="124">
        <v>178.69010300331905</v>
      </c>
      <c r="M9" s="124">
        <v>189.8582344410265</v>
      </c>
      <c r="N9" s="124">
        <v>201.02636587873394</v>
      </c>
      <c r="O9" s="124">
        <v>212.19449731644139</v>
      </c>
      <c r="P9" s="124">
        <v>223.36262875414883</v>
      </c>
      <c r="Q9" s="124">
        <v>214.42812360398287</v>
      </c>
      <c r="R9" s="124">
        <v>205.49361845381691</v>
      </c>
      <c r="S9" s="124">
        <v>196.55911330365097</v>
      </c>
      <c r="T9" s="124">
        <v>187.62460815348501</v>
      </c>
      <c r="U9" s="124">
        <v>178.69010300331905</v>
      </c>
      <c r="V9" s="115"/>
      <c r="W9" s="44"/>
      <c r="X9" s="76"/>
      <c r="Y9" s="76"/>
      <c r="Z9" s="76"/>
      <c r="AA9" s="76"/>
      <c r="AB9" s="76"/>
      <c r="AC9" s="76"/>
      <c r="AD9" s="76"/>
      <c r="AE9" s="76"/>
      <c r="AF9" s="76"/>
      <c r="AG9" s="76"/>
      <c r="AH9" s="105"/>
    </row>
    <row r="10" spans="1:34" hidden="1" x14ac:dyDescent="0.35">
      <c r="A10" s="98"/>
      <c r="B10" s="2189"/>
      <c r="C10" s="116"/>
      <c r="D10" s="111" t="s">
        <v>981</v>
      </c>
      <c r="E10" s="111">
        <v>2</v>
      </c>
      <c r="F10" s="112"/>
      <c r="G10" s="124">
        <v>112.164</v>
      </c>
      <c r="H10" s="124">
        <v>150.864</v>
      </c>
      <c r="I10" s="124">
        <v>139.428</v>
      </c>
      <c r="J10" s="124">
        <v>143.62799999999999</v>
      </c>
      <c r="K10" s="124">
        <v>118.968</v>
      </c>
      <c r="L10" s="124">
        <v>142.64400000000001</v>
      </c>
      <c r="M10" s="124">
        <v>151.55925000000002</v>
      </c>
      <c r="N10" s="124">
        <v>160.47450000000001</v>
      </c>
      <c r="O10" s="124">
        <v>169.38974999999999</v>
      </c>
      <c r="P10" s="124">
        <v>178.30500000000001</v>
      </c>
      <c r="Q10" s="124">
        <v>171.1728</v>
      </c>
      <c r="R10" s="124">
        <v>164.04059999999998</v>
      </c>
      <c r="S10" s="124">
        <v>156.90840000000003</v>
      </c>
      <c r="T10" s="124">
        <v>149.77620000000002</v>
      </c>
      <c r="U10" s="124">
        <v>142.64400000000001</v>
      </c>
      <c r="V10" s="115"/>
      <c r="W10" s="44"/>
      <c r="X10" s="76"/>
      <c r="Y10" s="76"/>
      <c r="Z10" s="76"/>
      <c r="AA10" s="76"/>
      <c r="AB10" s="76"/>
      <c r="AC10" s="76"/>
      <c r="AD10" s="76"/>
      <c r="AE10" s="76"/>
      <c r="AF10" s="76"/>
      <c r="AG10" s="76"/>
      <c r="AH10" s="105"/>
    </row>
    <row r="11" spans="1:34" hidden="1" x14ac:dyDescent="0.35">
      <c r="A11" s="98"/>
      <c r="B11" s="117">
        <v>65</v>
      </c>
      <c r="C11" s="112"/>
      <c r="D11" s="111" t="s">
        <v>980</v>
      </c>
      <c r="E11" s="111">
        <v>2</v>
      </c>
      <c r="F11" s="112"/>
      <c r="G11" s="124">
        <v>185.4590163934426</v>
      </c>
      <c r="H11" s="124">
        <v>230.91982978723405</v>
      </c>
      <c r="I11" s="124">
        <v>220.45221621621624</v>
      </c>
      <c r="J11" s="124">
        <v>223.36449350649352</v>
      </c>
      <c r="K11" s="124">
        <v>256.10245810055864</v>
      </c>
      <c r="L11" s="124">
        <v>298.49212048192771</v>
      </c>
      <c r="M11" s="124">
        <v>317.14787801204818</v>
      </c>
      <c r="N11" s="124">
        <v>335.80363554216865</v>
      </c>
      <c r="O11" s="124">
        <v>354.45939307228917</v>
      </c>
      <c r="P11" s="124">
        <v>373.11515060240964</v>
      </c>
      <c r="Q11" s="124">
        <v>358.19054457831322</v>
      </c>
      <c r="R11" s="124">
        <v>343.26593855421686</v>
      </c>
      <c r="S11" s="124">
        <v>328.3413325301205</v>
      </c>
      <c r="T11" s="124">
        <v>313.41672650602413</v>
      </c>
      <c r="U11" s="124">
        <v>298.49212048192771</v>
      </c>
      <c r="V11" s="115"/>
      <c r="W11" s="44"/>
      <c r="X11" s="76"/>
      <c r="Y11" s="76"/>
      <c r="Z11" s="76"/>
      <c r="AA11" s="76"/>
      <c r="AB11" s="76"/>
      <c r="AC11" s="76"/>
      <c r="AD11" s="76"/>
      <c r="AE11" s="76"/>
      <c r="AF11" s="76"/>
      <c r="AG11" s="76"/>
      <c r="AH11" s="105"/>
    </row>
    <row r="12" spans="1:34" hidden="1" x14ac:dyDescent="0.35">
      <c r="A12" s="98"/>
      <c r="B12" s="2187">
        <v>75</v>
      </c>
      <c r="C12" s="116"/>
      <c r="D12" s="2187" t="s">
        <v>980</v>
      </c>
      <c r="E12" s="111">
        <v>2</v>
      </c>
      <c r="F12" s="112"/>
      <c r="G12" s="124">
        <v>255.816</v>
      </c>
      <c r="H12" s="124">
        <v>226.84799999999998</v>
      </c>
      <c r="I12" s="124">
        <v>234.6</v>
      </c>
      <c r="J12" s="124">
        <v>258.06</v>
      </c>
      <c r="K12" s="124">
        <v>229.33200000000002</v>
      </c>
      <c r="L12" s="124">
        <v>279.75599999999997</v>
      </c>
      <c r="M12" s="124">
        <v>297.24074999999999</v>
      </c>
      <c r="N12" s="124">
        <v>314.72549999999995</v>
      </c>
      <c r="O12" s="124">
        <v>332.21024999999997</v>
      </c>
      <c r="P12" s="124">
        <v>349.69499999999999</v>
      </c>
      <c r="Q12" s="124">
        <v>335.70719999999994</v>
      </c>
      <c r="R12" s="124">
        <v>321.71939999999995</v>
      </c>
      <c r="S12" s="124">
        <v>307.73160000000001</v>
      </c>
      <c r="T12" s="124">
        <v>293.74379999999996</v>
      </c>
      <c r="U12" s="124">
        <v>279.75599999999997</v>
      </c>
      <c r="V12" s="115"/>
      <c r="W12" s="44"/>
      <c r="X12" s="76"/>
      <c r="Y12" s="76"/>
      <c r="Z12" s="76"/>
      <c r="AA12" s="76"/>
      <c r="AB12" s="76"/>
      <c r="AC12" s="76"/>
      <c r="AD12" s="76"/>
      <c r="AE12" s="76"/>
      <c r="AF12" s="76"/>
      <c r="AG12" s="76"/>
      <c r="AH12" s="105"/>
    </row>
    <row r="13" spans="1:34" hidden="1" x14ac:dyDescent="0.35">
      <c r="A13" s="98"/>
      <c r="B13" s="2188"/>
      <c r="C13" s="116"/>
      <c r="D13" s="2188"/>
      <c r="E13" s="111">
        <v>3</v>
      </c>
      <c r="F13" s="112"/>
      <c r="G13" s="124">
        <v>284.22000000000003</v>
      </c>
      <c r="H13" s="124">
        <v>286.76400000000001</v>
      </c>
      <c r="I13" s="124">
        <v>298.416</v>
      </c>
      <c r="J13" s="124">
        <v>312.13200000000001</v>
      </c>
      <c r="K13" s="124">
        <v>347.72399999999999</v>
      </c>
      <c r="L13" s="124">
        <v>316.46400000000006</v>
      </c>
      <c r="M13" s="124">
        <v>336.24300000000005</v>
      </c>
      <c r="N13" s="124">
        <v>356.02200000000005</v>
      </c>
      <c r="O13" s="124">
        <v>375.80100000000004</v>
      </c>
      <c r="P13" s="124">
        <v>395.58</v>
      </c>
      <c r="Q13" s="124">
        <v>379.75680000000006</v>
      </c>
      <c r="R13" s="124">
        <v>363.93360000000001</v>
      </c>
      <c r="S13" s="124">
        <v>348.11040000000008</v>
      </c>
      <c r="T13" s="124">
        <v>332.2872000000001</v>
      </c>
      <c r="U13" s="124">
        <v>316.46400000000006</v>
      </c>
      <c r="V13" s="115"/>
      <c r="W13" s="44"/>
      <c r="X13" s="76"/>
      <c r="Y13" s="76"/>
      <c r="Z13" s="76"/>
      <c r="AA13" s="76"/>
      <c r="AB13" s="76"/>
      <c r="AC13" s="76"/>
      <c r="AD13" s="76"/>
      <c r="AE13" s="76"/>
      <c r="AF13" s="76"/>
      <c r="AG13" s="76"/>
      <c r="AH13" s="105"/>
    </row>
    <row r="14" spans="1:34" hidden="1" x14ac:dyDescent="0.35">
      <c r="A14" s="98"/>
      <c r="B14" s="2188"/>
      <c r="C14" s="116"/>
      <c r="D14" s="2189"/>
      <c r="E14" s="111">
        <v>4</v>
      </c>
      <c r="F14" s="112"/>
      <c r="G14" s="124">
        <v>329.94939463255906</v>
      </c>
      <c r="H14" s="124">
        <v>332.90270988111735</v>
      </c>
      <c r="I14" s="124">
        <v>346.42945094880645</v>
      </c>
      <c r="J14" s="124">
        <v>362.35227797287297</v>
      </c>
      <c r="K14" s="124">
        <v>403.67082998807962</v>
      </c>
      <c r="L14" s="124">
        <v>367.38127233480475</v>
      </c>
      <c r="M14" s="124">
        <v>390.34260185573004</v>
      </c>
      <c r="N14" s="124">
        <v>413.30393137665533</v>
      </c>
      <c r="O14" s="124">
        <v>436.26526089758062</v>
      </c>
      <c r="P14" s="124">
        <v>459.22659041850591</v>
      </c>
      <c r="Q14" s="124">
        <v>440.85752680176569</v>
      </c>
      <c r="R14" s="124">
        <v>422.48846318502541</v>
      </c>
      <c r="S14" s="124">
        <v>404.11939956828525</v>
      </c>
      <c r="T14" s="124">
        <v>385.75033595154503</v>
      </c>
      <c r="U14" s="124">
        <v>367.38127233480475</v>
      </c>
      <c r="V14" s="115"/>
      <c r="W14" s="44"/>
      <c r="X14" s="76"/>
      <c r="Y14" s="76"/>
      <c r="Z14" s="76"/>
      <c r="AA14" s="76"/>
      <c r="AB14" s="76"/>
      <c r="AC14" s="76"/>
      <c r="AD14" s="76"/>
      <c r="AE14" s="76"/>
      <c r="AF14" s="76"/>
      <c r="AG14" s="76"/>
      <c r="AH14" s="105"/>
    </row>
    <row r="15" spans="1:34" hidden="1" x14ac:dyDescent="0.35">
      <c r="A15" s="98"/>
      <c r="B15" s="2189"/>
      <c r="C15" s="116"/>
      <c r="D15" s="111" t="s">
        <v>981</v>
      </c>
      <c r="E15" s="111">
        <v>2</v>
      </c>
      <c r="F15" s="112"/>
      <c r="G15" s="124">
        <v>277.03200000000004</v>
      </c>
      <c r="H15" s="124">
        <v>256.82400000000001</v>
      </c>
      <c r="I15" s="124">
        <v>270.19200000000001</v>
      </c>
      <c r="J15" s="124">
        <v>257.22000000000003</v>
      </c>
      <c r="K15" s="124">
        <v>330.44400000000002</v>
      </c>
      <c r="L15" s="124">
        <v>422.32799999999997</v>
      </c>
      <c r="M15" s="124">
        <v>448.72349999999994</v>
      </c>
      <c r="N15" s="124">
        <v>475.11899999999997</v>
      </c>
      <c r="O15" s="124">
        <v>501.5145</v>
      </c>
      <c r="P15" s="124">
        <v>527.91</v>
      </c>
      <c r="Q15" s="124">
        <v>506.79359999999997</v>
      </c>
      <c r="R15" s="124">
        <v>485.67719999999991</v>
      </c>
      <c r="S15" s="124">
        <v>464.56080000000003</v>
      </c>
      <c r="T15" s="124">
        <v>443.44439999999997</v>
      </c>
      <c r="U15" s="124">
        <v>422.32799999999997</v>
      </c>
      <c r="V15" s="115"/>
      <c r="W15" s="44"/>
      <c r="X15" s="76"/>
      <c r="Y15" s="76"/>
      <c r="Z15" s="76"/>
      <c r="AA15" s="76"/>
      <c r="AB15" s="76"/>
      <c r="AC15" s="76"/>
      <c r="AD15" s="76"/>
      <c r="AE15" s="76"/>
      <c r="AF15" s="76"/>
      <c r="AG15" s="76"/>
      <c r="AH15" s="105"/>
    </row>
    <row r="16" spans="1:34" hidden="1" x14ac:dyDescent="0.35">
      <c r="A16" s="98"/>
      <c r="B16" s="2187">
        <v>85</v>
      </c>
      <c r="C16" s="116"/>
      <c r="D16" s="2187" t="s">
        <v>980</v>
      </c>
      <c r="E16" s="111">
        <v>2</v>
      </c>
      <c r="F16" s="112"/>
      <c r="G16" s="124">
        <v>498.13200000000001</v>
      </c>
      <c r="H16" s="124">
        <v>440.77199999999999</v>
      </c>
      <c r="I16" s="124">
        <v>383.41199999999998</v>
      </c>
      <c r="J16" s="124">
        <v>205.488</v>
      </c>
      <c r="K16" s="124">
        <v>283.392</v>
      </c>
      <c r="L16" s="124">
        <v>235.28399999999999</v>
      </c>
      <c r="M16" s="124">
        <v>249.98925</v>
      </c>
      <c r="N16" s="124">
        <v>264.69450000000001</v>
      </c>
      <c r="O16" s="124">
        <v>279.39974999999998</v>
      </c>
      <c r="P16" s="124">
        <v>294.10500000000002</v>
      </c>
      <c r="Q16" s="124">
        <v>282.3408</v>
      </c>
      <c r="R16" s="124">
        <v>270.57659999999998</v>
      </c>
      <c r="S16" s="124">
        <v>258.81240000000003</v>
      </c>
      <c r="T16" s="124">
        <v>247.04820000000001</v>
      </c>
      <c r="U16" s="124">
        <v>235.28399999999999</v>
      </c>
      <c r="V16" s="115"/>
      <c r="W16" s="44"/>
      <c r="X16" s="76"/>
      <c r="Y16" s="76"/>
      <c r="Z16" s="76"/>
      <c r="AA16" s="76"/>
      <c r="AB16" s="76"/>
      <c r="AC16" s="76"/>
      <c r="AD16" s="76"/>
      <c r="AE16" s="76"/>
      <c r="AF16" s="76"/>
      <c r="AG16" s="76"/>
      <c r="AH16" s="105"/>
    </row>
    <row r="17" spans="1:34" hidden="1" x14ac:dyDescent="0.35">
      <c r="A17" s="98"/>
      <c r="B17" s="2188"/>
      <c r="C17" s="116"/>
      <c r="D17" s="2188"/>
      <c r="E17" s="111">
        <v>3</v>
      </c>
      <c r="F17" s="112"/>
      <c r="G17" s="124">
        <v>369.40799999999996</v>
      </c>
      <c r="H17" s="124">
        <v>403.09200000000004</v>
      </c>
      <c r="I17" s="124">
        <v>297.88800000000003</v>
      </c>
      <c r="J17" s="124">
        <v>291.95999999999998</v>
      </c>
      <c r="K17" s="124">
        <v>284.52</v>
      </c>
      <c r="L17" s="124">
        <v>342.34800000000001</v>
      </c>
      <c r="M17" s="124">
        <v>363.74475000000001</v>
      </c>
      <c r="N17" s="124">
        <v>385.14150000000001</v>
      </c>
      <c r="O17" s="124">
        <v>406.53825000000001</v>
      </c>
      <c r="P17" s="124">
        <v>427.935</v>
      </c>
      <c r="Q17" s="124">
        <v>410.81760000000003</v>
      </c>
      <c r="R17" s="124">
        <v>393.7002</v>
      </c>
      <c r="S17" s="124">
        <v>376.58280000000002</v>
      </c>
      <c r="T17" s="124">
        <v>359.46540000000005</v>
      </c>
      <c r="U17" s="124">
        <v>342.34800000000001</v>
      </c>
      <c r="V17" s="115"/>
      <c r="W17" s="44"/>
      <c r="X17" s="76"/>
      <c r="Y17" s="76"/>
      <c r="Z17" s="76"/>
      <c r="AA17" s="76"/>
      <c r="AB17" s="76"/>
      <c r="AC17" s="76"/>
      <c r="AD17" s="76"/>
      <c r="AE17" s="76"/>
      <c r="AF17" s="76"/>
      <c r="AG17" s="76"/>
      <c r="AH17" s="105"/>
    </row>
    <row r="18" spans="1:34" hidden="1" x14ac:dyDescent="0.35">
      <c r="A18" s="98"/>
      <c r="B18" s="2188"/>
      <c r="C18" s="116"/>
      <c r="D18" s="2189"/>
      <c r="E18" s="111">
        <v>4</v>
      </c>
      <c r="F18" s="112"/>
      <c r="G18" s="124">
        <v>364.92</v>
      </c>
      <c r="H18" s="124">
        <v>332.73599999999999</v>
      </c>
      <c r="I18" s="124">
        <v>271.05599999999998</v>
      </c>
      <c r="J18" s="124">
        <v>240.24</v>
      </c>
      <c r="K18" s="124">
        <v>362.50799999999998</v>
      </c>
      <c r="L18" s="124">
        <v>482.02800000000002</v>
      </c>
      <c r="M18" s="124">
        <v>512.15475000000004</v>
      </c>
      <c r="N18" s="124">
        <v>542.28150000000005</v>
      </c>
      <c r="O18" s="124">
        <v>572.40825000000007</v>
      </c>
      <c r="P18" s="124">
        <v>602.53499999999997</v>
      </c>
      <c r="Q18" s="124">
        <v>578.43359999999996</v>
      </c>
      <c r="R18" s="124">
        <v>554.33219999999994</v>
      </c>
      <c r="S18" s="124">
        <v>530.23080000000004</v>
      </c>
      <c r="T18" s="124">
        <v>506.12940000000003</v>
      </c>
      <c r="U18" s="124">
        <v>482.02800000000002</v>
      </c>
      <c r="V18" s="115"/>
      <c r="W18" s="44"/>
      <c r="X18" s="76"/>
      <c r="Y18" s="76"/>
      <c r="Z18" s="76"/>
      <c r="AA18" s="76"/>
      <c r="AB18" s="76"/>
      <c r="AC18" s="76"/>
      <c r="AD18" s="76"/>
      <c r="AE18" s="76"/>
      <c r="AF18" s="76"/>
      <c r="AG18" s="76"/>
      <c r="AH18" s="105"/>
    </row>
    <row r="19" spans="1:34" hidden="1" x14ac:dyDescent="0.35">
      <c r="A19" s="98"/>
      <c r="B19" s="2188"/>
      <c r="C19" s="116"/>
      <c r="D19" s="2187" t="s">
        <v>981</v>
      </c>
      <c r="E19" s="111">
        <v>2</v>
      </c>
      <c r="F19" s="112"/>
      <c r="G19" s="124">
        <v>332.86799999999999</v>
      </c>
      <c r="H19" s="124">
        <v>300.48</v>
      </c>
      <c r="I19" s="124">
        <v>315.20400000000001</v>
      </c>
      <c r="J19" s="124">
        <v>290.44799999999998</v>
      </c>
      <c r="K19" s="124">
        <v>343.93200000000002</v>
      </c>
      <c r="L19" s="124">
        <v>349.32</v>
      </c>
      <c r="M19" s="124">
        <v>371.15249999999997</v>
      </c>
      <c r="N19" s="124">
        <v>392.98500000000001</v>
      </c>
      <c r="O19" s="124">
        <v>414.8175</v>
      </c>
      <c r="P19" s="124">
        <v>436.65</v>
      </c>
      <c r="Q19" s="124">
        <v>419.18400000000003</v>
      </c>
      <c r="R19" s="124">
        <v>401.71800000000002</v>
      </c>
      <c r="S19" s="124">
        <v>384.25200000000007</v>
      </c>
      <c r="T19" s="124">
        <v>366.78600000000006</v>
      </c>
      <c r="U19" s="124">
        <v>349.32</v>
      </c>
      <c r="V19" s="115"/>
      <c r="W19" s="44"/>
      <c r="X19" s="76"/>
      <c r="Y19" s="76"/>
      <c r="Z19" s="76"/>
      <c r="AA19" s="76"/>
      <c r="AB19" s="76"/>
      <c r="AC19" s="76"/>
      <c r="AD19" s="76"/>
      <c r="AE19" s="76"/>
      <c r="AF19" s="76"/>
      <c r="AG19" s="76"/>
      <c r="AH19" s="105"/>
    </row>
    <row r="20" spans="1:34" hidden="1" x14ac:dyDescent="0.35">
      <c r="A20" s="98"/>
      <c r="B20" s="2189"/>
      <c r="C20" s="116"/>
      <c r="D20" s="2189"/>
      <c r="E20" s="111">
        <v>3</v>
      </c>
      <c r="F20" s="112"/>
      <c r="G20" s="124">
        <v>402.81600000000003</v>
      </c>
      <c r="H20" s="124">
        <v>424.12799999999999</v>
      </c>
      <c r="I20" s="124">
        <v>346.404</v>
      </c>
      <c r="J20" s="124">
        <v>327.93599999999998</v>
      </c>
      <c r="K20" s="124">
        <v>247.536</v>
      </c>
      <c r="L20" s="124">
        <v>375.62399999999997</v>
      </c>
      <c r="M20" s="124">
        <v>399.10049999999995</v>
      </c>
      <c r="N20" s="124">
        <v>422.57699999999994</v>
      </c>
      <c r="O20" s="124">
        <v>446.05349999999999</v>
      </c>
      <c r="P20" s="124">
        <v>469.53</v>
      </c>
      <c r="Q20" s="124">
        <v>450.74879999999996</v>
      </c>
      <c r="R20" s="124">
        <v>431.96759999999995</v>
      </c>
      <c r="S20" s="124">
        <v>413.18639999999999</v>
      </c>
      <c r="T20" s="124">
        <v>394.40519999999998</v>
      </c>
      <c r="U20" s="124">
        <v>375.62399999999997</v>
      </c>
      <c r="V20" s="115"/>
      <c r="W20" s="44"/>
      <c r="X20" s="76"/>
      <c r="Y20" s="76"/>
      <c r="Z20" s="76"/>
      <c r="AA20" s="76"/>
      <c r="AB20" s="76"/>
      <c r="AC20" s="76"/>
      <c r="AD20" s="76"/>
      <c r="AE20" s="76"/>
      <c r="AF20" s="76"/>
      <c r="AG20" s="76"/>
      <c r="AH20" s="105"/>
    </row>
    <row r="21" spans="1:34" hidden="1" x14ac:dyDescent="0.35">
      <c r="A21" s="98"/>
      <c r="B21" s="2187">
        <v>95</v>
      </c>
      <c r="C21" s="116"/>
      <c r="D21" s="2187" t="s">
        <v>980</v>
      </c>
      <c r="E21" s="111">
        <v>2</v>
      </c>
      <c r="F21" s="112"/>
      <c r="G21" s="124">
        <v>489.67200000000003</v>
      </c>
      <c r="H21" s="124">
        <v>457.60800000000006</v>
      </c>
      <c r="I21" s="124">
        <v>425.54399999999998</v>
      </c>
      <c r="J21" s="124">
        <v>433.84800000000001</v>
      </c>
      <c r="K21" s="124">
        <v>303.46263698576593</v>
      </c>
      <c r="L21" s="124">
        <v>180.24202657104289</v>
      </c>
      <c r="M21" s="124">
        <v>191.50715323173307</v>
      </c>
      <c r="N21" s="124">
        <v>202.77227989242326</v>
      </c>
      <c r="O21" s="124">
        <v>214.03740655311341</v>
      </c>
      <c r="P21" s="124">
        <v>225.3025332138036</v>
      </c>
      <c r="Q21" s="124">
        <v>216.29043188525145</v>
      </c>
      <c r="R21" s="124">
        <v>207.2783305566993</v>
      </c>
      <c r="S21" s="124">
        <v>198.26622922814718</v>
      </c>
      <c r="T21" s="124">
        <v>189.25412789959503</v>
      </c>
      <c r="U21" s="124">
        <v>180.24202657104289</v>
      </c>
      <c r="V21" s="115"/>
      <c r="W21" s="44"/>
      <c r="X21" s="76"/>
      <c r="Y21" s="76"/>
      <c r="Z21" s="76"/>
      <c r="AA21" s="76"/>
      <c r="AB21" s="76"/>
      <c r="AC21" s="76"/>
      <c r="AD21" s="76"/>
      <c r="AE21" s="76"/>
      <c r="AF21" s="76"/>
      <c r="AG21" s="76"/>
      <c r="AH21" s="105"/>
    </row>
    <row r="22" spans="1:34" hidden="1" x14ac:dyDescent="0.35">
      <c r="A22" s="98"/>
      <c r="B22" s="2188"/>
      <c r="C22" s="116"/>
      <c r="D22" s="2188"/>
      <c r="E22" s="111">
        <v>3</v>
      </c>
      <c r="F22" s="112"/>
      <c r="G22" s="124">
        <v>378.96</v>
      </c>
      <c r="H22" s="124">
        <v>285.79200000000003</v>
      </c>
      <c r="I22" s="124">
        <v>317.60400000000004</v>
      </c>
      <c r="J22" s="124">
        <v>288.75599999999997</v>
      </c>
      <c r="K22" s="124">
        <v>305.52</v>
      </c>
      <c r="L22" s="124">
        <v>181.464</v>
      </c>
      <c r="M22" s="124">
        <v>192.80549999999999</v>
      </c>
      <c r="N22" s="124">
        <v>204.14699999999999</v>
      </c>
      <c r="O22" s="124">
        <v>215.48849999999999</v>
      </c>
      <c r="P22" s="124">
        <v>226.83</v>
      </c>
      <c r="Q22" s="124">
        <v>217.7568</v>
      </c>
      <c r="R22" s="124">
        <v>208.68359999999998</v>
      </c>
      <c r="S22" s="124">
        <v>199.61040000000003</v>
      </c>
      <c r="T22" s="124">
        <v>190.53720000000001</v>
      </c>
      <c r="U22" s="124">
        <v>181.464</v>
      </c>
      <c r="V22" s="115"/>
      <c r="W22" s="44"/>
      <c r="X22" s="76"/>
      <c r="Y22" s="76"/>
      <c r="Z22" s="76"/>
      <c r="AA22" s="76"/>
      <c r="AB22" s="76"/>
      <c r="AC22" s="76"/>
      <c r="AD22" s="76"/>
      <c r="AE22" s="76"/>
      <c r="AF22" s="76"/>
      <c r="AG22" s="76"/>
      <c r="AH22" s="105"/>
    </row>
    <row r="23" spans="1:34" hidden="1" x14ac:dyDescent="0.35">
      <c r="A23" s="98"/>
      <c r="B23" s="2188"/>
      <c r="C23" s="116"/>
      <c r="D23" s="2189"/>
      <c r="E23" s="111">
        <v>4</v>
      </c>
      <c r="F23" s="112"/>
      <c r="G23" s="124">
        <v>439.93252617674551</v>
      </c>
      <c r="H23" s="124">
        <v>331.77432056445122</v>
      </c>
      <c r="I23" s="124">
        <v>368.7046919037341</v>
      </c>
      <c r="J23" s="124">
        <v>335.21521144366773</v>
      </c>
      <c r="K23" s="124">
        <v>354.67644447308237</v>
      </c>
      <c r="L23" s="124">
        <v>210.66053390895331</v>
      </c>
      <c r="M23" s="124">
        <v>223.82681727826289</v>
      </c>
      <c r="N23" s="124">
        <v>236.99310064757248</v>
      </c>
      <c r="O23" s="124">
        <v>250.15938401688206</v>
      </c>
      <c r="P23" s="124">
        <v>263.32566738619164</v>
      </c>
      <c r="Q23" s="124">
        <v>252.79264069074395</v>
      </c>
      <c r="R23" s="124">
        <v>242.25961399529629</v>
      </c>
      <c r="S23" s="124">
        <v>231.72658729984866</v>
      </c>
      <c r="T23" s="124">
        <v>221.193560604401</v>
      </c>
      <c r="U23" s="124">
        <v>210.66053390895331</v>
      </c>
      <c r="V23" s="115"/>
      <c r="W23" s="44"/>
      <c r="X23" s="76"/>
      <c r="Y23" s="76"/>
      <c r="Z23" s="76"/>
      <c r="AA23" s="76"/>
      <c r="AB23" s="76"/>
      <c r="AC23" s="76"/>
      <c r="AD23" s="76"/>
      <c r="AE23" s="76"/>
      <c r="AF23" s="76"/>
      <c r="AG23" s="76"/>
      <c r="AH23" s="105"/>
    </row>
    <row r="24" spans="1:34" hidden="1" x14ac:dyDescent="0.35">
      <c r="A24" s="98"/>
      <c r="B24" s="2188"/>
      <c r="C24" s="116"/>
      <c r="D24" s="2187" t="s">
        <v>981</v>
      </c>
      <c r="E24" s="111">
        <v>2</v>
      </c>
      <c r="F24" s="112"/>
      <c r="G24" s="124">
        <v>298.404</v>
      </c>
      <c r="H24" s="124">
        <v>297.39600000000002</v>
      </c>
      <c r="I24" s="124">
        <v>292.06799999999998</v>
      </c>
      <c r="J24" s="124">
        <v>287.88</v>
      </c>
      <c r="K24" s="124">
        <v>305.32799999999997</v>
      </c>
      <c r="L24" s="124">
        <v>313.416</v>
      </c>
      <c r="M24" s="124">
        <v>333.00450000000001</v>
      </c>
      <c r="N24" s="124">
        <v>352.59300000000002</v>
      </c>
      <c r="O24" s="124">
        <v>372.18149999999997</v>
      </c>
      <c r="P24" s="124">
        <v>391.77</v>
      </c>
      <c r="Q24" s="124">
        <v>376.0992</v>
      </c>
      <c r="R24" s="124">
        <v>360.42839999999995</v>
      </c>
      <c r="S24" s="124">
        <v>344.75760000000002</v>
      </c>
      <c r="T24" s="124">
        <v>329.08679999999998</v>
      </c>
      <c r="U24" s="124">
        <v>313.416</v>
      </c>
      <c r="V24" s="115"/>
      <c r="W24" s="44"/>
      <c r="X24" s="76"/>
      <c r="Y24" s="76"/>
      <c r="Z24" s="76"/>
      <c r="AA24" s="76"/>
      <c r="AB24" s="76"/>
      <c r="AC24" s="76"/>
      <c r="AD24" s="76"/>
      <c r="AE24" s="76"/>
      <c r="AF24" s="76"/>
      <c r="AG24" s="76"/>
      <c r="AH24" s="105"/>
    </row>
    <row r="25" spans="1:34" hidden="1" x14ac:dyDescent="0.35">
      <c r="A25" s="98"/>
      <c r="B25" s="2188"/>
      <c r="C25" s="116"/>
      <c r="D25" s="2188"/>
      <c r="E25" s="111">
        <v>3</v>
      </c>
      <c r="F25" s="112"/>
      <c r="G25" s="124">
        <v>402.81600000000003</v>
      </c>
      <c r="H25" s="124">
        <v>424.12799999999999</v>
      </c>
      <c r="I25" s="124">
        <v>346.404</v>
      </c>
      <c r="J25" s="124">
        <v>327.93599999999998</v>
      </c>
      <c r="K25" s="124">
        <v>247.536</v>
      </c>
      <c r="L25" s="124">
        <v>375.62399999999997</v>
      </c>
      <c r="M25" s="124">
        <v>399.10049999999995</v>
      </c>
      <c r="N25" s="124">
        <v>422.57699999999994</v>
      </c>
      <c r="O25" s="124">
        <v>446.05349999999999</v>
      </c>
      <c r="P25" s="124">
        <v>469.53</v>
      </c>
      <c r="Q25" s="124">
        <v>450.74879999999996</v>
      </c>
      <c r="R25" s="124">
        <v>431.96759999999995</v>
      </c>
      <c r="S25" s="124">
        <v>413.18639999999999</v>
      </c>
      <c r="T25" s="124">
        <v>394.40519999999998</v>
      </c>
      <c r="U25" s="124">
        <v>375.62399999999997</v>
      </c>
      <c r="V25" s="115"/>
      <c r="W25" s="44"/>
      <c r="X25" s="76"/>
      <c r="Y25" s="76"/>
      <c r="Z25" s="76"/>
      <c r="AA25" s="76"/>
      <c r="AB25" s="76"/>
      <c r="AC25" s="76"/>
      <c r="AD25" s="76"/>
      <c r="AE25" s="76"/>
      <c r="AF25" s="76"/>
      <c r="AG25" s="76"/>
      <c r="AH25" s="105"/>
    </row>
    <row r="26" spans="1:34" hidden="1" x14ac:dyDescent="0.35">
      <c r="A26" s="98"/>
      <c r="B26" s="2189"/>
      <c r="C26" s="116"/>
      <c r="D26" s="2189"/>
      <c r="E26" s="111">
        <v>4</v>
      </c>
      <c r="F26" s="112"/>
      <c r="G26" s="124">
        <v>467.6268219981315</v>
      </c>
      <c r="H26" s="124">
        <v>492.36780257095921</v>
      </c>
      <c r="I26" s="124">
        <v>402.13844943458241</v>
      </c>
      <c r="J26" s="124">
        <v>380.69905241792588</v>
      </c>
      <c r="K26" s="124">
        <v>287.36314597764112</v>
      </c>
      <c r="L26" s="124">
        <v>436.05978259608884</v>
      </c>
      <c r="M26" s="124">
        <v>463.31351900834437</v>
      </c>
      <c r="N26" s="124">
        <v>490.56725542059996</v>
      </c>
      <c r="O26" s="124">
        <v>517.8209918328555</v>
      </c>
      <c r="P26" s="124">
        <v>545.07472824511103</v>
      </c>
      <c r="Q26" s="124">
        <v>523.27173911530656</v>
      </c>
      <c r="R26" s="124">
        <v>501.46874998550214</v>
      </c>
      <c r="S26" s="124">
        <v>479.66576085569778</v>
      </c>
      <c r="T26" s="124">
        <v>457.86277172589331</v>
      </c>
      <c r="U26" s="124">
        <v>436.05978259608884</v>
      </c>
      <c r="V26" s="115"/>
      <c r="W26" s="44"/>
      <c r="X26" s="76"/>
      <c r="Y26" s="76"/>
      <c r="Z26" s="76"/>
      <c r="AA26" s="76"/>
      <c r="AB26" s="76"/>
      <c r="AC26" s="76"/>
      <c r="AD26" s="76"/>
      <c r="AE26" s="76"/>
      <c r="AF26" s="76"/>
      <c r="AG26" s="76"/>
      <c r="AH26" s="105"/>
    </row>
    <row r="27" spans="1:34" hidden="1" x14ac:dyDescent="0.35">
      <c r="A27" s="98"/>
      <c r="B27" s="2187">
        <v>105</v>
      </c>
      <c r="C27" s="116"/>
      <c r="D27" s="2187" t="s">
        <v>980</v>
      </c>
      <c r="E27" s="111">
        <v>2</v>
      </c>
      <c r="F27" s="112"/>
      <c r="G27" s="124">
        <v>205.08</v>
      </c>
      <c r="H27" s="124">
        <v>266.84399999999999</v>
      </c>
      <c r="I27" s="124">
        <v>207.91839118537706</v>
      </c>
      <c r="J27" s="124">
        <v>433.84800000000001</v>
      </c>
      <c r="K27" s="124">
        <v>303.46263698576593</v>
      </c>
      <c r="L27" s="124">
        <v>180.24202657104289</v>
      </c>
      <c r="M27" s="124">
        <v>191.50715323173307</v>
      </c>
      <c r="N27" s="124">
        <v>202.77227989242326</v>
      </c>
      <c r="O27" s="124">
        <v>214.03740655311341</v>
      </c>
      <c r="P27" s="124">
        <v>225.3025332138036</v>
      </c>
      <c r="Q27" s="124">
        <v>216.29043188525145</v>
      </c>
      <c r="R27" s="124">
        <v>207.2783305566993</v>
      </c>
      <c r="S27" s="124">
        <v>198.26622922814718</v>
      </c>
      <c r="T27" s="124">
        <v>189.25412789959503</v>
      </c>
      <c r="U27" s="124">
        <v>180.24202657104289</v>
      </c>
      <c r="V27" s="115"/>
      <c r="W27" s="44"/>
      <c r="X27" s="76"/>
      <c r="Y27" s="76"/>
      <c r="Z27" s="76"/>
      <c r="AA27" s="76"/>
      <c r="AB27" s="76"/>
      <c r="AC27" s="76"/>
      <c r="AD27" s="76"/>
      <c r="AE27" s="76"/>
      <c r="AF27" s="76"/>
      <c r="AG27" s="76"/>
      <c r="AH27" s="105"/>
    </row>
    <row r="28" spans="1:34" hidden="1" x14ac:dyDescent="0.35">
      <c r="A28" s="98"/>
      <c r="B28" s="2188"/>
      <c r="C28" s="116"/>
      <c r="D28" s="2188"/>
      <c r="E28" s="111">
        <v>3</v>
      </c>
      <c r="F28" s="112"/>
      <c r="G28" s="124">
        <v>218.55599999999998</v>
      </c>
      <c r="H28" s="124">
        <v>192.13200000000001</v>
      </c>
      <c r="I28" s="124">
        <v>209.328</v>
      </c>
      <c r="J28" s="124">
        <v>288.75599999999997</v>
      </c>
      <c r="K28" s="124">
        <v>305.52</v>
      </c>
      <c r="L28" s="124">
        <v>181.464</v>
      </c>
      <c r="M28" s="124">
        <v>192.80549999999999</v>
      </c>
      <c r="N28" s="124">
        <v>204.14699999999999</v>
      </c>
      <c r="O28" s="124">
        <v>215.48849999999999</v>
      </c>
      <c r="P28" s="124">
        <v>226.83</v>
      </c>
      <c r="Q28" s="124">
        <v>217.7568</v>
      </c>
      <c r="R28" s="124">
        <v>208.68359999999998</v>
      </c>
      <c r="S28" s="124">
        <v>199.61040000000003</v>
      </c>
      <c r="T28" s="124">
        <v>190.53720000000001</v>
      </c>
      <c r="U28" s="124">
        <v>181.464</v>
      </c>
      <c r="V28" s="115"/>
      <c r="W28" s="44"/>
      <c r="X28" s="76"/>
      <c r="Y28" s="76"/>
      <c r="Z28" s="76"/>
      <c r="AA28" s="76"/>
      <c r="AB28" s="76"/>
      <c r="AC28" s="76"/>
      <c r="AD28" s="76"/>
      <c r="AE28" s="76"/>
      <c r="AF28" s="76"/>
      <c r="AG28" s="76"/>
      <c r="AH28" s="105"/>
    </row>
    <row r="29" spans="1:34" hidden="1" x14ac:dyDescent="0.35">
      <c r="A29" s="98"/>
      <c r="B29" s="2188"/>
      <c r="C29" s="116"/>
      <c r="D29" s="2189"/>
      <c r="E29" s="111">
        <v>4</v>
      </c>
      <c r="F29" s="112"/>
      <c r="G29" s="124">
        <v>253.72042746222502</v>
      </c>
      <c r="H29" s="124">
        <v>223.04495492767168</v>
      </c>
      <c r="I29" s="124">
        <v>243.00769432004901</v>
      </c>
      <c r="J29" s="124">
        <v>335.21521144366773</v>
      </c>
      <c r="K29" s="124">
        <v>354.67644447308237</v>
      </c>
      <c r="L29" s="124">
        <v>210.66053390895331</v>
      </c>
      <c r="M29" s="124">
        <v>223.82681727826289</v>
      </c>
      <c r="N29" s="124">
        <v>236.99310064757248</v>
      </c>
      <c r="O29" s="124">
        <v>250.15938401688206</v>
      </c>
      <c r="P29" s="124">
        <v>263.32566738619164</v>
      </c>
      <c r="Q29" s="124">
        <v>252.79264069074395</v>
      </c>
      <c r="R29" s="124">
        <v>242.25961399529629</v>
      </c>
      <c r="S29" s="124">
        <v>231.72658729984866</v>
      </c>
      <c r="T29" s="124">
        <v>221.193560604401</v>
      </c>
      <c r="U29" s="124">
        <v>210.66053390895331</v>
      </c>
      <c r="V29" s="115"/>
      <c r="W29" s="44"/>
      <c r="X29" s="76"/>
      <c r="Y29" s="76"/>
      <c r="Z29" s="76"/>
      <c r="AA29" s="76"/>
      <c r="AB29" s="76"/>
      <c r="AC29" s="76"/>
      <c r="AD29" s="76"/>
      <c r="AE29" s="76"/>
      <c r="AF29" s="76"/>
      <c r="AG29" s="76"/>
      <c r="AH29" s="105"/>
    </row>
    <row r="30" spans="1:34" hidden="1" x14ac:dyDescent="0.35">
      <c r="A30" s="98"/>
      <c r="B30" s="2188"/>
      <c r="C30" s="116"/>
      <c r="D30" s="2187" t="s">
        <v>981</v>
      </c>
      <c r="E30" s="111">
        <v>2</v>
      </c>
      <c r="F30" s="112"/>
      <c r="G30" s="124">
        <v>198.036</v>
      </c>
      <c r="H30" s="124">
        <v>229.15200000000002</v>
      </c>
      <c r="I30" s="124">
        <v>150.18</v>
      </c>
      <c r="J30" s="124">
        <v>287.88</v>
      </c>
      <c r="K30" s="124">
        <v>305.32799999999997</v>
      </c>
      <c r="L30" s="124">
        <v>313.416</v>
      </c>
      <c r="M30" s="124">
        <v>333.00450000000001</v>
      </c>
      <c r="N30" s="124">
        <v>352.59300000000002</v>
      </c>
      <c r="O30" s="124">
        <v>372.18149999999997</v>
      </c>
      <c r="P30" s="124">
        <v>391.77</v>
      </c>
      <c r="Q30" s="124">
        <v>376.0992</v>
      </c>
      <c r="R30" s="124">
        <v>360.42839999999995</v>
      </c>
      <c r="S30" s="124">
        <v>344.75760000000002</v>
      </c>
      <c r="T30" s="124">
        <v>329.08679999999998</v>
      </c>
      <c r="U30" s="124">
        <v>313.416</v>
      </c>
      <c r="V30" s="115"/>
      <c r="W30" s="44"/>
      <c r="X30" s="76"/>
      <c r="Y30" s="76"/>
      <c r="Z30" s="76"/>
      <c r="AA30" s="76"/>
      <c r="AB30" s="76"/>
      <c r="AC30" s="76"/>
      <c r="AD30" s="76"/>
      <c r="AE30" s="76"/>
      <c r="AF30" s="76"/>
      <c r="AG30" s="76"/>
      <c r="AH30" s="105"/>
    </row>
    <row r="31" spans="1:34" hidden="1" x14ac:dyDescent="0.35">
      <c r="A31" s="98"/>
      <c r="B31" s="2188"/>
      <c r="C31" s="116"/>
      <c r="D31" s="2188"/>
      <c r="E31" s="111">
        <v>3</v>
      </c>
      <c r="F31" s="112"/>
      <c r="G31" s="124">
        <v>409.86</v>
      </c>
      <c r="H31" s="124">
        <v>269.62799999999999</v>
      </c>
      <c r="I31" s="124">
        <v>195.4646834846956</v>
      </c>
      <c r="J31" s="124">
        <v>327.93599999999998</v>
      </c>
      <c r="K31" s="124">
        <v>247.536</v>
      </c>
      <c r="L31" s="124">
        <v>375.62399999999997</v>
      </c>
      <c r="M31" s="124">
        <v>399.10049999999995</v>
      </c>
      <c r="N31" s="124">
        <v>422.57699999999994</v>
      </c>
      <c r="O31" s="124">
        <v>446.05349999999999</v>
      </c>
      <c r="P31" s="124">
        <v>469.53</v>
      </c>
      <c r="Q31" s="124">
        <v>450.74879999999996</v>
      </c>
      <c r="R31" s="124">
        <v>431.96759999999995</v>
      </c>
      <c r="S31" s="124">
        <v>413.18639999999999</v>
      </c>
      <c r="T31" s="124">
        <v>394.40519999999998</v>
      </c>
      <c r="U31" s="124">
        <v>375.62399999999997</v>
      </c>
      <c r="V31" s="115"/>
      <c r="W31" s="44"/>
      <c r="X31" s="76"/>
      <c r="Y31" s="76"/>
      <c r="Z31" s="76"/>
      <c r="AA31" s="76"/>
      <c r="AB31" s="76"/>
      <c r="AC31" s="76"/>
      <c r="AD31" s="76"/>
      <c r="AE31" s="76"/>
      <c r="AF31" s="76"/>
      <c r="AG31" s="76"/>
      <c r="AH31" s="105"/>
    </row>
    <row r="32" spans="1:34" hidden="1" x14ac:dyDescent="0.35">
      <c r="A32" s="98"/>
      <c r="B32" s="2189"/>
      <c r="C32" s="116"/>
      <c r="D32" s="2189"/>
      <c r="E32" s="111">
        <v>4</v>
      </c>
      <c r="F32" s="112"/>
      <c r="G32" s="124">
        <v>475.80416186088485</v>
      </c>
      <c r="H32" s="124">
        <v>313.00962415026265</v>
      </c>
      <c r="I32" s="124">
        <v>226.91384838442082</v>
      </c>
      <c r="J32" s="124">
        <v>380.69905241792588</v>
      </c>
      <c r="K32" s="124">
        <v>287.36314597764112</v>
      </c>
      <c r="L32" s="124">
        <v>436.05978259608884</v>
      </c>
      <c r="M32" s="124">
        <v>463.31351900834437</v>
      </c>
      <c r="N32" s="124">
        <v>490.56725542059996</v>
      </c>
      <c r="O32" s="124">
        <v>517.8209918328555</v>
      </c>
      <c r="P32" s="124">
        <v>545.07472824511103</v>
      </c>
      <c r="Q32" s="124">
        <v>523.27173911530656</v>
      </c>
      <c r="R32" s="124">
        <v>501.46874998550214</v>
      </c>
      <c r="S32" s="124">
        <v>479.66576085569778</v>
      </c>
      <c r="T32" s="124">
        <v>457.86277172589331</v>
      </c>
      <c r="U32" s="124">
        <v>436.05978259608884</v>
      </c>
      <c r="V32" s="115"/>
      <c r="W32" s="44"/>
      <c r="X32" s="76"/>
      <c r="Y32" s="76"/>
      <c r="Z32" s="76"/>
      <c r="AA32" s="76"/>
      <c r="AB32" s="76"/>
      <c r="AC32" s="76"/>
      <c r="AD32" s="76"/>
      <c r="AE32" s="76"/>
      <c r="AF32" s="76"/>
      <c r="AG32" s="76"/>
      <c r="AH32" s="105"/>
    </row>
    <row r="33" spans="1:34" ht="15" hidden="1" customHeight="1" x14ac:dyDescent="0.35">
      <c r="A33" s="98"/>
      <c r="B33" s="118"/>
      <c r="C33" s="119"/>
      <c r="D33" s="2184"/>
      <c r="E33" s="2185"/>
      <c r="F33" s="119"/>
      <c r="G33" s="120"/>
      <c r="H33" s="121"/>
      <c r="I33" s="121"/>
      <c r="J33" s="121"/>
      <c r="K33" s="121"/>
      <c r="L33" s="121"/>
      <c r="M33" s="121"/>
      <c r="N33" s="121"/>
      <c r="O33" s="121"/>
      <c r="P33" s="121"/>
      <c r="Q33" s="121"/>
      <c r="R33" s="121"/>
      <c r="S33" s="121"/>
      <c r="T33" s="121"/>
      <c r="U33" s="122"/>
      <c r="V33" s="123"/>
      <c r="W33" s="44"/>
      <c r="X33" s="76"/>
      <c r="Y33" s="76"/>
      <c r="Z33" s="76"/>
      <c r="AA33" s="76"/>
      <c r="AB33" s="76"/>
      <c r="AC33" s="76"/>
      <c r="AD33" s="76"/>
      <c r="AE33" s="76"/>
      <c r="AF33" s="76"/>
      <c r="AG33" s="76"/>
      <c r="AH33" s="105"/>
    </row>
    <row r="34" spans="1:34" x14ac:dyDescent="0.35">
      <c r="A34" s="75"/>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4"/>
    </row>
    <row r="35" spans="1:34" hidden="1" x14ac:dyDescent="0.35">
      <c r="A35" s="98"/>
      <c r="B35" s="76"/>
      <c r="D35" s="76"/>
      <c r="E35" s="76"/>
      <c r="G35" s="76"/>
      <c r="H35" s="76"/>
      <c r="I35" s="76"/>
      <c r="J35" s="76"/>
      <c r="K35" s="76"/>
      <c r="L35" s="76"/>
      <c r="M35" s="76"/>
      <c r="N35" s="76"/>
      <c r="O35" s="76"/>
      <c r="P35" s="76"/>
      <c r="Q35" s="76"/>
      <c r="R35" s="76"/>
      <c r="S35" s="76"/>
      <c r="T35" s="76"/>
      <c r="U35" s="76"/>
      <c r="V35" s="76"/>
      <c r="W35" s="44"/>
      <c r="X35" s="44"/>
      <c r="Y35" s="44"/>
      <c r="Z35" s="44"/>
      <c r="AA35" s="44"/>
      <c r="AB35" s="44"/>
      <c r="AC35" s="44"/>
      <c r="AD35" s="44"/>
      <c r="AE35" s="44"/>
      <c r="AF35" s="44"/>
      <c r="AG35" s="44"/>
      <c r="AH35" s="44"/>
    </row>
    <row r="36" spans="1:34" hidden="1" x14ac:dyDescent="0.35">
      <c r="A36" s="75"/>
      <c r="B36" s="73"/>
      <c r="D36" s="73"/>
      <c r="E36" s="73"/>
      <c r="G36" s="73"/>
      <c r="H36" s="73"/>
      <c r="I36" s="73"/>
      <c r="J36" s="73"/>
      <c r="K36" s="73"/>
      <c r="L36" s="73"/>
      <c r="M36" s="73"/>
      <c r="N36" s="73"/>
      <c r="O36" s="73"/>
      <c r="P36" s="73"/>
      <c r="Q36" s="73"/>
      <c r="R36" s="73"/>
      <c r="S36" s="73"/>
      <c r="T36" s="73"/>
      <c r="U36" s="73"/>
      <c r="V36" s="73"/>
      <c r="W36" s="44"/>
      <c r="X36" s="44"/>
      <c r="Y36" s="44"/>
      <c r="Z36" s="44"/>
      <c r="AA36" s="44"/>
      <c r="AB36" s="44"/>
      <c r="AC36" s="44"/>
      <c r="AD36" s="44"/>
      <c r="AE36" s="44"/>
      <c r="AF36" s="44"/>
      <c r="AG36" s="44"/>
      <c r="AH36" s="44"/>
    </row>
    <row r="37" spans="1:34" hidden="1" x14ac:dyDescent="0.35">
      <c r="A37" s="44"/>
      <c r="R37" s="44"/>
      <c r="S37" s="44"/>
      <c r="T37" s="44"/>
      <c r="U37" s="44"/>
      <c r="V37" s="44"/>
      <c r="W37" s="44"/>
      <c r="X37" s="44"/>
      <c r="Y37" s="44"/>
      <c r="Z37" s="44"/>
      <c r="AA37" s="44"/>
      <c r="AB37" s="44"/>
      <c r="AC37" s="44"/>
      <c r="AD37" s="44"/>
      <c r="AE37" s="44"/>
      <c r="AF37" s="44"/>
      <c r="AG37" s="44"/>
      <c r="AH37" s="44"/>
    </row>
    <row r="38" spans="1:34" hidden="1" x14ac:dyDescent="0.35">
      <c r="A38" s="44"/>
      <c r="R38" s="44"/>
      <c r="S38" s="44"/>
      <c r="T38" s="44"/>
      <c r="U38" s="44"/>
      <c r="V38" s="44"/>
      <c r="W38" s="44"/>
      <c r="X38" s="44"/>
      <c r="Y38" s="44"/>
      <c r="Z38" s="44"/>
      <c r="AA38" s="44"/>
      <c r="AB38" s="44"/>
      <c r="AC38" s="44"/>
      <c r="AD38" s="44"/>
      <c r="AE38" s="44"/>
      <c r="AF38" s="44"/>
      <c r="AG38" s="44"/>
      <c r="AH38" s="44"/>
    </row>
    <row r="39" spans="1:34" hidden="1" x14ac:dyDescent="0.35">
      <c r="A39" s="44"/>
      <c r="R39" s="44"/>
      <c r="S39" s="44"/>
      <c r="T39" s="44"/>
      <c r="U39" s="44"/>
      <c r="V39" s="44"/>
      <c r="W39" s="44"/>
      <c r="X39" s="44"/>
      <c r="Y39" s="44"/>
      <c r="Z39" s="44"/>
      <c r="AA39" s="44"/>
      <c r="AB39" s="44"/>
      <c r="AC39" s="44"/>
      <c r="AD39" s="44"/>
      <c r="AE39" s="44"/>
      <c r="AF39" s="44"/>
      <c r="AG39" s="44"/>
      <c r="AH39" s="44"/>
    </row>
    <row r="40" spans="1:34" hidden="1" x14ac:dyDescent="0.35">
      <c r="A40" s="44"/>
      <c r="R40" s="44"/>
      <c r="S40" s="44"/>
      <c r="T40" s="44"/>
      <c r="U40" s="44"/>
      <c r="V40" s="44"/>
      <c r="W40" s="44"/>
      <c r="X40" s="44"/>
      <c r="Y40" s="44"/>
      <c r="Z40" s="44"/>
      <c r="AA40" s="44"/>
      <c r="AB40" s="44"/>
      <c r="AC40" s="44"/>
      <c r="AD40" s="44"/>
      <c r="AE40" s="44"/>
      <c r="AF40" s="44"/>
      <c r="AG40" s="44"/>
      <c r="AH40" s="44"/>
    </row>
    <row r="41" spans="1:34" hidden="1" x14ac:dyDescent="0.35">
      <c r="A41" s="44"/>
      <c r="R41" s="44"/>
      <c r="S41" s="44"/>
      <c r="T41" s="44"/>
      <c r="U41" s="44"/>
      <c r="V41" s="44"/>
      <c r="W41" s="44"/>
      <c r="X41" s="44"/>
      <c r="Y41" s="44"/>
      <c r="Z41" s="44"/>
      <c r="AA41" s="44"/>
      <c r="AB41" s="44"/>
      <c r="AC41" s="44"/>
      <c r="AD41" s="44"/>
      <c r="AE41" s="44"/>
      <c r="AF41" s="44"/>
      <c r="AG41" s="44"/>
      <c r="AH41" s="44"/>
    </row>
    <row r="42" spans="1:34" hidden="1" x14ac:dyDescent="0.35">
      <c r="A42" s="44"/>
      <c r="R42" s="44"/>
      <c r="S42" s="44"/>
      <c r="T42" s="44"/>
      <c r="U42" s="44"/>
      <c r="V42" s="44"/>
      <c r="W42" s="44"/>
      <c r="X42" s="44"/>
      <c r="Y42" s="44"/>
      <c r="Z42" s="44"/>
      <c r="AA42" s="44"/>
      <c r="AB42" s="44"/>
      <c r="AC42" s="44"/>
      <c r="AD42" s="44"/>
      <c r="AE42" s="44"/>
      <c r="AF42" s="44"/>
      <c r="AG42" s="44"/>
      <c r="AH42" s="44"/>
    </row>
    <row r="43" spans="1:34" hidden="1" x14ac:dyDescent="0.35">
      <c r="A43" s="44"/>
      <c r="R43" s="44"/>
      <c r="S43" s="44"/>
      <c r="T43" s="44"/>
      <c r="U43" s="44"/>
      <c r="V43" s="44"/>
      <c r="W43" s="44"/>
      <c r="X43" s="44"/>
      <c r="Y43" s="44"/>
      <c r="Z43" s="44"/>
      <c r="AA43" s="44"/>
      <c r="AB43" s="44"/>
      <c r="AC43" s="44"/>
      <c r="AD43" s="44"/>
      <c r="AE43" s="44"/>
      <c r="AF43" s="44"/>
      <c r="AG43" s="44"/>
      <c r="AH43" s="44"/>
    </row>
    <row r="44" spans="1:34" hidden="1" x14ac:dyDescent="0.35">
      <c r="A44" s="44"/>
      <c r="R44" s="44"/>
      <c r="S44" s="44"/>
      <c r="T44" s="44"/>
      <c r="U44" s="44"/>
      <c r="V44" s="44"/>
      <c r="W44" s="44"/>
      <c r="X44" s="44"/>
      <c r="Y44" s="44"/>
      <c r="Z44" s="44"/>
      <c r="AA44" s="44"/>
      <c r="AB44" s="44"/>
      <c r="AC44" s="44"/>
      <c r="AD44" s="44"/>
      <c r="AE44" s="44"/>
      <c r="AF44" s="44"/>
      <c r="AG44" s="44"/>
      <c r="AH44" s="44"/>
    </row>
    <row r="45" spans="1:34" hidden="1" x14ac:dyDescent="0.35">
      <c r="A45" s="44"/>
      <c r="R45" s="44"/>
      <c r="S45" s="44"/>
      <c r="T45" s="44"/>
      <c r="U45" s="44"/>
      <c r="V45" s="44"/>
      <c r="W45" s="44"/>
      <c r="X45" s="44"/>
      <c r="Y45" s="44"/>
      <c r="Z45" s="44"/>
      <c r="AA45" s="44"/>
      <c r="AB45" s="44"/>
      <c r="AC45" s="44"/>
      <c r="AD45" s="44"/>
      <c r="AE45" s="44"/>
      <c r="AF45" s="44"/>
      <c r="AG45" s="44"/>
      <c r="AH45" s="44"/>
    </row>
    <row r="46" spans="1:34" hidden="1" x14ac:dyDescent="0.35">
      <c r="A46" s="44"/>
      <c r="R46" s="44"/>
      <c r="S46" s="44"/>
      <c r="T46" s="44"/>
      <c r="U46" s="44"/>
      <c r="V46" s="44"/>
      <c r="W46" s="44"/>
      <c r="X46" s="44"/>
      <c r="Y46" s="44"/>
      <c r="Z46" s="44"/>
      <c r="AA46" s="44"/>
      <c r="AB46" s="44"/>
      <c r="AC46" s="44"/>
      <c r="AD46" s="44"/>
      <c r="AE46" s="44"/>
      <c r="AF46" s="44"/>
      <c r="AG46" s="44"/>
      <c r="AH46" s="44"/>
    </row>
    <row r="47" spans="1:34" hidden="1" x14ac:dyDescent="0.35"/>
  </sheetData>
  <sheetProtection password="813F" sheet="1" objects="1" scenarios="1" selectLockedCells="1" selectUnlockedCells="1"/>
  <customSheetViews>
    <customSheetView guid="{51165254-F18A-4CD1-9981-8F2DE14CC76C}" hiddenRows="1" hiddenColumns="1" state="hidden" showRuler="0">
      <selection activeCell="Q27" sqref="Q27"/>
      <pageMargins left="0.75" right="0.75" top="1" bottom="1" header="0.5" footer="0.5"/>
      <pageSetup paperSize="9" scale="76" orientation="landscape" r:id="rId1"/>
      <headerFooter alignWithMargins="0"/>
    </customSheetView>
  </customSheetViews>
  <mergeCells count="18">
    <mergeCell ref="D33:E33"/>
    <mergeCell ref="G5:U5"/>
    <mergeCell ref="D24:D26"/>
    <mergeCell ref="D5:E5"/>
    <mergeCell ref="B8:B10"/>
    <mergeCell ref="B12:B15"/>
    <mergeCell ref="D12:D14"/>
    <mergeCell ref="D8:D9"/>
    <mergeCell ref="A3:W3"/>
    <mergeCell ref="X3:AH3"/>
    <mergeCell ref="B27:B32"/>
    <mergeCell ref="D27:D29"/>
    <mergeCell ref="D30:D32"/>
    <mergeCell ref="B16:B20"/>
    <mergeCell ref="D16:D18"/>
    <mergeCell ref="D19:D20"/>
    <mergeCell ref="B21:B26"/>
    <mergeCell ref="D21:D23"/>
  </mergeCells>
  <phoneticPr fontId="11" type="noConversion"/>
  <pageMargins left="0.75" right="0.75" top="1" bottom="1" header="0.5" footer="0.5"/>
  <pageSetup paperSize="9" scale="76" orientation="landscape" r:id="rId2"/>
  <headerFooter alignWithMargins="0"/>
  <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9">
    <pageSetUpPr fitToPage="1"/>
  </sheetPr>
  <dimension ref="A1:IU47"/>
  <sheetViews>
    <sheetView workbookViewId="0">
      <selection activeCell="G11" sqref="G11:K12"/>
    </sheetView>
  </sheetViews>
  <sheetFormatPr baseColWidth="10" defaultColWidth="0" defaultRowHeight="14.4" zeroHeight="1" x14ac:dyDescent="0.35"/>
  <cols>
    <col min="1" max="1" width="2.6640625" style="45" customWidth="1"/>
    <col min="2" max="2" width="5.33203125" style="45" bestFit="1" customWidth="1"/>
    <col min="3" max="3" width="2.6640625" style="76" customWidth="1"/>
    <col min="4" max="4" width="7.44140625" style="45" bestFit="1" customWidth="1"/>
    <col min="5" max="5" width="8.109375" style="45" customWidth="1"/>
    <col min="6" max="6" width="9.109375" style="76" customWidth="1"/>
    <col min="7" max="21" width="8.77734375" style="45" customWidth="1"/>
    <col min="22" max="22" width="7.33203125" style="45" customWidth="1"/>
    <col min="23" max="23" width="5.109375" style="45" customWidth="1"/>
    <col min="24" max="32" width="5.109375" style="45" hidden="1" customWidth="1"/>
    <col min="33" max="33" width="8.6640625" style="45" hidden="1" customWidth="1"/>
    <col min="34" max="34" width="2" style="45" hidden="1" customWidth="1"/>
    <col min="35" max="255" width="9.109375" style="45" hidden="1" customWidth="1"/>
    <col min="256" max="16384" width="0" style="45" hidden="1"/>
  </cols>
  <sheetData>
    <row r="1" spans="1:34" x14ac:dyDescent="0.35">
      <c r="A1" s="99"/>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100"/>
    </row>
    <row r="2" spans="1:34" ht="37.5" customHeight="1" x14ac:dyDescent="0.35">
      <c r="A2" s="75"/>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4"/>
    </row>
    <row r="3" spans="1:34" ht="28.8" x14ac:dyDescent="0.55000000000000004">
      <c r="A3" s="2178" t="s">
        <v>993</v>
      </c>
      <c r="B3" s="2178"/>
      <c r="C3" s="2178"/>
      <c r="D3" s="2178"/>
      <c r="E3" s="2178"/>
      <c r="F3" s="2178"/>
      <c r="G3" s="2178"/>
      <c r="H3" s="2178"/>
      <c r="I3" s="2178"/>
      <c r="J3" s="2178"/>
      <c r="K3" s="2178"/>
      <c r="L3" s="2178"/>
      <c r="M3" s="2178"/>
      <c r="N3" s="2178"/>
      <c r="O3" s="2178"/>
      <c r="P3" s="2178"/>
      <c r="Q3" s="2178"/>
      <c r="R3" s="2178"/>
      <c r="S3" s="2178"/>
      <c r="T3" s="2178"/>
      <c r="U3" s="2178"/>
      <c r="V3" s="2178"/>
      <c r="W3" s="2178"/>
      <c r="X3" s="2178"/>
      <c r="Y3" s="2178"/>
      <c r="Z3" s="2178"/>
      <c r="AA3" s="2178"/>
      <c r="AB3" s="2178"/>
      <c r="AC3" s="2178"/>
      <c r="AD3" s="2178"/>
      <c r="AE3" s="2178"/>
      <c r="AF3" s="2178"/>
      <c r="AG3" s="2178"/>
      <c r="AH3" s="2178"/>
    </row>
    <row r="4" spans="1:34" ht="15" customHeight="1" x14ac:dyDescent="0.35">
      <c r="A4" s="98"/>
      <c r="B4" s="76"/>
      <c r="D4" s="76"/>
      <c r="E4" s="76"/>
      <c r="G4" s="76"/>
      <c r="H4" s="76"/>
      <c r="I4" s="76"/>
      <c r="J4" s="76"/>
      <c r="K4" s="76"/>
      <c r="L4" s="76"/>
      <c r="M4" s="76"/>
      <c r="N4" s="76"/>
      <c r="O4" s="76"/>
      <c r="P4" s="76"/>
      <c r="Q4" s="76"/>
      <c r="R4" s="76"/>
      <c r="S4" s="76"/>
      <c r="T4" s="76"/>
      <c r="U4" s="76"/>
      <c r="V4" s="76"/>
      <c r="W4" s="77"/>
      <c r="X4" s="77"/>
      <c r="Y4" s="77"/>
      <c r="Z4" s="77"/>
      <c r="AA4" s="77"/>
      <c r="AB4" s="77"/>
      <c r="AC4" s="77"/>
      <c r="AD4" s="77"/>
      <c r="AE4" s="77"/>
      <c r="AF4" s="77"/>
      <c r="AG4" s="77"/>
      <c r="AH4" s="100"/>
    </row>
    <row r="5" spans="1:34" hidden="1" x14ac:dyDescent="0.35">
      <c r="A5" s="98"/>
      <c r="B5" s="101" t="s">
        <v>1069</v>
      </c>
      <c r="C5" s="102"/>
      <c r="D5" s="103"/>
      <c r="E5" s="2186" t="s">
        <v>994</v>
      </c>
      <c r="F5" s="2085"/>
      <c r="G5" s="2085"/>
      <c r="H5" s="2085"/>
      <c r="I5" s="2085"/>
      <c r="J5" s="2085"/>
      <c r="K5" s="2085"/>
      <c r="L5" s="2085"/>
      <c r="M5" s="2085"/>
      <c r="N5" s="2085"/>
      <c r="O5" s="2085"/>
      <c r="P5" s="2085"/>
      <c r="Q5" s="2085"/>
      <c r="R5" s="2085"/>
      <c r="S5" s="2085"/>
      <c r="T5" s="104"/>
      <c r="U5" s="76"/>
      <c r="V5" s="76"/>
      <c r="W5" s="76"/>
      <c r="X5" s="76"/>
      <c r="Y5" s="76"/>
      <c r="Z5" s="76"/>
      <c r="AA5" s="76"/>
      <c r="AB5" s="76"/>
      <c r="AC5" s="76"/>
      <c r="AD5" s="76"/>
      <c r="AE5" s="76"/>
      <c r="AF5" s="105"/>
    </row>
    <row r="6" spans="1:34" hidden="1" x14ac:dyDescent="0.35">
      <c r="A6" s="98"/>
      <c r="B6" s="106" t="s">
        <v>962</v>
      </c>
      <c r="C6" s="102"/>
      <c r="D6" s="102"/>
      <c r="E6" s="1264" t="s">
        <v>965</v>
      </c>
      <c r="F6" s="1264" t="s">
        <v>966</v>
      </c>
      <c r="G6" s="1264" t="s">
        <v>967</v>
      </c>
      <c r="H6" s="1264" t="s">
        <v>968</v>
      </c>
      <c r="I6" s="1264" t="s">
        <v>969</v>
      </c>
      <c r="J6" s="1264" t="s">
        <v>970</v>
      </c>
      <c r="K6" s="1264" t="s">
        <v>971</v>
      </c>
      <c r="L6" s="1264" t="s">
        <v>972</v>
      </c>
      <c r="M6" s="1264" t="s">
        <v>973</v>
      </c>
      <c r="N6" s="1264" t="s">
        <v>974</v>
      </c>
      <c r="O6" s="1264" t="s">
        <v>975</v>
      </c>
      <c r="P6" s="1264" t="s">
        <v>976</v>
      </c>
      <c r="Q6" s="1264" t="s">
        <v>977</v>
      </c>
      <c r="R6" s="1264" t="s">
        <v>978</v>
      </c>
      <c r="S6" s="1264" t="s">
        <v>979</v>
      </c>
      <c r="T6" s="1264" t="s">
        <v>523</v>
      </c>
      <c r="U6" s="44"/>
      <c r="V6" s="76"/>
      <c r="W6" s="76"/>
      <c r="X6" s="76"/>
      <c r="Y6" s="76"/>
      <c r="Z6" s="76"/>
      <c r="AA6" s="76"/>
      <c r="AB6" s="76"/>
      <c r="AC6" s="76"/>
      <c r="AD6" s="76"/>
      <c r="AE6" s="76"/>
      <c r="AF6" s="105"/>
    </row>
    <row r="7" spans="1:34" hidden="1" x14ac:dyDescent="0.35">
      <c r="A7" s="98"/>
      <c r="B7" s="111">
        <v>45</v>
      </c>
      <c r="C7" s="112"/>
      <c r="D7" s="112"/>
      <c r="E7" s="114">
        <f>AVERAGE('DAF Oil CPV'!G7)</f>
        <v>98.22</v>
      </c>
      <c r="F7" s="114">
        <f>AVERAGE('DAF Oil CPV'!H7)</f>
        <v>144.624</v>
      </c>
      <c r="G7" s="114">
        <f>AVERAGE('DAF Oil CPV'!I7)</f>
        <v>123.684</v>
      </c>
      <c r="H7" s="114">
        <f>AVERAGE('DAF Oil CPV'!J7)</f>
        <v>140.328</v>
      </c>
      <c r="I7" s="114">
        <f>AVERAGE('DAF Oil CPV'!K7)</f>
        <v>139.00800000000001</v>
      </c>
      <c r="J7" s="114">
        <f>AVERAGE('DAF Oil CPV'!L7)</f>
        <v>124.68</v>
      </c>
      <c r="K7" s="114">
        <f>AVERAGE('DAF Oil CPV'!M7)</f>
        <v>132.4725</v>
      </c>
      <c r="L7" s="114">
        <f>AVERAGE('DAF Oil CPV'!N7)</f>
        <v>140.26499999999999</v>
      </c>
      <c r="M7" s="114">
        <f>AVERAGE('DAF Oil CPV'!O7)</f>
        <v>148.0575</v>
      </c>
      <c r="N7" s="114">
        <f>AVERAGE('DAF Oil CPV'!P7)</f>
        <v>155.85</v>
      </c>
      <c r="O7" s="114">
        <f>AVERAGE('DAF Oil CPV'!Q7)</f>
        <v>149.61600000000001</v>
      </c>
      <c r="P7" s="114">
        <f>AVERAGE('DAF Oil CPV'!R7)</f>
        <v>143.38200000000001</v>
      </c>
      <c r="Q7" s="114">
        <f>AVERAGE('DAF Oil CPV'!S7)</f>
        <v>137.14800000000002</v>
      </c>
      <c r="R7" s="114">
        <f>AVERAGE('DAF Oil CPV'!T7)</f>
        <v>130.91400000000002</v>
      </c>
      <c r="S7" s="114">
        <f>AVERAGE('DAF Oil CPV'!U7)</f>
        <v>124.68</v>
      </c>
      <c r="T7" s="1263">
        <f t="shared" ref="T7:T14" si="0">AVERAGE(E7:S7)</f>
        <v>135.52860000000001</v>
      </c>
      <c r="U7" s="44"/>
      <c r="V7" s="76"/>
      <c r="W7" s="76"/>
      <c r="X7" s="76"/>
      <c r="Y7" s="76"/>
      <c r="Z7" s="76"/>
      <c r="AA7" s="76"/>
      <c r="AB7" s="76"/>
      <c r="AC7" s="76"/>
      <c r="AD7" s="76"/>
      <c r="AE7" s="76"/>
      <c r="AF7" s="105"/>
    </row>
    <row r="8" spans="1:34" hidden="1" x14ac:dyDescent="0.35">
      <c r="A8" s="98"/>
      <c r="B8" s="1041">
        <v>55</v>
      </c>
      <c r="C8" s="116"/>
      <c r="D8" s="112"/>
      <c r="E8" s="114">
        <f>AVERAGE('DAF Oil CPV'!G8:G10)</f>
        <v>121.61193821743706</v>
      </c>
      <c r="F8" s="114">
        <f>AVERAGE('DAF Oil CPV'!H8:H10)</f>
        <v>163.57176498016676</v>
      </c>
      <c r="G8" s="114">
        <f>AVERAGE('DAF Oil CPV'!I8:I10)</f>
        <v>151.17247353679269</v>
      </c>
      <c r="H8" s="114">
        <f>AVERAGE('DAF Oil CPV'!J8:J10)</f>
        <v>155.72625318546099</v>
      </c>
      <c r="I8" s="114">
        <f>AVERAGE('DAF Oil CPV'!K8:K10)</f>
        <v>128.9890612482798</v>
      </c>
      <c r="J8" s="114">
        <f>AVERAGE('DAF Oil CPV'!L8:L10)</f>
        <v>154.65936766777301</v>
      </c>
      <c r="K8" s="114">
        <f>AVERAGE('DAF Oil CPV'!M8:M10)</f>
        <v>164.32557814700886</v>
      </c>
      <c r="L8" s="114">
        <f>AVERAGE('DAF Oil CPV'!N8:N10)</f>
        <v>173.99178862624467</v>
      </c>
      <c r="M8" s="114">
        <f>AVERAGE('DAF Oil CPV'!O8:O10)</f>
        <v>183.65799910548049</v>
      </c>
      <c r="N8" s="114">
        <f>AVERAGE('DAF Oil CPV'!P8:P10)</f>
        <v>193.3242095847163</v>
      </c>
      <c r="O8" s="114">
        <f>AVERAGE('DAF Oil CPV'!Q8:Q10)</f>
        <v>185.59124120132765</v>
      </c>
      <c r="P8" s="114">
        <f>AVERAGE('DAF Oil CPV'!R8:R10)</f>
        <v>177.85827281793897</v>
      </c>
      <c r="Q8" s="114">
        <f>AVERAGE('DAF Oil CPV'!S8:S10)</f>
        <v>170.12530443455034</v>
      </c>
      <c r="R8" s="114">
        <f>AVERAGE('DAF Oil CPV'!T8:T10)</f>
        <v>162.39233605116169</v>
      </c>
      <c r="S8" s="114">
        <f>AVERAGE('DAF Oil CPV'!U8:U10)</f>
        <v>154.65936766777301</v>
      </c>
      <c r="T8" s="1263">
        <f t="shared" si="0"/>
        <v>162.77713043147415</v>
      </c>
      <c r="U8" s="44"/>
      <c r="V8" s="76"/>
      <c r="W8" s="76"/>
      <c r="X8" s="76"/>
      <c r="Y8" s="76"/>
      <c r="Z8" s="76"/>
      <c r="AA8" s="76"/>
      <c r="AB8" s="76"/>
      <c r="AC8" s="76"/>
      <c r="AD8" s="76"/>
      <c r="AE8" s="76"/>
      <c r="AF8" s="105"/>
    </row>
    <row r="9" spans="1:34" hidden="1" x14ac:dyDescent="0.35">
      <c r="A9" s="98"/>
      <c r="B9" s="117">
        <v>65</v>
      </c>
      <c r="C9" s="112"/>
      <c r="D9" s="112"/>
      <c r="E9" s="114">
        <f>AVERAGE('DAF Oil CPV'!G11)</f>
        <v>185.4590163934426</v>
      </c>
      <c r="F9" s="114">
        <f>AVERAGE('DAF Oil CPV'!H11)</f>
        <v>230.91982978723405</v>
      </c>
      <c r="G9" s="114">
        <f>AVERAGE('DAF Oil CPV'!I11)</f>
        <v>220.45221621621624</v>
      </c>
      <c r="H9" s="114">
        <f>AVERAGE('DAF Oil CPV'!J11)</f>
        <v>223.36449350649352</v>
      </c>
      <c r="I9" s="114">
        <f>AVERAGE('DAF Oil CPV'!K11)</f>
        <v>256.10245810055864</v>
      </c>
      <c r="J9" s="114">
        <f>AVERAGE('DAF Oil CPV'!L11)</f>
        <v>298.49212048192771</v>
      </c>
      <c r="K9" s="114">
        <f>AVERAGE('DAF Oil CPV'!M11)</f>
        <v>317.14787801204818</v>
      </c>
      <c r="L9" s="114">
        <f>AVERAGE('DAF Oil CPV'!N11)</f>
        <v>335.80363554216865</v>
      </c>
      <c r="M9" s="114">
        <f>AVERAGE('DAF Oil CPV'!O11)</f>
        <v>354.45939307228917</v>
      </c>
      <c r="N9" s="114">
        <f>AVERAGE('DAF Oil CPV'!P11)</f>
        <v>373.11515060240964</v>
      </c>
      <c r="O9" s="114">
        <f>AVERAGE('DAF Oil CPV'!Q11)</f>
        <v>358.19054457831322</v>
      </c>
      <c r="P9" s="114">
        <f>AVERAGE('DAF Oil CPV'!R11)</f>
        <v>343.26593855421686</v>
      </c>
      <c r="Q9" s="114">
        <f>AVERAGE('DAF Oil CPV'!S11)</f>
        <v>328.3413325301205</v>
      </c>
      <c r="R9" s="114">
        <f>AVERAGE('DAF Oil CPV'!T11)</f>
        <v>313.41672650602413</v>
      </c>
      <c r="S9" s="114">
        <f>AVERAGE('DAF Oil CPV'!U11)</f>
        <v>298.49212048192771</v>
      </c>
      <c r="T9" s="1263">
        <f t="shared" si="0"/>
        <v>295.80152362435933</v>
      </c>
      <c r="U9" s="44"/>
      <c r="V9" s="76"/>
      <c r="W9" s="76"/>
      <c r="X9" s="76"/>
      <c r="Y9" s="76"/>
      <c r="Z9" s="76"/>
      <c r="AA9" s="76"/>
      <c r="AB9" s="76"/>
      <c r="AC9" s="76"/>
      <c r="AD9" s="76"/>
      <c r="AE9" s="76"/>
      <c r="AF9" s="105"/>
    </row>
    <row r="10" spans="1:34" hidden="1" x14ac:dyDescent="0.35">
      <c r="A10" s="98"/>
      <c r="B10" s="1041">
        <v>75</v>
      </c>
      <c r="C10" s="116"/>
      <c r="D10" s="112"/>
      <c r="E10" s="114">
        <f>AVERAGE('DAF Oil CPV'!G12:G13,'DAF Oil CPV'!G15)</f>
        <v>272.35600000000005</v>
      </c>
      <c r="F10" s="114">
        <f>AVERAGE('DAF Oil CPV'!H12:H13,'DAF Oil CPV'!H15)</f>
        <v>256.81199999999995</v>
      </c>
      <c r="G10" s="114">
        <f>AVERAGE('DAF Oil CPV'!I12:I13,'DAF Oil CPV'!I15)</f>
        <v>267.73599999999999</v>
      </c>
      <c r="H10" s="114">
        <f>AVERAGE('DAF Oil CPV'!J12:J13,'DAF Oil CPV'!J15)</f>
        <v>275.80400000000003</v>
      </c>
      <c r="I10" s="114">
        <f>AVERAGE('DAF Oil CPV'!K12:K13,'DAF Oil CPV'!K15)</f>
        <v>302.5</v>
      </c>
      <c r="J10" s="114">
        <f>AVERAGE('DAF Oil CPV'!L12:L13,'DAF Oil CPV'!L15)</f>
        <v>339.51600000000002</v>
      </c>
      <c r="K10" s="114">
        <f>AVERAGE('DAF Oil CPV'!M12:M13,'DAF Oil CPV'!M15)</f>
        <v>360.73575</v>
      </c>
      <c r="L10" s="114">
        <f>AVERAGE('DAF Oil CPV'!N12:N13,'DAF Oil CPV'!N15)</f>
        <v>381.95549999999997</v>
      </c>
      <c r="M10" s="114">
        <f>AVERAGE('DAF Oil CPV'!O12:O13,'DAF Oil CPV'!O15)</f>
        <v>403.17525000000001</v>
      </c>
      <c r="N10" s="114">
        <f>AVERAGE('DAF Oil CPV'!P12:P13,'DAF Oil CPV'!P15)</f>
        <v>424.39499999999998</v>
      </c>
      <c r="O10" s="114">
        <f>AVERAGE('DAF Oil CPV'!Q12:Q13,'DAF Oil CPV'!Q15)</f>
        <v>407.41919999999999</v>
      </c>
      <c r="P10" s="114">
        <f>AVERAGE('DAF Oil CPV'!R12:R13,'DAF Oil CPV'!R15)</f>
        <v>390.44339999999994</v>
      </c>
      <c r="Q10" s="114">
        <f>AVERAGE('DAF Oil CPV'!S12:S13,'DAF Oil CPV'!S15)</f>
        <v>373.4676</v>
      </c>
      <c r="R10" s="114">
        <f>AVERAGE('DAF Oil CPV'!T12:T13,'DAF Oil CPV'!T15)</f>
        <v>356.49180000000001</v>
      </c>
      <c r="S10" s="114">
        <f>AVERAGE('DAF Oil CPV'!U12:U13,'DAF Oil CPV'!U15)</f>
        <v>339.51600000000002</v>
      </c>
      <c r="T10" s="1263">
        <f t="shared" si="0"/>
        <v>343.48823333333331</v>
      </c>
      <c r="U10" s="44"/>
      <c r="V10" s="76"/>
      <c r="W10" s="76"/>
      <c r="X10" s="76"/>
      <c r="Y10" s="76"/>
      <c r="Z10" s="76"/>
      <c r="AA10" s="76"/>
      <c r="AB10" s="76"/>
      <c r="AC10" s="76"/>
      <c r="AD10" s="76"/>
      <c r="AE10" s="76"/>
      <c r="AF10" s="105"/>
    </row>
    <row r="11" spans="1:34" hidden="1" x14ac:dyDescent="0.35">
      <c r="A11" s="98"/>
      <c r="B11" s="1041">
        <v>85</v>
      </c>
      <c r="C11" s="116"/>
      <c r="D11" s="112"/>
      <c r="E11" s="114">
        <f>AVERAGE('DAF Oil CPV'!G16:G17,'DAF Oil CPV'!G19:G20)</f>
        <v>400.80599999999998</v>
      </c>
      <c r="F11" s="114">
        <f>AVERAGE('DAF Oil CPV'!H16:H17,'DAF Oil CPV'!H19:H20)</f>
        <v>392.11799999999999</v>
      </c>
      <c r="G11" s="114">
        <f>AVERAGE('DAF Oil CPV'!I16:I17,'DAF Oil CPV'!I19:I20)</f>
        <v>335.72699999999998</v>
      </c>
      <c r="H11" s="114">
        <f>AVERAGE('DAF Oil CPV'!J16:J17,'DAF Oil CPV'!J19:J20)</f>
        <v>278.95799999999997</v>
      </c>
      <c r="I11" s="114">
        <f>AVERAGE('DAF Oil CPV'!K16:K17,'DAF Oil CPV'!K19:K20)</f>
        <v>289.84500000000003</v>
      </c>
      <c r="J11" s="114">
        <f>AVERAGE('DAF Oil CPV'!L16:L17,'DAF Oil CPV'!L19:L20)</f>
        <v>325.64400000000001</v>
      </c>
      <c r="K11" s="114">
        <f>AVERAGE('DAF Oil CPV'!M16:M17,'DAF Oil CPV'!M19:M20)</f>
        <v>345.99675000000002</v>
      </c>
      <c r="L11" s="114">
        <f>AVERAGE('DAF Oil CPV'!N16:N17,'DAF Oil CPV'!N19:N20)</f>
        <v>366.34949999999998</v>
      </c>
      <c r="M11" s="114">
        <f>AVERAGE('DAF Oil CPV'!O16:O17,'DAF Oil CPV'!O19:O20)</f>
        <v>386.70224999999999</v>
      </c>
      <c r="N11" s="114">
        <f>AVERAGE('DAF Oil CPV'!P16:P17,'DAF Oil CPV'!P19:P20)</f>
        <v>407.05500000000001</v>
      </c>
      <c r="O11" s="114">
        <f>AVERAGE('DAF Oil CPV'!Q16:Q17,'DAF Oil CPV'!Q19:Q20)</f>
        <v>390.77279999999996</v>
      </c>
      <c r="P11" s="114">
        <f>AVERAGE('DAF Oil CPV'!R16:R17,'DAF Oil CPV'!R19:R20)</f>
        <v>374.49059999999997</v>
      </c>
      <c r="Q11" s="114">
        <f>AVERAGE('DAF Oil CPV'!S16:S17,'DAF Oil CPV'!S19:S20)</f>
        <v>358.20840000000004</v>
      </c>
      <c r="R11" s="114">
        <f>AVERAGE('DAF Oil CPV'!T16:T17,'DAF Oil CPV'!T19:T20)</f>
        <v>341.92619999999999</v>
      </c>
      <c r="S11" s="114">
        <f>AVERAGE('DAF Oil CPV'!U16:U17,'DAF Oil CPV'!U19:U20)</f>
        <v>325.64400000000001</v>
      </c>
      <c r="T11" s="1263">
        <f t="shared" si="0"/>
        <v>354.68290000000002</v>
      </c>
      <c r="U11" s="44"/>
      <c r="V11" s="76"/>
      <c r="W11" s="76"/>
      <c r="X11" s="76"/>
      <c r="Y11" s="76"/>
      <c r="Z11" s="76"/>
      <c r="AA11" s="76"/>
      <c r="AB11" s="76"/>
      <c r="AC11" s="76"/>
      <c r="AD11" s="76"/>
      <c r="AE11" s="76"/>
      <c r="AF11" s="105"/>
    </row>
    <row r="12" spans="1:34" hidden="1" x14ac:dyDescent="0.35">
      <c r="A12" s="98"/>
      <c r="B12" s="1041">
        <v>95</v>
      </c>
      <c r="C12" s="116"/>
      <c r="D12" s="112"/>
      <c r="E12" s="114">
        <f>AVERAGE('DAF Oil CPV'!G21:G22,'DAF Oil CPV'!G24:G25)</f>
        <v>392.46300000000002</v>
      </c>
      <c r="F12" s="114">
        <f>AVERAGE('DAF Oil CPV'!H21:H22,'DAF Oil CPV'!H24:H25)</f>
        <v>366.23099999999999</v>
      </c>
      <c r="G12" s="114">
        <f>AVERAGE('DAF Oil CPV'!I21:I22,'DAF Oil CPV'!I24:I25)</f>
        <v>345.40499999999997</v>
      </c>
      <c r="H12" s="114">
        <f>AVERAGE('DAF Oil CPV'!J21:J22,'DAF Oil CPV'!J24:J25)</f>
        <v>334.60500000000002</v>
      </c>
      <c r="I12" s="114">
        <f>AVERAGE('DAF Oil CPV'!K21:K22,'DAF Oil CPV'!K24:K25)</f>
        <v>290.46165924644146</v>
      </c>
      <c r="J12" s="114">
        <f>AVERAGE('DAF Oil CPV'!L21:L22,'DAF Oil CPV'!L24:L25)</f>
        <v>262.68650664276072</v>
      </c>
      <c r="K12" s="114">
        <f>AVERAGE('DAF Oil CPV'!M21:M22,'DAF Oil CPV'!M24:M25)</f>
        <v>279.10441330793327</v>
      </c>
      <c r="L12" s="114">
        <f>AVERAGE('DAF Oil CPV'!N21:N22,'DAF Oil CPV'!N24:N25)</f>
        <v>295.52231997310582</v>
      </c>
      <c r="M12" s="114">
        <f>AVERAGE('DAF Oil CPV'!O21:O22,'DAF Oil CPV'!O24:O25)</f>
        <v>311.94022663827832</v>
      </c>
      <c r="N12" s="114">
        <f>AVERAGE('DAF Oil CPV'!P21:P22,'DAF Oil CPV'!P24:P25)</f>
        <v>328.35813330345093</v>
      </c>
      <c r="O12" s="114">
        <f>AVERAGE('DAF Oil CPV'!Q21:Q22,'DAF Oil CPV'!Q24:Q25)</f>
        <v>315.22380797131285</v>
      </c>
      <c r="P12" s="114">
        <f>AVERAGE('DAF Oil CPV'!R21:R22,'DAF Oil CPV'!R24:R25)</f>
        <v>302.08948263917478</v>
      </c>
      <c r="Q12" s="114">
        <f>AVERAGE('DAF Oil CPV'!S21:S22,'DAF Oil CPV'!S24:S25)</f>
        <v>288.95515730703681</v>
      </c>
      <c r="R12" s="114">
        <f>AVERAGE('DAF Oil CPV'!T21:T22,'DAF Oil CPV'!T24:T25)</f>
        <v>275.82083197489874</v>
      </c>
      <c r="S12" s="114">
        <f>AVERAGE('DAF Oil CPV'!U21:U22,'DAF Oil CPV'!U24:U25)</f>
        <v>262.68650664276072</v>
      </c>
      <c r="T12" s="1263">
        <f t="shared" si="0"/>
        <v>310.10353637647694</v>
      </c>
      <c r="U12" s="44"/>
      <c r="V12" s="76"/>
      <c r="W12" s="76"/>
      <c r="X12" s="76"/>
      <c r="Y12" s="76"/>
      <c r="Z12" s="76"/>
      <c r="AA12" s="76"/>
      <c r="AB12" s="76"/>
      <c r="AC12" s="76"/>
      <c r="AD12" s="76"/>
      <c r="AE12" s="76"/>
      <c r="AF12" s="105"/>
    </row>
    <row r="13" spans="1:34" hidden="1" x14ac:dyDescent="0.35">
      <c r="A13" s="98"/>
      <c r="B13" s="1041">
        <v>105</v>
      </c>
      <c r="C13" s="116"/>
      <c r="D13" s="112"/>
      <c r="E13" s="114">
        <f>AVERAGE('DAF Oil CPV'!G27:G28,'DAF Oil CPV'!G30:G31)</f>
        <v>257.88300000000004</v>
      </c>
      <c r="F13" s="114">
        <f>AVERAGE('DAF Oil CPV'!H27:H28,'DAF Oil CPV'!H30:H31)</f>
        <v>239.43900000000002</v>
      </c>
      <c r="G13" s="114">
        <f>AVERAGE('DAF Oil CPV'!I27:I28,'DAF Oil CPV'!I30:I31)</f>
        <v>190.72276866751815</v>
      </c>
      <c r="H13" s="114">
        <f>AVERAGE('DAF Oil CPV'!J27:J28,'DAF Oil CPV'!J30:J31)</f>
        <v>334.60500000000002</v>
      </c>
      <c r="I13" s="114">
        <f>AVERAGE('DAF Oil CPV'!K27:K28,'DAF Oil CPV'!K30:K31)</f>
        <v>290.46165924644146</v>
      </c>
      <c r="J13" s="114">
        <f>AVERAGE('DAF Oil CPV'!L27:L28,'DAF Oil CPV'!L30:L31)</f>
        <v>262.68650664276072</v>
      </c>
      <c r="K13" s="114">
        <f>AVERAGE('DAF Oil CPV'!M27:M28,'DAF Oil CPV'!M30:M31)</f>
        <v>279.10441330793327</v>
      </c>
      <c r="L13" s="114">
        <f>AVERAGE('DAF Oil CPV'!N27:N28,'DAF Oil CPV'!N30:N31)</f>
        <v>295.52231997310582</v>
      </c>
      <c r="M13" s="114">
        <f>AVERAGE('DAF Oil CPV'!O27:O28,'DAF Oil CPV'!O30:O31)</f>
        <v>311.94022663827832</v>
      </c>
      <c r="N13" s="114">
        <f>AVERAGE('DAF Oil CPV'!P27:P28,'DAF Oil CPV'!P30:P31)</f>
        <v>328.35813330345093</v>
      </c>
      <c r="O13" s="114">
        <f>AVERAGE('DAF Oil CPV'!Q27:Q28,'DAF Oil CPV'!Q30:Q31)</f>
        <v>315.22380797131285</v>
      </c>
      <c r="P13" s="114">
        <f>AVERAGE('DAF Oil CPV'!R27:R28,'DAF Oil CPV'!R30:R31)</f>
        <v>302.08948263917478</v>
      </c>
      <c r="Q13" s="114">
        <f>AVERAGE('DAF Oil CPV'!S27:S28,'DAF Oil CPV'!S30:S31)</f>
        <v>288.95515730703681</v>
      </c>
      <c r="R13" s="114">
        <f>AVERAGE('DAF Oil CPV'!T27:T28,'DAF Oil CPV'!T30:T31)</f>
        <v>275.82083197489874</v>
      </c>
      <c r="S13" s="114">
        <f>AVERAGE('DAF Oil CPV'!U27:U28,'DAF Oil CPV'!U30:U31)</f>
        <v>262.68650664276072</v>
      </c>
      <c r="T13" s="1263">
        <f t="shared" si="0"/>
        <v>282.36658762097812</v>
      </c>
      <c r="U13" s="44"/>
      <c r="V13" s="76"/>
      <c r="W13" s="76"/>
      <c r="X13" s="76"/>
      <c r="Y13" s="76"/>
      <c r="Z13" s="76"/>
      <c r="AA13" s="76"/>
      <c r="AB13" s="76"/>
      <c r="AC13" s="76"/>
      <c r="AD13" s="76"/>
      <c r="AE13" s="76"/>
      <c r="AF13" s="105"/>
    </row>
    <row r="14" spans="1:34" ht="15" hidden="1" customHeight="1" x14ac:dyDescent="0.35">
      <c r="A14" s="98"/>
      <c r="B14" s="118" t="s">
        <v>523</v>
      </c>
      <c r="C14" s="119"/>
      <c r="D14" s="119"/>
      <c r="E14" s="1262">
        <f t="shared" ref="E14:S14" si="1">AVERAGE(E7:E13)</f>
        <v>246.97127923012567</v>
      </c>
      <c r="F14" s="1262">
        <f t="shared" si="1"/>
        <v>256.24508496677151</v>
      </c>
      <c r="G14" s="1262">
        <f t="shared" si="1"/>
        <v>233.55706548864671</v>
      </c>
      <c r="H14" s="1262">
        <f t="shared" si="1"/>
        <v>249.05582095599351</v>
      </c>
      <c r="I14" s="1262">
        <f t="shared" si="1"/>
        <v>242.48111969167448</v>
      </c>
      <c r="J14" s="1262">
        <f t="shared" si="1"/>
        <v>252.62350020503177</v>
      </c>
      <c r="K14" s="1262">
        <f t="shared" si="1"/>
        <v>268.41246896784622</v>
      </c>
      <c r="L14" s="1262">
        <f t="shared" si="1"/>
        <v>284.2014377306607</v>
      </c>
      <c r="M14" s="1262">
        <f t="shared" si="1"/>
        <v>299.99040649347523</v>
      </c>
      <c r="N14" s="1262">
        <f t="shared" si="1"/>
        <v>315.77937525628971</v>
      </c>
      <c r="O14" s="1262">
        <f t="shared" si="1"/>
        <v>303.14820024603807</v>
      </c>
      <c r="P14" s="1262">
        <f t="shared" si="1"/>
        <v>290.51702523578649</v>
      </c>
      <c r="Q14" s="1262">
        <f t="shared" si="1"/>
        <v>277.88585022553491</v>
      </c>
      <c r="R14" s="1262">
        <f t="shared" si="1"/>
        <v>265.25467521528333</v>
      </c>
      <c r="S14" s="1262">
        <f t="shared" si="1"/>
        <v>252.62350020503177</v>
      </c>
      <c r="T14" s="1263">
        <f t="shared" si="0"/>
        <v>269.249787340946</v>
      </c>
      <c r="U14" s="44"/>
      <c r="V14" s="76"/>
      <c r="W14" s="76"/>
      <c r="X14" s="76"/>
      <c r="Y14" s="76"/>
      <c r="Z14" s="76"/>
      <c r="AA14" s="76"/>
      <c r="AB14" s="76"/>
      <c r="AC14" s="76"/>
      <c r="AD14" s="76"/>
      <c r="AE14" s="76"/>
      <c r="AF14" s="105"/>
    </row>
    <row r="15" spans="1:34" x14ac:dyDescent="0.35">
      <c r="A15" s="75"/>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4"/>
    </row>
    <row r="16" spans="1:34" hidden="1" x14ac:dyDescent="0.35">
      <c r="A16" s="98"/>
      <c r="B16" s="76"/>
      <c r="D16" s="76"/>
      <c r="E16" s="76"/>
      <c r="G16" s="76"/>
      <c r="H16" s="76"/>
      <c r="I16" s="76"/>
      <c r="J16" s="76"/>
      <c r="K16" s="76"/>
      <c r="L16" s="76"/>
      <c r="M16" s="76"/>
      <c r="N16" s="76"/>
      <c r="O16" s="76"/>
      <c r="P16" s="76"/>
      <c r="Q16" s="76"/>
      <c r="R16" s="76"/>
      <c r="S16" s="76"/>
      <c r="T16" s="76"/>
      <c r="U16" s="76"/>
      <c r="V16" s="76"/>
      <c r="W16" s="44"/>
      <c r="X16" s="44"/>
      <c r="Y16" s="44"/>
      <c r="Z16" s="44"/>
      <c r="AA16" s="44"/>
      <c r="AB16" s="44"/>
      <c r="AC16" s="44"/>
      <c r="AD16" s="44"/>
      <c r="AE16" s="44"/>
      <c r="AF16" s="44"/>
      <c r="AG16" s="44"/>
      <c r="AH16" s="44"/>
    </row>
    <row r="17" spans="1:34" hidden="1" x14ac:dyDescent="0.35">
      <c r="A17" s="75"/>
      <c r="B17" s="73"/>
      <c r="D17" s="73"/>
      <c r="E17" s="73"/>
      <c r="G17" s="73"/>
      <c r="H17" s="73"/>
      <c r="I17" s="73"/>
      <c r="J17" s="73"/>
      <c r="K17" s="73"/>
      <c r="L17" s="73"/>
      <c r="M17" s="73"/>
      <c r="N17" s="73"/>
      <c r="O17" s="73"/>
      <c r="P17" s="73"/>
      <c r="Q17" s="73"/>
      <c r="R17" s="73"/>
      <c r="S17" s="73"/>
      <c r="T17" s="73"/>
      <c r="U17" s="73"/>
      <c r="V17" s="73"/>
      <c r="W17" s="44"/>
      <c r="X17" s="44"/>
      <c r="Y17" s="44"/>
      <c r="Z17" s="44"/>
      <c r="AA17" s="44"/>
      <c r="AB17" s="44"/>
      <c r="AC17" s="44"/>
      <c r="AD17" s="44"/>
      <c r="AE17" s="44"/>
      <c r="AF17" s="44"/>
      <c r="AG17" s="44"/>
      <c r="AH17" s="44"/>
    </row>
    <row r="18" spans="1:34" hidden="1" x14ac:dyDescent="0.35">
      <c r="A18" s="44"/>
      <c r="R18" s="44"/>
      <c r="S18" s="44"/>
      <c r="T18" s="44"/>
      <c r="U18" s="44"/>
      <c r="V18" s="44"/>
      <c r="W18" s="44"/>
      <c r="X18" s="44"/>
      <c r="Y18" s="44"/>
      <c r="Z18" s="44"/>
      <c r="AA18" s="44"/>
      <c r="AB18" s="44"/>
      <c r="AC18" s="44"/>
      <c r="AD18" s="44"/>
      <c r="AE18" s="44"/>
      <c r="AF18" s="44"/>
      <c r="AG18" s="44"/>
      <c r="AH18" s="44"/>
    </row>
    <row r="19" spans="1:34" hidden="1" x14ac:dyDescent="0.35">
      <c r="A19" s="44"/>
      <c r="R19" s="44"/>
      <c r="S19" s="44"/>
      <c r="T19" s="44"/>
      <c r="U19" s="44"/>
      <c r="V19" s="44"/>
      <c r="W19" s="44"/>
      <c r="X19" s="44"/>
      <c r="Y19" s="44"/>
      <c r="Z19" s="44"/>
      <c r="AA19" s="44"/>
      <c r="AB19" s="44"/>
      <c r="AC19" s="44"/>
      <c r="AD19" s="44"/>
      <c r="AE19" s="44"/>
      <c r="AF19" s="44"/>
      <c r="AG19" s="44"/>
      <c r="AH19" s="44"/>
    </row>
    <row r="20" spans="1:34" hidden="1" x14ac:dyDescent="0.35">
      <c r="A20" s="44"/>
      <c r="R20" s="44"/>
      <c r="S20" s="44"/>
      <c r="T20" s="44"/>
      <c r="U20" s="44"/>
      <c r="V20" s="44"/>
      <c r="W20" s="44"/>
      <c r="X20" s="44"/>
      <c r="Y20" s="44"/>
      <c r="Z20" s="44"/>
      <c r="AA20" s="44"/>
      <c r="AB20" s="44"/>
      <c r="AC20" s="44"/>
      <c r="AD20" s="44"/>
      <c r="AE20" s="44"/>
      <c r="AF20" s="44"/>
      <c r="AG20" s="44"/>
      <c r="AH20" s="44"/>
    </row>
    <row r="21" spans="1:34" hidden="1" x14ac:dyDescent="0.35">
      <c r="A21" s="44"/>
      <c r="R21" s="44"/>
      <c r="S21" s="44"/>
      <c r="T21" s="44"/>
      <c r="U21" s="44"/>
      <c r="V21" s="44"/>
      <c r="W21" s="44"/>
      <c r="X21" s="44"/>
      <c r="Y21" s="44"/>
      <c r="Z21" s="44"/>
      <c r="AA21" s="44"/>
      <c r="AB21" s="44"/>
      <c r="AC21" s="44"/>
      <c r="AD21" s="44"/>
      <c r="AE21" s="44"/>
      <c r="AF21" s="44"/>
      <c r="AG21" s="44"/>
      <c r="AH21" s="44"/>
    </row>
    <row r="22" spans="1:34" hidden="1" x14ac:dyDescent="0.35">
      <c r="A22" s="44"/>
      <c r="R22" s="44"/>
      <c r="S22" s="44"/>
      <c r="T22" s="44"/>
      <c r="U22" s="44"/>
      <c r="V22" s="44"/>
      <c r="W22" s="44"/>
      <c r="X22" s="44"/>
      <c r="Y22" s="44"/>
      <c r="Z22" s="44"/>
      <c r="AA22" s="44"/>
      <c r="AB22" s="44"/>
      <c r="AC22" s="44"/>
      <c r="AD22" s="44"/>
      <c r="AE22" s="44"/>
      <c r="AF22" s="44"/>
      <c r="AG22" s="44"/>
      <c r="AH22" s="44"/>
    </row>
    <row r="23" spans="1:34" hidden="1" x14ac:dyDescent="0.35">
      <c r="A23" s="44"/>
      <c r="R23" s="44"/>
      <c r="S23" s="44"/>
      <c r="T23" s="44"/>
      <c r="U23" s="44"/>
      <c r="V23" s="44"/>
      <c r="W23" s="44"/>
      <c r="X23" s="44"/>
      <c r="Y23" s="44"/>
      <c r="Z23" s="44"/>
      <c r="AA23" s="44"/>
      <c r="AB23" s="44"/>
      <c r="AC23" s="44"/>
      <c r="AD23" s="44"/>
      <c r="AE23" s="44"/>
      <c r="AF23" s="44"/>
      <c r="AG23" s="44"/>
      <c r="AH23" s="44"/>
    </row>
    <row r="24" spans="1:34" hidden="1" x14ac:dyDescent="0.35">
      <c r="A24" s="44"/>
      <c r="R24" s="44"/>
      <c r="S24" s="44"/>
      <c r="T24" s="44"/>
      <c r="U24" s="44"/>
      <c r="V24" s="44"/>
      <c r="W24" s="44"/>
      <c r="X24" s="44"/>
      <c r="Y24" s="44"/>
      <c r="Z24" s="44"/>
      <c r="AA24" s="44"/>
      <c r="AB24" s="44"/>
      <c r="AC24" s="44"/>
      <c r="AD24" s="44"/>
      <c r="AE24" s="44"/>
      <c r="AF24" s="44"/>
      <c r="AG24" s="44"/>
      <c r="AH24" s="44"/>
    </row>
    <row r="25" spans="1:34" hidden="1" x14ac:dyDescent="0.35">
      <c r="A25" s="44"/>
      <c r="R25" s="44"/>
      <c r="S25" s="44"/>
      <c r="T25" s="44"/>
      <c r="U25" s="44"/>
      <c r="V25" s="44"/>
      <c r="W25" s="44"/>
      <c r="X25" s="44"/>
      <c r="Y25" s="44"/>
      <c r="Z25" s="44"/>
      <c r="AA25" s="44"/>
      <c r="AB25" s="44"/>
      <c r="AC25" s="44"/>
      <c r="AD25" s="44"/>
      <c r="AE25" s="44"/>
      <c r="AF25" s="44"/>
      <c r="AG25" s="44"/>
      <c r="AH25" s="44"/>
    </row>
    <row r="26" spans="1:34" hidden="1" x14ac:dyDescent="0.35">
      <c r="A26" s="44"/>
      <c r="R26" s="44"/>
      <c r="S26" s="44"/>
      <c r="T26" s="44"/>
      <c r="U26" s="44"/>
      <c r="V26" s="44"/>
      <c r="W26" s="44"/>
      <c r="X26" s="44"/>
      <c r="Y26" s="44"/>
      <c r="Z26" s="44"/>
      <c r="AA26" s="44"/>
      <c r="AB26" s="44"/>
      <c r="AC26" s="44"/>
      <c r="AD26" s="44"/>
      <c r="AE26" s="44"/>
      <c r="AF26" s="44"/>
      <c r="AG26" s="44"/>
      <c r="AH26" s="44"/>
    </row>
    <row r="27" spans="1:34" hidden="1" x14ac:dyDescent="0.35">
      <c r="A27" s="44"/>
      <c r="R27" s="44"/>
      <c r="S27" s="44"/>
      <c r="T27" s="44"/>
      <c r="U27" s="44"/>
      <c r="V27" s="44"/>
      <c r="W27" s="44"/>
      <c r="X27" s="44"/>
      <c r="Y27" s="44"/>
      <c r="Z27" s="44"/>
      <c r="AA27" s="44"/>
      <c r="AB27" s="44"/>
      <c r="AC27" s="44"/>
      <c r="AD27" s="44"/>
      <c r="AE27" s="44"/>
      <c r="AF27" s="44"/>
      <c r="AG27" s="44"/>
      <c r="AH27" s="44"/>
    </row>
    <row r="28" spans="1:34" hidden="1" x14ac:dyDescent="0.35"/>
    <row r="29" spans="1:34" hidden="1" x14ac:dyDescent="0.35"/>
    <row r="30" spans="1:34" hidden="1" x14ac:dyDescent="0.35"/>
    <row r="31" spans="1:34" hidden="1" x14ac:dyDescent="0.35"/>
    <row r="32" spans="1:34" hidden="1" x14ac:dyDescent="0.35"/>
    <row r="33" hidden="1" x14ac:dyDescent="0.35"/>
    <row r="34" hidden="1" x14ac:dyDescent="0.35"/>
    <row r="35" hidden="1" x14ac:dyDescent="0.35"/>
    <row r="36" hidden="1" x14ac:dyDescent="0.35"/>
    <row r="37" hidden="1" x14ac:dyDescent="0.35"/>
    <row r="38" hidden="1" x14ac:dyDescent="0.35"/>
    <row r="39" hidden="1" x14ac:dyDescent="0.35"/>
    <row r="40" hidden="1" x14ac:dyDescent="0.35"/>
    <row r="41" hidden="1" x14ac:dyDescent="0.35"/>
    <row r="42" hidden="1" x14ac:dyDescent="0.35"/>
    <row r="43" hidden="1" x14ac:dyDescent="0.35"/>
    <row r="44" hidden="1" x14ac:dyDescent="0.35"/>
    <row r="45" hidden="1" x14ac:dyDescent="0.35"/>
    <row r="46" hidden="1" x14ac:dyDescent="0.35"/>
    <row r="47" hidden="1" x14ac:dyDescent="0.35"/>
  </sheetData>
  <sheetProtection password="813F" sheet="1" objects="1" scenarios="1" selectLockedCells="1" selectUnlockedCells="1"/>
  <customSheetViews>
    <customSheetView guid="{51165254-F18A-4CD1-9981-8F2DE14CC76C}" fitToPage="1" hiddenRows="1" hiddenColumns="1" state="hidden" showRuler="0">
      <selection activeCell="G6" sqref="G6"/>
      <pageMargins left="0.75" right="0.75" top="1" bottom="1" header="0.5" footer="0.5"/>
      <pageSetup paperSize="9" scale="48" orientation="portrait" r:id="rId1"/>
      <headerFooter alignWithMargins="0">
        <oddHeader>&amp;L&amp;F</oddHeader>
        <oddFooter xml:space="preserve">&amp;LDAF Dealer Business Plan&amp;CPrint date: &amp;D&amp;R&amp;P/&amp;N | DAF Trucks NV    </oddFooter>
      </headerFooter>
    </customSheetView>
  </customSheetViews>
  <mergeCells count="3">
    <mergeCell ref="A3:W3"/>
    <mergeCell ref="X3:AH3"/>
    <mergeCell ref="E5:S5"/>
  </mergeCells>
  <phoneticPr fontId="11" type="noConversion"/>
  <pageMargins left="0.75" right="0.75" top="1" bottom="1" header="0.5" footer="0.5"/>
  <pageSetup paperSize="9" scale="48" orientation="portrait" r:id="rId2"/>
  <headerFooter alignWithMargins="0">
    <oddHeader>&amp;L&amp;F</oddHeader>
    <oddFooter xml:space="preserve">&amp;LDAF Dealer Business Plan&amp;CPrint date: &amp;D&amp;R&amp;P/&amp;N | DAF Trucks NV    </oddFooter>
  </headerFooter>
  <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8"/>
  <dimension ref="A1:IU47"/>
  <sheetViews>
    <sheetView workbookViewId="0">
      <selection activeCell="G11" sqref="G11:K12"/>
    </sheetView>
  </sheetViews>
  <sheetFormatPr baseColWidth="10" defaultColWidth="0" defaultRowHeight="14.4" zeroHeight="1" x14ac:dyDescent="0.35"/>
  <cols>
    <col min="1" max="1" width="2.6640625" style="45" customWidth="1"/>
    <col min="2" max="2" width="7.109375" style="45" bestFit="1" customWidth="1"/>
    <col min="3" max="3" width="7.44140625" style="76" bestFit="1" customWidth="1"/>
    <col min="4" max="4" width="9.109375" style="45" customWidth="1"/>
    <col min="5" max="5" width="2.6640625" style="76" customWidth="1"/>
    <col min="6" max="20" width="8.77734375" style="45" customWidth="1"/>
    <col min="21" max="21" width="5.109375" style="45" customWidth="1"/>
    <col min="22" max="22" width="6.44140625" style="45" customWidth="1"/>
    <col min="23" max="27" width="5.109375" style="45" hidden="1" customWidth="1"/>
    <col min="28" max="28" width="8.6640625" style="45" hidden="1" customWidth="1"/>
    <col min="29" max="29" width="2" style="45" hidden="1" customWidth="1"/>
    <col min="30" max="255" width="9.109375" style="45" hidden="1" customWidth="1"/>
    <col min="256" max="16384" width="0" style="45" hidden="1"/>
  </cols>
  <sheetData>
    <row r="1" spans="1:29" x14ac:dyDescent="0.35">
      <c r="A1" s="86"/>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3"/>
    </row>
    <row r="2" spans="1:29" ht="37.5" customHeight="1" x14ac:dyDescent="0.35">
      <c r="A2" s="46"/>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8"/>
    </row>
    <row r="3" spans="1:29" ht="28.8" x14ac:dyDescent="0.55000000000000004">
      <c r="A3" s="2178" t="s">
        <v>995</v>
      </c>
      <c r="B3" s="2178"/>
      <c r="C3" s="2178"/>
      <c r="D3" s="2178"/>
      <c r="E3" s="2178"/>
      <c r="F3" s="2178"/>
      <c r="G3" s="2178"/>
      <c r="H3" s="2178"/>
      <c r="I3" s="2178"/>
      <c r="J3" s="2178"/>
      <c r="K3" s="2178"/>
      <c r="L3" s="2178"/>
      <c r="M3" s="2178"/>
      <c r="N3" s="2178"/>
      <c r="O3" s="2178"/>
      <c r="P3" s="2178"/>
      <c r="Q3" s="2178"/>
      <c r="R3" s="2178"/>
      <c r="S3" s="2178"/>
      <c r="T3" s="2178"/>
      <c r="U3" s="2178"/>
      <c r="V3" s="2178"/>
      <c r="W3" s="2178"/>
      <c r="X3" s="2178"/>
      <c r="Y3" s="2178"/>
      <c r="Z3" s="2178"/>
      <c r="AA3" s="2178"/>
      <c r="AB3" s="2178"/>
      <c r="AC3" s="2178"/>
    </row>
    <row r="4" spans="1:29" ht="15" customHeight="1" x14ac:dyDescent="0.35">
      <c r="A4" s="49"/>
      <c r="B4" s="53"/>
      <c r="C4" s="53"/>
      <c r="D4" s="53"/>
      <c r="E4" s="53"/>
      <c r="F4" s="53"/>
      <c r="G4" s="53"/>
      <c r="H4" s="53"/>
      <c r="I4" s="53"/>
      <c r="J4" s="53"/>
      <c r="K4" s="53"/>
      <c r="L4" s="53"/>
      <c r="M4" s="53"/>
      <c r="N4" s="53"/>
      <c r="O4" s="53"/>
      <c r="P4" s="53"/>
      <c r="Q4" s="53"/>
      <c r="R4" s="53"/>
      <c r="S4" s="53"/>
      <c r="T4" s="53"/>
      <c r="U4" s="42"/>
      <c r="V4" s="42"/>
      <c r="W4" s="42"/>
      <c r="X4" s="42"/>
      <c r="Y4" s="42"/>
      <c r="Z4" s="42"/>
      <c r="AA4" s="42"/>
      <c r="AB4" s="42"/>
      <c r="AC4" s="43"/>
    </row>
    <row r="5" spans="1:29" hidden="1" x14ac:dyDescent="0.35">
      <c r="A5" s="49"/>
      <c r="B5" s="2113" t="s">
        <v>982</v>
      </c>
      <c r="C5" s="2115"/>
      <c r="D5" s="2116"/>
      <c r="E5" s="52"/>
      <c r="F5" s="2113" t="s">
        <v>996</v>
      </c>
      <c r="G5" s="2115"/>
      <c r="H5" s="2115"/>
      <c r="I5" s="2115"/>
      <c r="J5" s="2115"/>
      <c r="K5" s="2115"/>
      <c r="L5" s="2115"/>
      <c r="M5" s="2115"/>
      <c r="N5" s="2115"/>
      <c r="O5" s="2115"/>
      <c r="P5" s="2115"/>
      <c r="Q5" s="2115"/>
      <c r="R5" s="2115"/>
      <c r="S5" s="2115"/>
      <c r="T5" s="2116"/>
      <c r="U5" s="53"/>
      <c r="V5" s="53"/>
      <c r="W5" s="53"/>
      <c r="X5" s="53"/>
      <c r="Y5" s="53"/>
      <c r="Z5" s="53"/>
      <c r="AA5" s="53"/>
      <c r="AB5" s="53"/>
      <c r="AC5" s="54"/>
    </row>
    <row r="6" spans="1:29" hidden="1" x14ac:dyDescent="0.35">
      <c r="A6" s="49"/>
      <c r="B6" s="56" t="s">
        <v>983</v>
      </c>
      <c r="C6" s="58" t="s">
        <v>963</v>
      </c>
      <c r="D6" s="57" t="s">
        <v>964</v>
      </c>
      <c r="E6" s="51"/>
      <c r="F6" s="56" t="s">
        <v>965</v>
      </c>
      <c r="G6" s="58" t="s">
        <v>966</v>
      </c>
      <c r="H6" s="58" t="s">
        <v>967</v>
      </c>
      <c r="I6" s="58" t="s">
        <v>968</v>
      </c>
      <c r="J6" s="58" t="s">
        <v>969</v>
      </c>
      <c r="K6" s="58" t="s">
        <v>970</v>
      </c>
      <c r="L6" s="58" t="s">
        <v>971</v>
      </c>
      <c r="M6" s="58" t="s">
        <v>972</v>
      </c>
      <c r="N6" s="58" t="s">
        <v>973</v>
      </c>
      <c r="O6" s="58" t="s">
        <v>974</v>
      </c>
      <c r="P6" s="58" t="s">
        <v>975</v>
      </c>
      <c r="Q6" s="58" t="s">
        <v>976</v>
      </c>
      <c r="R6" s="58" t="s">
        <v>977</v>
      </c>
      <c r="S6" s="58" t="s">
        <v>978</v>
      </c>
      <c r="T6" s="57" t="s">
        <v>979</v>
      </c>
      <c r="U6" s="53"/>
      <c r="V6" s="53"/>
      <c r="W6" s="53"/>
      <c r="X6" s="53"/>
      <c r="Y6" s="53"/>
      <c r="Z6" s="53"/>
      <c r="AA6" s="53"/>
      <c r="AB6" s="53"/>
      <c r="AC6" s="54"/>
    </row>
    <row r="7" spans="1:29" hidden="1" x14ac:dyDescent="0.35">
      <c r="A7" s="49"/>
      <c r="B7" s="2194" t="s">
        <v>984</v>
      </c>
      <c r="C7" s="2179" t="s">
        <v>980</v>
      </c>
      <c r="D7" s="59">
        <v>2</v>
      </c>
      <c r="E7" s="60"/>
      <c r="F7" s="125">
        <v>1460.4483002661445</v>
      </c>
      <c r="G7" s="125">
        <v>1532.7614456042872</v>
      </c>
      <c r="H7" s="125">
        <v>2227.591079674281</v>
      </c>
      <c r="I7" s="125">
        <v>2400.6341586863218</v>
      </c>
      <c r="J7" s="125">
        <v>2354.4556288725348</v>
      </c>
      <c r="K7" s="125">
        <v>1914.635618597443</v>
      </c>
      <c r="L7" s="125">
        <v>2034.3003447597832</v>
      </c>
      <c r="M7" s="125">
        <v>2153.9650709221232</v>
      </c>
      <c r="N7" s="125">
        <v>2273.6297970844635</v>
      </c>
      <c r="O7" s="125">
        <v>2393.2945232468037</v>
      </c>
      <c r="P7" s="125">
        <v>2297.5627423169317</v>
      </c>
      <c r="Q7" s="125">
        <v>2201.8309613870592</v>
      </c>
      <c r="R7" s="125">
        <v>2106.0991804571877</v>
      </c>
      <c r="S7" s="125">
        <v>2010.3673995273152</v>
      </c>
      <c r="T7" s="125">
        <v>1914.635618597443</v>
      </c>
      <c r="U7" s="53"/>
      <c r="V7" s="53"/>
      <c r="W7" s="53"/>
      <c r="X7" s="53"/>
      <c r="Y7" s="53"/>
      <c r="Z7" s="53"/>
      <c r="AA7" s="53"/>
      <c r="AB7" s="53"/>
      <c r="AC7" s="54"/>
    </row>
    <row r="8" spans="1:29" hidden="1" x14ac:dyDescent="0.35">
      <c r="A8" s="49"/>
      <c r="B8" s="2195"/>
      <c r="C8" s="2199"/>
      <c r="D8" s="59">
        <v>3</v>
      </c>
      <c r="E8" s="60"/>
      <c r="F8" s="125">
        <v>1460.4483002661445</v>
      </c>
      <c r="G8" s="125">
        <v>1532.7614456042872</v>
      </c>
      <c r="H8" s="125">
        <v>2227.591079674281</v>
      </c>
      <c r="I8" s="125">
        <v>2400.6341586863218</v>
      </c>
      <c r="J8" s="125">
        <v>2354.4556288725348</v>
      </c>
      <c r="K8" s="125">
        <v>1914.635618597443</v>
      </c>
      <c r="L8" s="125">
        <v>2034.3003447597832</v>
      </c>
      <c r="M8" s="125">
        <v>2153.9650709221232</v>
      </c>
      <c r="N8" s="125">
        <v>2273.6297970844635</v>
      </c>
      <c r="O8" s="125">
        <v>2393.2945232468037</v>
      </c>
      <c r="P8" s="125">
        <v>2297.5627423169317</v>
      </c>
      <c r="Q8" s="125">
        <v>2201.8309613870592</v>
      </c>
      <c r="R8" s="125">
        <v>2106.0991804571877</v>
      </c>
      <c r="S8" s="125">
        <v>2010.3673995273152</v>
      </c>
      <c r="T8" s="125">
        <v>1914.635618597443</v>
      </c>
      <c r="U8" s="53"/>
      <c r="V8" s="53"/>
      <c r="W8" s="53"/>
      <c r="X8" s="53"/>
      <c r="Y8" s="53"/>
      <c r="Z8" s="53"/>
      <c r="AA8" s="53"/>
      <c r="AB8" s="53"/>
      <c r="AC8" s="54"/>
    </row>
    <row r="9" spans="1:29" hidden="1" x14ac:dyDescent="0.35">
      <c r="A9" s="49"/>
      <c r="B9" s="2196"/>
      <c r="C9" s="59" t="s">
        <v>981</v>
      </c>
      <c r="D9" s="59">
        <v>2</v>
      </c>
      <c r="E9" s="60"/>
      <c r="F9" s="125">
        <v>1460.4483002661445</v>
      </c>
      <c r="G9" s="125">
        <v>1532.7614456042872</v>
      </c>
      <c r="H9" s="125">
        <v>2227.591079674281</v>
      </c>
      <c r="I9" s="125">
        <v>2400.6341586863218</v>
      </c>
      <c r="J9" s="125">
        <v>2354.4556288725348</v>
      </c>
      <c r="K9" s="125">
        <v>1914.635618597443</v>
      </c>
      <c r="L9" s="125">
        <v>2034.3003447597832</v>
      </c>
      <c r="M9" s="125">
        <v>2153.9650709221232</v>
      </c>
      <c r="N9" s="125">
        <v>2273.6297970844635</v>
      </c>
      <c r="O9" s="125">
        <v>2393.2945232468037</v>
      </c>
      <c r="P9" s="125">
        <v>2297.5627423169317</v>
      </c>
      <c r="Q9" s="125">
        <v>2201.8309613870592</v>
      </c>
      <c r="R9" s="125">
        <v>2106.0991804571877</v>
      </c>
      <c r="S9" s="125">
        <v>2010.3673995273152</v>
      </c>
      <c r="T9" s="125">
        <v>1914.635618597443</v>
      </c>
      <c r="U9" s="53"/>
      <c r="V9" s="53"/>
      <c r="W9" s="53"/>
      <c r="X9" s="53"/>
      <c r="Y9" s="53"/>
      <c r="Z9" s="53"/>
      <c r="AA9" s="53"/>
      <c r="AB9" s="53"/>
      <c r="AC9" s="54"/>
    </row>
    <row r="10" spans="1:29" hidden="1" x14ac:dyDescent="0.35">
      <c r="A10" s="49"/>
      <c r="B10" s="2179" t="s">
        <v>985</v>
      </c>
      <c r="C10" s="2179" t="s">
        <v>980</v>
      </c>
      <c r="D10" s="59">
        <v>2</v>
      </c>
      <c r="E10" s="60"/>
      <c r="F10" s="125">
        <v>1499.3678928759959</v>
      </c>
      <c r="G10" s="125">
        <v>1219.6536471340605</v>
      </c>
      <c r="H10" s="125">
        <v>1907.7477054101512</v>
      </c>
      <c r="I10" s="125">
        <v>2331.478292100855</v>
      </c>
      <c r="J10" s="125">
        <v>2565.1118039248299</v>
      </c>
      <c r="K10" s="125">
        <v>2667.8994523509409</v>
      </c>
      <c r="L10" s="125">
        <v>2834.6431681228742</v>
      </c>
      <c r="M10" s="125">
        <v>3001.3868838948088</v>
      </c>
      <c r="N10" s="125">
        <v>3168.1305996667425</v>
      </c>
      <c r="O10" s="125">
        <v>3334.8743154386761</v>
      </c>
      <c r="P10" s="125">
        <v>3201.4793428211292</v>
      </c>
      <c r="Q10" s="125">
        <v>3068.0843702035818</v>
      </c>
      <c r="R10" s="125">
        <v>2934.6893975860353</v>
      </c>
      <c r="S10" s="125">
        <v>2801.2944249684879</v>
      </c>
      <c r="T10" s="125">
        <v>2667.8994523509409</v>
      </c>
      <c r="U10" s="53"/>
      <c r="V10" s="53"/>
      <c r="W10" s="53"/>
      <c r="X10" s="53"/>
      <c r="Y10" s="53"/>
      <c r="Z10" s="53"/>
      <c r="AA10" s="53"/>
      <c r="AB10" s="53"/>
      <c r="AC10" s="54"/>
    </row>
    <row r="11" spans="1:29" hidden="1" x14ac:dyDescent="0.35">
      <c r="A11" s="49"/>
      <c r="B11" s="2197"/>
      <c r="C11" s="2182"/>
      <c r="D11" s="59">
        <v>3</v>
      </c>
      <c r="E11" s="60"/>
      <c r="F11" s="125">
        <v>1809.2581970601925</v>
      </c>
      <c r="G11" s="125">
        <v>1639.6051876342535</v>
      </c>
      <c r="H11" s="125">
        <v>2611.0300119209442</v>
      </c>
      <c r="I11" s="125">
        <v>3236.5254689992976</v>
      </c>
      <c r="J11" s="125">
        <v>3516.227285140706</v>
      </c>
      <c r="K11" s="125">
        <v>3571.5325400237716</v>
      </c>
      <c r="L11" s="125">
        <v>3794.7533237752577</v>
      </c>
      <c r="M11" s="125">
        <v>4017.974107526743</v>
      </c>
      <c r="N11" s="125">
        <v>4241.1948912782291</v>
      </c>
      <c r="O11" s="125">
        <v>4464.4156750297143</v>
      </c>
      <c r="P11" s="125">
        <v>4285.8390480285252</v>
      </c>
      <c r="Q11" s="125">
        <v>4107.262421027337</v>
      </c>
      <c r="R11" s="125">
        <v>3928.6857940261489</v>
      </c>
      <c r="S11" s="125">
        <v>3750.1091670249607</v>
      </c>
      <c r="T11" s="125">
        <v>3571.5325400237716</v>
      </c>
      <c r="U11" s="53"/>
      <c r="V11" s="53"/>
      <c r="W11" s="53"/>
      <c r="X11" s="53"/>
      <c r="Y11" s="53"/>
      <c r="Z11" s="53"/>
      <c r="AA11" s="53"/>
      <c r="AB11" s="53"/>
      <c r="AC11" s="54"/>
    </row>
    <row r="12" spans="1:29" hidden="1" x14ac:dyDescent="0.35">
      <c r="A12" s="49"/>
      <c r="B12" s="2197"/>
      <c r="C12" s="2199"/>
      <c r="D12" s="59">
        <v>4</v>
      </c>
      <c r="E12" s="60"/>
      <c r="F12" s="125">
        <v>3008.3036888273323</v>
      </c>
      <c r="G12" s="125">
        <v>3264.1852335573308</v>
      </c>
      <c r="H12" s="125">
        <v>5936.5376552289372</v>
      </c>
      <c r="I12" s="125">
        <v>7097.47123514142</v>
      </c>
      <c r="J12" s="125">
        <v>6217.0935156542992</v>
      </c>
      <c r="K12" s="125">
        <v>6225.639040736266</v>
      </c>
      <c r="L12" s="125">
        <v>6614.7414807822834</v>
      </c>
      <c r="M12" s="125">
        <v>7003.8439208282998</v>
      </c>
      <c r="N12" s="125">
        <v>7392.9463608743172</v>
      </c>
      <c r="O12" s="125">
        <v>7782.0488009203327</v>
      </c>
      <c r="P12" s="125">
        <v>7470.7668488835197</v>
      </c>
      <c r="Q12" s="125">
        <v>7159.4848968467059</v>
      </c>
      <c r="R12" s="125">
        <v>6848.2029448098938</v>
      </c>
      <c r="S12" s="125">
        <v>6536.9209927730799</v>
      </c>
      <c r="T12" s="125">
        <v>6225.639040736266</v>
      </c>
      <c r="U12" s="53"/>
      <c r="V12" s="53"/>
      <c r="W12" s="53"/>
      <c r="X12" s="53"/>
      <c r="Y12" s="53"/>
      <c r="Z12" s="53"/>
      <c r="AA12" s="53"/>
      <c r="AB12" s="53"/>
      <c r="AC12" s="54"/>
    </row>
    <row r="13" spans="1:29" hidden="1" x14ac:dyDescent="0.35">
      <c r="A13" s="49"/>
      <c r="B13" s="2197"/>
      <c r="C13" s="2179" t="s">
        <v>981</v>
      </c>
      <c r="D13" s="59">
        <v>2</v>
      </c>
      <c r="E13" s="60"/>
      <c r="F13" s="125">
        <v>1608.7311811923407</v>
      </c>
      <c r="G13" s="125">
        <v>1520.9030203665209</v>
      </c>
      <c r="H13" s="125">
        <v>2015.4600214294628</v>
      </c>
      <c r="I13" s="125">
        <v>2613.2223308305774</v>
      </c>
      <c r="J13" s="125">
        <v>3052.154274712811</v>
      </c>
      <c r="K13" s="125">
        <v>2943.4467121117123</v>
      </c>
      <c r="L13" s="125">
        <v>3127.4121316186938</v>
      </c>
      <c r="M13" s="125">
        <v>3311.3775511256763</v>
      </c>
      <c r="N13" s="125">
        <v>3495.3429706326579</v>
      </c>
      <c r="O13" s="125">
        <v>3679.3083901396403</v>
      </c>
      <c r="P13" s="125">
        <v>3532.1360545340544</v>
      </c>
      <c r="Q13" s="125">
        <v>3384.9637189284686</v>
      </c>
      <c r="R13" s="125">
        <v>3237.7913833228836</v>
      </c>
      <c r="S13" s="125">
        <v>3090.6190477172977</v>
      </c>
      <c r="T13" s="125">
        <v>2943.4467121117123</v>
      </c>
      <c r="U13" s="53"/>
      <c r="V13" s="53"/>
      <c r="W13" s="53"/>
      <c r="X13" s="53"/>
      <c r="Y13" s="53"/>
      <c r="Z13" s="53"/>
      <c r="AA13" s="53"/>
      <c r="AB13" s="53"/>
      <c r="AC13" s="54"/>
    </row>
    <row r="14" spans="1:29" hidden="1" x14ac:dyDescent="0.35">
      <c r="A14" s="49"/>
      <c r="B14" s="2197"/>
      <c r="C14" s="2182"/>
      <c r="D14" s="59">
        <v>3</v>
      </c>
      <c r="E14" s="60"/>
      <c r="F14" s="125">
        <v>1967.3297779650161</v>
      </c>
      <c r="G14" s="125">
        <v>1585.7772096685544</v>
      </c>
      <c r="H14" s="125">
        <v>3028.4476873981607</v>
      </c>
      <c r="I14" s="125">
        <v>3898.3659735074084</v>
      </c>
      <c r="J14" s="125">
        <v>4328.0496177619716</v>
      </c>
      <c r="K14" s="125">
        <v>4077.6509910037917</v>
      </c>
      <c r="L14" s="125">
        <v>4332.5041779415278</v>
      </c>
      <c r="M14" s="125">
        <v>4587.3573648792653</v>
      </c>
      <c r="N14" s="125">
        <v>4842.2105518170029</v>
      </c>
      <c r="O14" s="125">
        <v>5097.0637387547404</v>
      </c>
      <c r="P14" s="125">
        <v>4893.1811892045498</v>
      </c>
      <c r="Q14" s="125">
        <v>4689.2986396543602</v>
      </c>
      <c r="R14" s="125">
        <v>4485.4160901041705</v>
      </c>
      <c r="S14" s="125">
        <v>4281.5335405539818</v>
      </c>
      <c r="T14" s="125">
        <v>4077.6509910037917</v>
      </c>
      <c r="U14" s="53"/>
      <c r="V14" s="53"/>
      <c r="W14" s="53"/>
      <c r="X14" s="53"/>
      <c r="Y14" s="53"/>
      <c r="Z14" s="53"/>
      <c r="AA14" s="53"/>
      <c r="AB14" s="53"/>
      <c r="AC14" s="54"/>
    </row>
    <row r="15" spans="1:29" hidden="1" x14ac:dyDescent="0.35">
      <c r="A15" s="49"/>
      <c r="B15" s="2198"/>
      <c r="C15" s="2199"/>
      <c r="D15" s="59">
        <v>4</v>
      </c>
      <c r="E15" s="60"/>
      <c r="F15" s="125">
        <v>2722.6696460832541</v>
      </c>
      <c r="G15" s="125">
        <v>3064.6218212378108</v>
      </c>
      <c r="H15" s="125">
        <v>4482.6900608532833</v>
      </c>
      <c r="I15" s="125">
        <v>5876.605866684491</v>
      </c>
      <c r="J15" s="125">
        <v>6931.7118005112561</v>
      </c>
      <c r="K15" s="125">
        <v>5968.1865596051011</v>
      </c>
      <c r="L15" s="125">
        <v>6341.1982195804203</v>
      </c>
      <c r="M15" s="125">
        <v>6714.2098795557386</v>
      </c>
      <c r="N15" s="125">
        <v>7087.2215395310577</v>
      </c>
      <c r="O15" s="125">
        <v>7460.233199506376</v>
      </c>
      <c r="P15" s="125">
        <v>7161.8238715261214</v>
      </c>
      <c r="Q15" s="125">
        <v>6863.4145435458659</v>
      </c>
      <c r="R15" s="125">
        <v>6565.0052155656122</v>
      </c>
      <c r="S15" s="125">
        <v>6266.5958875853566</v>
      </c>
      <c r="T15" s="125">
        <v>5968.1865596051011</v>
      </c>
      <c r="U15" s="53"/>
      <c r="V15" s="53"/>
      <c r="W15" s="53"/>
      <c r="X15" s="53"/>
      <c r="Y15" s="53"/>
      <c r="Z15" s="53"/>
      <c r="AA15" s="53"/>
      <c r="AB15" s="53"/>
      <c r="AC15" s="54"/>
    </row>
    <row r="16" spans="1:29" hidden="1" x14ac:dyDescent="0.35">
      <c r="A16" s="49"/>
      <c r="B16" s="2191"/>
      <c r="C16" s="2192"/>
      <c r="D16" s="2193"/>
      <c r="E16" s="60"/>
      <c r="F16" s="94">
        <f>AVERAGE(F7:F11,F13:F14)</f>
        <v>1609.4331356988539</v>
      </c>
      <c r="G16" s="94">
        <f t="shared" ref="G16:S16" si="0">AVERAGE(G7:G11,G13:G14)</f>
        <v>1509.1747716594643</v>
      </c>
      <c r="H16" s="94">
        <f t="shared" si="0"/>
        <v>2320.7798093116517</v>
      </c>
      <c r="I16" s="94">
        <f t="shared" si="0"/>
        <v>2754.4992202138719</v>
      </c>
      <c r="J16" s="94">
        <f t="shared" si="0"/>
        <v>2932.1299811654176</v>
      </c>
      <c r="K16" s="94">
        <f t="shared" si="0"/>
        <v>2714.919507326078</v>
      </c>
      <c r="L16" s="94">
        <f t="shared" si="0"/>
        <v>2884.6019765339579</v>
      </c>
      <c r="M16" s="94">
        <f t="shared" si="0"/>
        <v>3054.2844457418373</v>
      </c>
      <c r="N16" s="94">
        <f t="shared" si="0"/>
        <v>3223.9669149497172</v>
      </c>
      <c r="O16" s="94">
        <f t="shared" si="0"/>
        <v>3393.6493841575971</v>
      </c>
      <c r="P16" s="94">
        <f t="shared" si="0"/>
        <v>3257.9034087912928</v>
      </c>
      <c r="Q16" s="94">
        <f t="shared" si="0"/>
        <v>3122.1574334249894</v>
      </c>
      <c r="R16" s="94">
        <f t="shared" si="0"/>
        <v>2986.4114580586861</v>
      </c>
      <c r="S16" s="94">
        <f t="shared" si="0"/>
        <v>2850.6654826923818</v>
      </c>
      <c r="T16" s="94">
        <f>AVERAGE(T7:T11,T13:T14)</f>
        <v>2714.919507326078</v>
      </c>
      <c r="U16" s="53"/>
      <c r="V16" s="53"/>
      <c r="W16" s="53"/>
      <c r="X16" s="53"/>
      <c r="Y16" s="53"/>
      <c r="Z16" s="53"/>
      <c r="AA16" s="53"/>
      <c r="AB16" s="53"/>
      <c r="AC16" s="54"/>
    </row>
    <row r="17" spans="1:29" hidden="1" x14ac:dyDescent="0.35">
      <c r="A17" s="49"/>
      <c r="B17" s="53"/>
      <c r="C17" s="53"/>
      <c r="D17" s="53"/>
      <c r="E17" s="60"/>
      <c r="F17" s="81"/>
      <c r="G17" s="81"/>
      <c r="H17" s="81"/>
      <c r="I17" s="81"/>
      <c r="J17" s="81"/>
      <c r="K17" s="81"/>
      <c r="L17" s="81"/>
      <c r="M17" s="81"/>
      <c r="N17" s="81"/>
      <c r="O17" s="81"/>
      <c r="P17" s="81"/>
      <c r="Q17" s="81"/>
      <c r="R17" s="81"/>
      <c r="S17" s="81"/>
      <c r="T17" s="81"/>
      <c r="U17" s="53"/>
      <c r="V17" s="53"/>
      <c r="W17" s="53"/>
      <c r="X17" s="53"/>
      <c r="Y17" s="53"/>
      <c r="Z17" s="53"/>
      <c r="AA17" s="53"/>
      <c r="AB17" s="53"/>
      <c r="AC17" s="54"/>
    </row>
    <row r="18" spans="1:29" hidden="1" x14ac:dyDescent="0.35">
      <c r="A18" s="49"/>
      <c r="B18" s="53"/>
      <c r="C18" s="53"/>
      <c r="D18" s="53"/>
      <c r="E18" s="60"/>
      <c r="F18" s="126"/>
      <c r="G18" s="126"/>
      <c r="H18" s="126"/>
      <c r="I18" s="126"/>
      <c r="J18" s="126"/>
      <c r="K18" s="126"/>
      <c r="L18" s="126"/>
      <c r="M18" s="126"/>
      <c r="N18" s="126"/>
      <c r="O18" s="126"/>
      <c r="P18" s="126"/>
      <c r="Q18" s="126"/>
      <c r="R18" s="126"/>
      <c r="S18" s="126"/>
      <c r="T18" s="126"/>
      <c r="U18" s="53"/>
      <c r="V18" s="53"/>
      <c r="W18" s="53"/>
      <c r="X18" s="53"/>
      <c r="Y18" s="53"/>
      <c r="Z18" s="53"/>
      <c r="AA18" s="53"/>
      <c r="AB18" s="53"/>
      <c r="AC18" s="54"/>
    </row>
    <row r="19" spans="1:29" hidden="1" x14ac:dyDescent="0.35">
      <c r="A19" s="49"/>
      <c r="B19" s="2113" t="s">
        <v>986</v>
      </c>
      <c r="C19" s="2115"/>
      <c r="D19" s="2116"/>
      <c r="E19" s="60"/>
      <c r="F19" s="2113" t="s">
        <v>996</v>
      </c>
      <c r="G19" s="2115"/>
      <c r="H19" s="2115"/>
      <c r="I19" s="2115"/>
      <c r="J19" s="2115"/>
      <c r="K19" s="2115"/>
      <c r="L19" s="2115"/>
      <c r="M19" s="2115"/>
      <c r="N19" s="2115"/>
      <c r="O19" s="2115"/>
      <c r="P19" s="2115"/>
      <c r="Q19" s="2115"/>
      <c r="R19" s="2115"/>
      <c r="S19" s="2115"/>
      <c r="T19" s="2116"/>
      <c r="U19" s="53"/>
      <c r="V19" s="53"/>
      <c r="W19" s="53"/>
      <c r="X19" s="53"/>
      <c r="Y19" s="53"/>
      <c r="Z19" s="53"/>
      <c r="AA19" s="53"/>
      <c r="AB19" s="53"/>
      <c r="AC19" s="54"/>
    </row>
    <row r="20" spans="1:29" hidden="1" x14ac:dyDescent="0.35">
      <c r="A20" s="49"/>
      <c r="B20" s="2206" t="s">
        <v>963</v>
      </c>
      <c r="C20" s="2207"/>
      <c r="D20" s="57" t="s">
        <v>964</v>
      </c>
      <c r="E20" s="60"/>
      <c r="F20" s="56" t="s">
        <v>965</v>
      </c>
      <c r="G20" s="58" t="s">
        <v>966</v>
      </c>
      <c r="H20" s="58" t="s">
        <v>967</v>
      </c>
      <c r="I20" s="58" t="s">
        <v>968</v>
      </c>
      <c r="J20" s="58" t="s">
        <v>969</v>
      </c>
      <c r="K20" s="58" t="s">
        <v>970</v>
      </c>
      <c r="L20" s="58" t="s">
        <v>971</v>
      </c>
      <c r="M20" s="58" t="s">
        <v>972</v>
      </c>
      <c r="N20" s="58" t="s">
        <v>973</v>
      </c>
      <c r="O20" s="58" t="s">
        <v>974</v>
      </c>
      <c r="P20" s="58" t="s">
        <v>975</v>
      </c>
      <c r="Q20" s="58" t="s">
        <v>976</v>
      </c>
      <c r="R20" s="58" t="s">
        <v>977</v>
      </c>
      <c r="S20" s="58" t="s">
        <v>978</v>
      </c>
      <c r="T20" s="57" t="s">
        <v>979</v>
      </c>
      <c r="U20" s="53"/>
      <c r="V20" s="53"/>
      <c r="W20" s="53"/>
      <c r="X20" s="53"/>
      <c r="Y20" s="53"/>
      <c r="Z20" s="53"/>
      <c r="AA20" s="53"/>
      <c r="AB20" s="53"/>
      <c r="AC20" s="54"/>
    </row>
    <row r="21" spans="1:29" hidden="1" x14ac:dyDescent="0.35">
      <c r="A21" s="49"/>
      <c r="B21" s="2200" t="s">
        <v>988</v>
      </c>
      <c r="C21" s="2201"/>
      <c r="D21" s="83">
        <v>1</v>
      </c>
      <c r="E21" s="60"/>
      <c r="F21" s="125">
        <v>300</v>
      </c>
      <c r="G21" s="125">
        <v>300</v>
      </c>
      <c r="H21" s="125">
        <v>300</v>
      </c>
      <c r="I21" s="125">
        <v>300</v>
      </c>
      <c r="J21" s="125">
        <v>300</v>
      </c>
      <c r="K21" s="125">
        <v>300</v>
      </c>
      <c r="L21" s="125">
        <v>300</v>
      </c>
      <c r="M21" s="125">
        <v>300</v>
      </c>
      <c r="N21" s="125">
        <v>300</v>
      </c>
      <c r="O21" s="125">
        <v>300</v>
      </c>
      <c r="P21" s="125">
        <v>300</v>
      </c>
      <c r="Q21" s="125">
        <v>300</v>
      </c>
      <c r="R21" s="125">
        <v>300</v>
      </c>
      <c r="S21" s="125">
        <v>300</v>
      </c>
      <c r="T21" s="125">
        <v>300</v>
      </c>
      <c r="U21" s="53"/>
      <c r="V21" s="53"/>
      <c r="W21" s="53"/>
      <c r="X21" s="53"/>
      <c r="Y21" s="53"/>
      <c r="Z21" s="53"/>
      <c r="AA21" s="53"/>
      <c r="AB21" s="53"/>
      <c r="AC21" s="54"/>
    </row>
    <row r="22" spans="1:29" hidden="1" x14ac:dyDescent="0.35">
      <c r="A22" s="49"/>
      <c r="B22" s="2202"/>
      <c r="C22" s="2203"/>
      <c r="D22" s="83">
        <v>2</v>
      </c>
      <c r="E22" s="60"/>
      <c r="F22" s="125">
        <v>500</v>
      </c>
      <c r="G22" s="125">
        <v>500</v>
      </c>
      <c r="H22" s="125">
        <v>500</v>
      </c>
      <c r="I22" s="125">
        <v>500</v>
      </c>
      <c r="J22" s="125">
        <v>500</v>
      </c>
      <c r="K22" s="125">
        <v>500</v>
      </c>
      <c r="L22" s="125">
        <v>500</v>
      </c>
      <c r="M22" s="125">
        <v>500</v>
      </c>
      <c r="N22" s="125">
        <v>500</v>
      </c>
      <c r="O22" s="125">
        <v>500</v>
      </c>
      <c r="P22" s="125">
        <v>500</v>
      </c>
      <c r="Q22" s="125">
        <v>500</v>
      </c>
      <c r="R22" s="125">
        <v>500</v>
      </c>
      <c r="S22" s="125">
        <v>500</v>
      </c>
      <c r="T22" s="125">
        <v>500</v>
      </c>
      <c r="U22" s="53"/>
      <c r="V22" s="53"/>
      <c r="W22" s="53"/>
      <c r="X22" s="53"/>
      <c r="Y22" s="53"/>
      <c r="Z22" s="53"/>
      <c r="AA22" s="53"/>
      <c r="AB22" s="53"/>
      <c r="AC22" s="54"/>
    </row>
    <row r="23" spans="1:29" hidden="1" x14ac:dyDescent="0.35">
      <c r="A23" s="49"/>
      <c r="B23" s="2204"/>
      <c r="C23" s="2205"/>
      <c r="D23" s="83">
        <v>3</v>
      </c>
      <c r="E23" s="60"/>
      <c r="F23" s="125">
        <v>700</v>
      </c>
      <c r="G23" s="125">
        <v>700</v>
      </c>
      <c r="H23" s="125">
        <v>700</v>
      </c>
      <c r="I23" s="125">
        <v>700</v>
      </c>
      <c r="J23" s="125">
        <v>700</v>
      </c>
      <c r="K23" s="125">
        <v>700</v>
      </c>
      <c r="L23" s="125">
        <v>700</v>
      </c>
      <c r="M23" s="125">
        <v>700</v>
      </c>
      <c r="N23" s="125">
        <v>700</v>
      </c>
      <c r="O23" s="125">
        <v>700</v>
      </c>
      <c r="P23" s="125">
        <v>700</v>
      </c>
      <c r="Q23" s="125">
        <v>700</v>
      </c>
      <c r="R23" s="125">
        <v>700</v>
      </c>
      <c r="S23" s="125">
        <v>700</v>
      </c>
      <c r="T23" s="125">
        <v>700</v>
      </c>
      <c r="U23" s="53"/>
      <c r="V23" s="53"/>
      <c r="W23" s="53"/>
      <c r="X23" s="53"/>
      <c r="Y23" s="53"/>
      <c r="Z23" s="53"/>
      <c r="AA23" s="53"/>
      <c r="AB23" s="53"/>
      <c r="AC23" s="54"/>
    </row>
    <row r="24" spans="1:29" hidden="1" x14ac:dyDescent="0.35">
      <c r="A24" s="49"/>
      <c r="B24" s="2200" t="s">
        <v>989</v>
      </c>
      <c r="C24" s="2201"/>
      <c r="D24" s="83">
        <v>1</v>
      </c>
      <c r="E24" s="60"/>
      <c r="F24" s="125">
        <v>300</v>
      </c>
      <c r="G24" s="125">
        <v>300</v>
      </c>
      <c r="H24" s="125">
        <v>300</v>
      </c>
      <c r="I24" s="125">
        <v>300</v>
      </c>
      <c r="J24" s="125">
        <v>300</v>
      </c>
      <c r="K24" s="125">
        <v>300</v>
      </c>
      <c r="L24" s="125">
        <v>300</v>
      </c>
      <c r="M24" s="125">
        <v>300</v>
      </c>
      <c r="N24" s="125">
        <v>300</v>
      </c>
      <c r="O24" s="125">
        <v>300</v>
      </c>
      <c r="P24" s="125">
        <v>300</v>
      </c>
      <c r="Q24" s="125">
        <v>300</v>
      </c>
      <c r="R24" s="125">
        <v>300</v>
      </c>
      <c r="S24" s="125">
        <v>300</v>
      </c>
      <c r="T24" s="125">
        <v>300</v>
      </c>
      <c r="U24" s="53"/>
      <c r="V24" s="53"/>
      <c r="W24" s="53"/>
      <c r="X24" s="53"/>
      <c r="Y24" s="53"/>
      <c r="Z24" s="53"/>
      <c r="AA24" s="53"/>
      <c r="AB24" s="53"/>
      <c r="AC24" s="54"/>
    </row>
    <row r="25" spans="1:29" hidden="1" x14ac:dyDescent="0.35">
      <c r="A25" s="49"/>
      <c r="B25" s="2202"/>
      <c r="C25" s="2203"/>
      <c r="D25" s="83">
        <v>2</v>
      </c>
      <c r="E25" s="60"/>
      <c r="F25" s="125">
        <v>500</v>
      </c>
      <c r="G25" s="125">
        <v>500</v>
      </c>
      <c r="H25" s="125">
        <v>500</v>
      </c>
      <c r="I25" s="125">
        <v>500</v>
      </c>
      <c r="J25" s="125">
        <v>500</v>
      </c>
      <c r="K25" s="125">
        <v>500</v>
      </c>
      <c r="L25" s="125">
        <v>500</v>
      </c>
      <c r="M25" s="125">
        <v>500</v>
      </c>
      <c r="N25" s="125">
        <v>500</v>
      </c>
      <c r="O25" s="125">
        <v>500</v>
      </c>
      <c r="P25" s="125">
        <v>500</v>
      </c>
      <c r="Q25" s="125">
        <v>500</v>
      </c>
      <c r="R25" s="125">
        <v>500</v>
      </c>
      <c r="S25" s="125">
        <v>500</v>
      </c>
      <c r="T25" s="125">
        <v>500</v>
      </c>
      <c r="U25" s="53"/>
      <c r="V25" s="53"/>
      <c r="W25" s="53"/>
      <c r="X25" s="53"/>
      <c r="Y25" s="53"/>
      <c r="Z25" s="53"/>
      <c r="AA25" s="53"/>
      <c r="AB25" s="53"/>
      <c r="AC25" s="54"/>
    </row>
    <row r="26" spans="1:29" hidden="1" x14ac:dyDescent="0.35">
      <c r="A26" s="49"/>
      <c r="B26" s="2204"/>
      <c r="C26" s="2205"/>
      <c r="D26" s="83">
        <v>3</v>
      </c>
      <c r="E26" s="60"/>
      <c r="F26" s="125">
        <v>700</v>
      </c>
      <c r="G26" s="125">
        <v>700</v>
      </c>
      <c r="H26" s="125">
        <v>700</v>
      </c>
      <c r="I26" s="125">
        <v>700</v>
      </c>
      <c r="J26" s="125">
        <v>700</v>
      </c>
      <c r="K26" s="125">
        <v>700</v>
      </c>
      <c r="L26" s="125">
        <v>700</v>
      </c>
      <c r="M26" s="125">
        <v>700</v>
      </c>
      <c r="N26" s="125">
        <v>700</v>
      </c>
      <c r="O26" s="125">
        <v>700</v>
      </c>
      <c r="P26" s="125">
        <v>700</v>
      </c>
      <c r="Q26" s="125">
        <v>700</v>
      </c>
      <c r="R26" s="125">
        <v>700</v>
      </c>
      <c r="S26" s="125">
        <v>700</v>
      </c>
      <c r="T26" s="125">
        <v>700</v>
      </c>
      <c r="U26" s="53"/>
      <c r="V26" s="53"/>
      <c r="W26" s="53"/>
      <c r="X26" s="53"/>
      <c r="Y26" s="53"/>
      <c r="Z26" s="53"/>
      <c r="AA26" s="53"/>
      <c r="AB26" s="53"/>
      <c r="AC26" s="54"/>
    </row>
    <row r="27" spans="1:29" hidden="1" x14ac:dyDescent="0.35">
      <c r="A27" s="49"/>
      <c r="B27" s="2191"/>
      <c r="C27" s="2192"/>
      <c r="D27" s="2193"/>
      <c r="E27" s="60"/>
      <c r="F27" s="94"/>
      <c r="G27" s="95"/>
      <c r="H27" s="95"/>
      <c r="I27" s="95"/>
      <c r="J27" s="95"/>
      <c r="K27" s="95"/>
      <c r="L27" s="95"/>
      <c r="M27" s="95"/>
      <c r="N27" s="95"/>
      <c r="O27" s="95"/>
      <c r="P27" s="95"/>
      <c r="Q27" s="95"/>
      <c r="R27" s="95"/>
      <c r="S27" s="95"/>
      <c r="T27" s="96"/>
      <c r="U27" s="53"/>
      <c r="V27" s="53"/>
      <c r="W27" s="53"/>
      <c r="X27" s="53"/>
      <c r="Y27" s="53"/>
      <c r="Z27" s="53"/>
      <c r="AA27" s="53"/>
      <c r="AB27" s="53"/>
      <c r="AC27" s="54"/>
    </row>
    <row r="28" spans="1:29" hidden="1" x14ac:dyDescent="0.35">
      <c r="A28" s="49"/>
      <c r="B28" s="64"/>
      <c r="C28" s="64"/>
      <c r="D28" s="64"/>
      <c r="E28" s="60"/>
      <c r="F28" s="53"/>
      <c r="G28" s="53"/>
      <c r="H28" s="53"/>
      <c r="I28" s="53"/>
      <c r="J28" s="53"/>
      <c r="K28" s="53"/>
      <c r="L28" s="53"/>
      <c r="M28" s="53"/>
      <c r="N28" s="53"/>
      <c r="O28" s="53"/>
      <c r="P28" s="53"/>
      <c r="Q28" s="53"/>
      <c r="R28" s="53"/>
      <c r="S28" s="53"/>
      <c r="T28" s="53"/>
      <c r="U28" s="53"/>
      <c r="V28" s="53"/>
      <c r="W28" s="53"/>
      <c r="X28" s="53"/>
      <c r="Y28" s="53"/>
      <c r="Z28" s="53"/>
      <c r="AA28" s="53"/>
      <c r="AB28" s="53"/>
      <c r="AC28" s="54"/>
    </row>
    <row r="29" spans="1:29" hidden="1" x14ac:dyDescent="0.35">
      <c r="A29" s="49"/>
      <c r="B29" s="64"/>
      <c r="C29" s="64"/>
      <c r="D29" s="64"/>
      <c r="E29" s="60"/>
      <c r="F29" s="53"/>
      <c r="G29" s="53"/>
      <c r="H29" s="53"/>
      <c r="I29" s="53"/>
      <c r="J29" s="53"/>
      <c r="K29" s="53"/>
      <c r="L29" s="53"/>
      <c r="M29" s="53"/>
      <c r="N29" s="53"/>
      <c r="O29" s="53"/>
      <c r="P29" s="53"/>
      <c r="Q29" s="53"/>
      <c r="R29" s="53"/>
      <c r="S29" s="53"/>
      <c r="T29" s="53"/>
      <c r="U29" s="53"/>
      <c r="V29" s="53"/>
      <c r="W29" s="53"/>
      <c r="X29" s="53"/>
      <c r="Y29" s="53"/>
      <c r="Z29" s="53"/>
      <c r="AA29" s="53"/>
      <c r="AB29" s="53"/>
      <c r="AC29" s="54"/>
    </row>
    <row r="30" spans="1:29" hidden="1" x14ac:dyDescent="0.35">
      <c r="A30" s="49"/>
      <c r="B30" s="64"/>
      <c r="C30" s="64"/>
      <c r="D30" s="64"/>
      <c r="E30" s="60"/>
      <c r="F30" s="53"/>
      <c r="G30" s="53"/>
      <c r="H30" s="53"/>
      <c r="I30" s="53"/>
      <c r="J30" s="53"/>
      <c r="K30" s="53"/>
      <c r="L30" s="53"/>
      <c r="M30" s="53"/>
      <c r="N30" s="53"/>
      <c r="O30" s="53"/>
      <c r="P30" s="53"/>
      <c r="Q30" s="53"/>
      <c r="R30" s="53"/>
      <c r="S30" s="53"/>
      <c r="T30" s="53"/>
      <c r="U30" s="53"/>
      <c r="V30" s="53"/>
      <c r="W30" s="53"/>
      <c r="X30" s="53"/>
      <c r="Y30" s="53"/>
      <c r="Z30" s="53"/>
      <c r="AA30" s="53"/>
      <c r="AB30" s="53"/>
      <c r="AC30" s="54"/>
    </row>
    <row r="31" spans="1:29" hidden="1" x14ac:dyDescent="0.35">
      <c r="A31" s="49"/>
      <c r="B31" s="64"/>
      <c r="C31" s="64"/>
      <c r="D31" s="64"/>
      <c r="E31" s="60"/>
      <c r="F31" s="53"/>
      <c r="G31" s="53"/>
      <c r="H31" s="53"/>
      <c r="I31" s="53"/>
      <c r="J31" s="53"/>
      <c r="K31" s="53"/>
      <c r="L31" s="53"/>
      <c r="M31" s="53"/>
      <c r="N31" s="53"/>
      <c r="O31" s="53"/>
      <c r="P31" s="53"/>
      <c r="Q31" s="53"/>
      <c r="R31" s="53"/>
      <c r="S31" s="53"/>
      <c r="T31" s="53"/>
      <c r="U31" s="53"/>
      <c r="V31" s="53"/>
      <c r="W31" s="53"/>
      <c r="X31" s="53"/>
      <c r="Y31" s="53"/>
      <c r="Z31" s="53"/>
      <c r="AA31" s="53"/>
      <c r="AB31" s="53"/>
      <c r="AC31" s="54"/>
    </row>
    <row r="32" spans="1:29" ht="15" hidden="1" customHeight="1" x14ac:dyDescent="0.35">
      <c r="A32" s="49"/>
      <c r="B32" s="84"/>
      <c r="C32" s="67"/>
      <c r="D32" s="84"/>
      <c r="E32" s="67"/>
      <c r="F32" s="53"/>
      <c r="G32" s="53"/>
      <c r="H32" s="53"/>
      <c r="I32" s="53"/>
      <c r="J32" s="53"/>
      <c r="K32" s="53"/>
      <c r="L32" s="53"/>
      <c r="M32" s="53"/>
      <c r="N32" s="53"/>
      <c r="O32" s="53"/>
      <c r="P32" s="53"/>
      <c r="Q32" s="53"/>
      <c r="R32" s="53"/>
      <c r="S32" s="53"/>
      <c r="T32" s="53"/>
      <c r="U32" s="53"/>
      <c r="V32" s="53"/>
      <c r="W32" s="53"/>
      <c r="X32" s="53"/>
      <c r="Y32" s="53"/>
      <c r="Z32" s="53"/>
      <c r="AA32" s="53"/>
      <c r="AB32" s="53"/>
      <c r="AC32" s="54"/>
    </row>
    <row r="33" spans="1:29" hidden="1" x14ac:dyDescent="0.35">
      <c r="A33" s="49"/>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4"/>
    </row>
    <row r="34" spans="1:29" x14ac:dyDescent="0.35">
      <c r="A34" s="46"/>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8"/>
    </row>
    <row r="35" spans="1:29" hidden="1" x14ac:dyDescent="0.35">
      <c r="A35" s="98"/>
      <c r="B35" s="76"/>
      <c r="D35" s="76"/>
      <c r="Q35" s="44"/>
      <c r="R35" s="44"/>
      <c r="S35" s="44"/>
      <c r="T35" s="44"/>
      <c r="U35" s="44"/>
      <c r="V35" s="44"/>
      <c r="W35" s="44"/>
      <c r="X35" s="44"/>
      <c r="Y35" s="44"/>
      <c r="Z35" s="44"/>
      <c r="AA35" s="44"/>
      <c r="AB35" s="44"/>
      <c r="AC35" s="44"/>
    </row>
    <row r="36" spans="1:29" hidden="1" x14ac:dyDescent="0.35">
      <c r="A36" s="75"/>
      <c r="B36" s="73"/>
      <c r="D36" s="73"/>
      <c r="Q36" s="44"/>
      <c r="R36" s="44"/>
      <c r="S36" s="44"/>
      <c r="T36" s="44"/>
      <c r="U36" s="44"/>
      <c r="V36" s="44"/>
      <c r="W36" s="44"/>
      <c r="X36" s="44"/>
      <c r="Y36" s="44"/>
      <c r="Z36" s="44"/>
      <c r="AA36" s="44"/>
      <c r="AB36" s="44"/>
      <c r="AC36" s="44"/>
    </row>
    <row r="37" spans="1:29" hidden="1" x14ac:dyDescent="0.35">
      <c r="A37" s="44"/>
      <c r="Q37" s="44"/>
      <c r="R37" s="44"/>
      <c r="S37" s="44"/>
      <c r="T37" s="44"/>
      <c r="U37" s="44"/>
      <c r="V37" s="44"/>
      <c r="W37" s="44"/>
      <c r="X37" s="44"/>
      <c r="Y37" s="44"/>
      <c r="Z37" s="44"/>
      <c r="AA37" s="44"/>
      <c r="AB37" s="44"/>
      <c r="AC37" s="44"/>
    </row>
    <row r="38" spans="1:29" hidden="1" x14ac:dyDescent="0.35">
      <c r="A38" s="44"/>
      <c r="Q38" s="44"/>
      <c r="R38" s="44"/>
      <c r="S38" s="44"/>
      <c r="T38" s="44"/>
      <c r="U38" s="44"/>
      <c r="V38" s="44"/>
      <c r="W38" s="44"/>
      <c r="X38" s="44"/>
      <c r="Y38" s="44"/>
      <c r="Z38" s="44"/>
      <c r="AA38" s="44"/>
      <c r="AB38" s="44"/>
      <c r="AC38" s="44"/>
    </row>
    <row r="39" spans="1:29" hidden="1" x14ac:dyDescent="0.35">
      <c r="A39" s="44"/>
      <c r="Q39" s="44"/>
      <c r="R39" s="44"/>
      <c r="S39" s="44"/>
      <c r="T39" s="44"/>
      <c r="U39" s="44"/>
      <c r="V39" s="44"/>
      <c r="W39" s="44"/>
      <c r="X39" s="44"/>
      <c r="Y39" s="44"/>
      <c r="Z39" s="44"/>
      <c r="AA39" s="44"/>
      <c r="AB39" s="44"/>
      <c r="AC39" s="44"/>
    </row>
    <row r="40" spans="1:29" hidden="1" x14ac:dyDescent="0.35">
      <c r="A40" s="44"/>
      <c r="Q40" s="44"/>
      <c r="R40" s="44"/>
      <c r="S40" s="44"/>
      <c r="T40" s="44"/>
      <c r="U40" s="44"/>
      <c r="V40" s="44"/>
      <c r="W40" s="44"/>
      <c r="X40" s="44"/>
      <c r="Y40" s="44"/>
      <c r="Z40" s="44"/>
      <c r="AA40" s="44"/>
      <c r="AB40" s="44"/>
      <c r="AC40" s="44"/>
    </row>
    <row r="41" spans="1:29" hidden="1" x14ac:dyDescent="0.35">
      <c r="A41" s="44"/>
      <c r="U41" s="44"/>
      <c r="V41" s="44"/>
      <c r="W41" s="44"/>
      <c r="X41" s="44"/>
      <c r="Y41" s="44"/>
      <c r="Z41" s="44"/>
      <c r="AA41" s="44"/>
      <c r="AB41" s="44"/>
      <c r="AC41" s="44"/>
    </row>
    <row r="42" spans="1:29" hidden="1" x14ac:dyDescent="0.35">
      <c r="A42" s="44"/>
      <c r="U42" s="44"/>
      <c r="V42" s="44"/>
      <c r="W42" s="44"/>
      <c r="X42" s="44"/>
      <c r="Y42" s="44"/>
      <c r="Z42" s="44"/>
      <c r="AA42" s="44"/>
      <c r="AB42" s="44"/>
      <c r="AC42" s="44"/>
    </row>
    <row r="43" spans="1:29" hidden="1" x14ac:dyDescent="0.35">
      <c r="A43" s="44"/>
      <c r="U43" s="44"/>
      <c r="V43" s="44"/>
      <c r="W43" s="44"/>
      <c r="X43" s="44"/>
      <c r="Y43" s="44"/>
      <c r="Z43" s="44"/>
      <c r="AA43" s="44"/>
      <c r="AB43" s="44"/>
      <c r="AC43" s="44"/>
    </row>
    <row r="44" spans="1:29" hidden="1" x14ac:dyDescent="0.35">
      <c r="A44" s="44"/>
      <c r="U44" s="44"/>
      <c r="V44" s="44"/>
      <c r="W44" s="44"/>
      <c r="X44" s="44"/>
      <c r="Y44" s="44"/>
      <c r="Z44" s="44"/>
      <c r="AA44" s="44"/>
      <c r="AB44" s="44"/>
      <c r="AC44" s="44"/>
    </row>
    <row r="45" spans="1:29" hidden="1" x14ac:dyDescent="0.35">
      <c r="A45" s="44"/>
      <c r="U45" s="44"/>
      <c r="V45" s="44"/>
      <c r="W45" s="44"/>
      <c r="X45" s="44"/>
      <c r="Y45" s="44"/>
      <c r="Z45" s="44"/>
      <c r="AA45" s="44"/>
      <c r="AB45" s="44"/>
      <c r="AC45" s="44"/>
    </row>
    <row r="46" spans="1:29" hidden="1" x14ac:dyDescent="0.35">
      <c r="A46" s="44"/>
      <c r="U46" s="44"/>
      <c r="V46" s="44"/>
      <c r="W46" s="44"/>
      <c r="X46" s="44"/>
      <c r="Y46" s="44"/>
      <c r="Z46" s="44"/>
      <c r="AA46" s="44"/>
      <c r="AB46" s="44"/>
      <c r="AC46" s="44"/>
    </row>
    <row r="47" spans="1:29" hidden="1" x14ac:dyDescent="0.35"/>
  </sheetData>
  <sheetProtection password="813F" sheet="1" objects="1" scenarios="1" selectLockedCells="1" selectUnlockedCells="1"/>
  <customSheetViews>
    <customSheetView guid="{51165254-F18A-4CD1-9981-8F2DE14CC76C}" hiddenRows="1" hiddenColumns="1" state="hidden" showRuler="0">
      <selection activeCell="Q27" sqref="Q27"/>
      <pageMargins left="0.75" right="0.75" top="1" bottom="1" header="0.5" footer="0.5"/>
      <pageSetup paperSize="9" scale="76" orientation="landscape" r:id="rId1"/>
      <headerFooter alignWithMargins="0"/>
    </customSheetView>
  </customSheetViews>
  <mergeCells count="16">
    <mergeCell ref="A3:W3"/>
    <mergeCell ref="X3:AC3"/>
    <mergeCell ref="B27:D27"/>
    <mergeCell ref="B5:D5"/>
    <mergeCell ref="B7:B9"/>
    <mergeCell ref="B10:B15"/>
    <mergeCell ref="C10:C12"/>
    <mergeCell ref="C13:C15"/>
    <mergeCell ref="B16:D16"/>
    <mergeCell ref="B19:D19"/>
    <mergeCell ref="B24:C26"/>
    <mergeCell ref="F19:T19"/>
    <mergeCell ref="F5:T5"/>
    <mergeCell ref="C7:C8"/>
    <mergeCell ref="B20:C20"/>
    <mergeCell ref="B21:C23"/>
  </mergeCells>
  <phoneticPr fontId="11" type="noConversion"/>
  <pageMargins left="0.75" right="0.75" top="1" bottom="1" header="0.5" footer="0.5"/>
  <pageSetup paperSize="9" scale="76" orientation="landscape" r:id="rId2"/>
  <headerFooter alignWithMargins="0"/>
  <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5">
    <pageSetUpPr fitToPage="1"/>
  </sheetPr>
  <dimension ref="A1:IU47"/>
  <sheetViews>
    <sheetView workbookViewId="0">
      <selection activeCell="G11" sqref="F11:T12"/>
    </sheetView>
  </sheetViews>
  <sheetFormatPr baseColWidth="10" defaultColWidth="0" defaultRowHeight="14.4" zeroHeight="1" x14ac:dyDescent="0.35"/>
  <cols>
    <col min="1" max="1" width="2.6640625" style="45" customWidth="1"/>
    <col min="2" max="2" width="7.109375" style="45" bestFit="1" customWidth="1"/>
    <col min="3" max="3" width="7.44140625" style="76" bestFit="1" customWidth="1"/>
    <col min="4" max="4" width="9.109375" style="45" customWidth="1"/>
    <col min="5" max="5" width="2.6640625" style="76" customWidth="1"/>
    <col min="6" max="20" width="8.77734375" style="45" customWidth="1"/>
    <col min="21" max="21" width="5.109375" style="45" customWidth="1"/>
    <col min="22" max="22" width="6.44140625" style="45" customWidth="1"/>
    <col min="23" max="27" width="5.109375" style="45" hidden="1" customWidth="1"/>
    <col min="28" max="28" width="8.6640625" style="45" hidden="1" customWidth="1"/>
    <col min="29" max="29" width="2" style="45" hidden="1" customWidth="1"/>
    <col min="30" max="255" width="9.109375" style="45" hidden="1" customWidth="1"/>
    <col min="256" max="16384" width="0" style="45" hidden="1"/>
  </cols>
  <sheetData>
    <row r="1" spans="1:29" x14ac:dyDescent="0.35">
      <c r="A1" s="86"/>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3"/>
    </row>
    <row r="2" spans="1:29" ht="37.5" customHeight="1" x14ac:dyDescent="0.35">
      <c r="A2" s="46"/>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8"/>
    </row>
    <row r="3" spans="1:29" ht="28.8" x14ac:dyDescent="0.55000000000000004">
      <c r="A3" s="2178" t="s">
        <v>995</v>
      </c>
      <c r="B3" s="2178"/>
      <c r="C3" s="2178"/>
      <c r="D3" s="2178"/>
      <c r="E3" s="2178"/>
      <c r="F3" s="2178"/>
      <c r="G3" s="2178"/>
      <c r="H3" s="2178"/>
      <c r="I3" s="2178"/>
      <c r="J3" s="2178"/>
      <c r="K3" s="2178"/>
      <c r="L3" s="2178"/>
      <c r="M3" s="2178"/>
      <c r="N3" s="2178"/>
      <c r="O3" s="2178"/>
      <c r="P3" s="2178"/>
      <c r="Q3" s="2178"/>
      <c r="R3" s="2178"/>
      <c r="S3" s="2178"/>
      <c r="T3" s="2178"/>
      <c r="U3" s="2178"/>
      <c r="V3" s="2178"/>
      <c r="W3" s="2178"/>
      <c r="X3" s="2178"/>
      <c r="Y3" s="2178"/>
      <c r="Z3" s="2178"/>
      <c r="AA3" s="2178"/>
      <c r="AB3" s="2178"/>
      <c r="AC3" s="2178"/>
    </row>
    <row r="4" spans="1:29" ht="15" customHeight="1" x14ac:dyDescent="0.35">
      <c r="A4" s="49"/>
      <c r="B4" s="53"/>
      <c r="C4" s="53"/>
      <c r="D4" s="53"/>
      <c r="E4" s="53"/>
      <c r="F4" s="53"/>
      <c r="G4" s="53"/>
      <c r="H4" s="53"/>
      <c r="I4" s="53"/>
      <c r="J4" s="53"/>
      <c r="K4" s="53"/>
      <c r="L4" s="53"/>
      <c r="M4" s="53"/>
      <c r="N4" s="53"/>
      <c r="O4" s="53"/>
      <c r="P4" s="53"/>
      <c r="Q4" s="53"/>
      <c r="R4" s="53"/>
      <c r="S4" s="53"/>
      <c r="T4" s="53"/>
      <c r="U4" s="42"/>
      <c r="V4" s="42"/>
      <c r="W4" s="42"/>
      <c r="X4" s="42"/>
      <c r="Y4" s="42"/>
      <c r="Z4" s="42"/>
      <c r="AA4" s="42"/>
      <c r="AB4" s="42"/>
      <c r="AC4" s="43"/>
    </row>
    <row r="5" spans="1:29" hidden="1" x14ac:dyDescent="0.35">
      <c r="A5" s="49"/>
      <c r="B5" s="2113" t="s">
        <v>982</v>
      </c>
      <c r="C5" s="2115"/>
      <c r="D5" s="2116"/>
      <c r="E5" s="52"/>
      <c r="F5" s="2113" t="s">
        <v>996</v>
      </c>
      <c r="G5" s="2115"/>
      <c r="H5" s="2115"/>
      <c r="I5" s="2115"/>
      <c r="J5" s="2115"/>
      <c r="K5" s="2115"/>
      <c r="L5" s="2115"/>
      <c r="M5" s="2115"/>
      <c r="N5" s="2115"/>
      <c r="O5" s="2115"/>
      <c r="P5" s="2115"/>
      <c r="Q5" s="2115"/>
      <c r="R5" s="2115"/>
      <c r="S5" s="2115"/>
      <c r="T5" s="2116"/>
      <c r="U5" s="53"/>
      <c r="V5" s="53"/>
      <c r="W5" s="53"/>
      <c r="X5" s="53"/>
      <c r="Y5" s="53"/>
      <c r="Z5" s="53"/>
      <c r="AA5" s="53"/>
      <c r="AB5" s="53"/>
      <c r="AC5" s="54"/>
    </row>
    <row r="6" spans="1:29" hidden="1" x14ac:dyDescent="0.35">
      <c r="A6" s="49"/>
      <c r="B6" s="2206" t="s">
        <v>983</v>
      </c>
      <c r="C6" s="2210"/>
      <c r="D6" s="2211"/>
      <c r="E6" s="51"/>
      <c r="F6" s="56" t="s">
        <v>965</v>
      </c>
      <c r="G6" s="58" t="s">
        <v>966</v>
      </c>
      <c r="H6" s="58" t="s">
        <v>967</v>
      </c>
      <c r="I6" s="58" t="s">
        <v>968</v>
      </c>
      <c r="J6" s="58" t="s">
        <v>969</v>
      </c>
      <c r="K6" s="58" t="s">
        <v>970</v>
      </c>
      <c r="L6" s="58" t="s">
        <v>971</v>
      </c>
      <c r="M6" s="58" t="s">
        <v>972</v>
      </c>
      <c r="N6" s="58" t="s">
        <v>973</v>
      </c>
      <c r="O6" s="58" t="s">
        <v>974</v>
      </c>
      <c r="P6" s="58" t="s">
        <v>975</v>
      </c>
      <c r="Q6" s="58" t="s">
        <v>976</v>
      </c>
      <c r="R6" s="58" t="s">
        <v>977</v>
      </c>
      <c r="S6" s="58" t="s">
        <v>978</v>
      </c>
      <c r="T6" s="57" t="s">
        <v>979</v>
      </c>
      <c r="U6" s="53"/>
      <c r="V6" s="53"/>
      <c r="W6" s="53"/>
      <c r="X6" s="53"/>
      <c r="Y6" s="53"/>
      <c r="Z6" s="53"/>
      <c r="AA6" s="53"/>
      <c r="AB6" s="53"/>
      <c r="AC6" s="54"/>
    </row>
    <row r="7" spans="1:29" hidden="1" x14ac:dyDescent="0.35">
      <c r="A7" s="49"/>
      <c r="B7" s="2212" t="s">
        <v>984</v>
      </c>
      <c r="C7" s="2112"/>
      <c r="D7" s="2070"/>
      <c r="E7" s="60"/>
      <c r="F7" s="125">
        <f>AVERAGE('OM Parts CPV'!F7,'OM Parts CPV'!F8,'OM Parts CPV'!F9)</f>
        <v>1460.4483002661445</v>
      </c>
      <c r="G7" s="125">
        <f>AVERAGE('OM Parts CPV'!G7,'OM Parts CPV'!G8,'OM Parts CPV'!G9)</f>
        <v>1532.7614456042872</v>
      </c>
      <c r="H7" s="125">
        <f>AVERAGE('OM Parts CPV'!H7,'OM Parts CPV'!H8,'OM Parts CPV'!H9)</f>
        <v>2227.591079674281</v>
      </c>
      <c r="I7" s="125">
        <f>AVERAGE('OM Parts CPV'!I7,'OM Parts CPV'!I8,'OM Parts CPV'!I9)</f>
        <v>2400.6341586863218</v>
      </c>
      <c r="J7" s="125">
        <f>AVERAGE('OM Parts CPV'!J7,'OM Parts CPV'!J8,'OM Parts CPV'!J9)</f>
        <v>2354.4556288725348</v>
      </c>
      <c r="K7" s="125">
        <f>AVERAGE('OM Parts CPV'!K7,'OM Parts CPV'!K8,'OM Parts CPV'!K9)</f>
        <v>1914.635618597443</v>
      </c>
      <c r="L7" s="125">
        <f>AVERAGE('OM Parts CPV'!L7,'OM Parts CPV'!L8,'OM Parts CPV'!L9)</f>
        <v>2034.3003447597832</v>
      </c>
      <c r="M7" s="125">
        <f>AVERAGE('OM Parts CPV'!M7,'OM Parts CPV'!M8,'OM Parts CPV'!M9)</f>
        <v>2153.9650709221232</v>
      </c>
      <c r="N7" s="125">
        <f>AVERAGE('OM Parts CPV'!N7,'OM Parts CPV'!N8,'OM Parts CPV'!N9)</f>
        <v>2273.6297970844635</v>
      </c>
      <c r="O7" s="125">
        <f>AVERAGE('OM Parts CPV'!O7,'OM Parts CPV'!O8,'OM Parts CPV'!O9)</f>
        <v>2393.2945232468037</v>
      </c>
      <c r="P7" s="125">
        <f>AVERAGE('OM Parts CPV'!P7,'OM Parts CPV'!P8,'OM Parts CPV'!P9)</f>
        <v>2297.5627423169317</v>
      </c>
      <c r="Q7" s="125">
        <f>AVERAGE('OM Parts CPV'!Q7,'OM Parts CPV'!Q8,'OM Parts CPV'!Q9)</f>
        <v>2201.8309613870592</v>
      </c>
      <c r="R7" s="125">
        <f>AVERAGE('OM Parts CPV'!R7,'OM Parts CPV'!R8,'OM Parts CPV'!R9)</f>
        <v>2106.0991804571877</v>
      </c>
      <c r="S7" s="125">
        <f>AVERAGE('OM Parts CPV'!S7,'OM Parts CPV'!S8,'OM Parts CPV'!S9)</f>
        <v>2010.3673995273155</v>
      </c>
      <c r="T7" s="125">
        <f>AVERAGE('OM Parts CPV'!T7,'OM Parts CPV'!T8,'OM Parts CPV'!T9)</f>
        <v>1914.635618597443</v>
      </c>
      <c r="U7" s="53"/>
      <c r="V7" s="53"/>
      <c r="W7" s="53"/>
      <c r="X7" s="53"/>
      <c r="Y7" s="53"/>
      <c r="Z7" s="53"/>
      <c r="AA7" s="53"/>
      <c r="AB7" s="53"/>
      <c r="AC7" s="54"/>
    </row>
    <row r="8" spans="1:29" hidden="1" x14ac:dyDescent="0.35">
      <c r="A8" s="49"/>
      <c r="B8" s="2213" t="s">
        <v>985</v>
      </c>
      <c r="C8" s="2112"/>
      <c r="D8" s="2070"/>
      <c r="E8" s="60"/>
      <c r="F8" s="125">
        <f>AVERAGE('OM Parts CPV'!F10,'OM Parts CPV'!F11,'OM Parts CPV'!F13,'OM Parts CPV'!F14)</f>
        <v>1721.1717622733863</v>
      </c>
      <c r="G8" s="125">
        <f>AVERAGE('OM Parts CPV'!G10,'OM Parts CPV'!G11,'OM Parts CPV'!G13,'OM Parts CPV'!G14)</f>
        <v>1491.4847662008474</v>
      </c>
      <c r="H8" s="125">
        <f>AVERAGE('OM Parts CPV'!H10,'OM Parts CPV'!H11,'OM Parts CPV'!H13,'OM Parts CPV'!H14)</f>
        <v>2390.6713565396794</v>
      </c>
      <c r="I8" s="125">
        <f>AVERAGE('OM Parts CPV'!I10,'OM Parts CPV'!I11,'OM Parts CPV'!I13,'OM Parts CPV'!I14)</f>
        <v>3019.8980163595347</v>
      </c>
      <c r="J8" s="125">
        <f>AVERAGE('OM Parts CPV'!J10,'OM Parts CPV'!J11,'OM Parts CPV'!J13,'OM Parts CPV'!J14)</f>
        <v>3365.3857453850796</v>
      </c>
      <c r="K8" s="125">
        <f>AVERAGE('OM Parts CPV'!K10,'OM Parts CPV'!K11,'OM Parts CPV'!K13,'OM Parts CPV'!K14)</f>
        <v>3315.1324238725542</v>
      </c>
      <c r="L8" s="125">
        <f>AVERAGE('OM Parts CPV'!L10,'OM Parts CPV'!L11,'OM Parts CPV'!L13,'OM Parts CPV'!L14)</f>
        <v>3522.3282003645886</v>
      </c>
      <c r="M8" s="125">
        <f>AVERAGE('OM Parts CPV'!M10,'OM Parts CPV'!M11,'OM Parts CPV'!M13,'OM Parts CPV'!M14)</f>
        <v>3729.5239768566234</v>
      </c>
      <c r="N8" s="125">
        <f>AVERAGE('OM Parts CPV'!N10,'OM Parts CPV'!N11,'OM Parts CPV'!N13,'OM Parts CPV'!N14)</f>
        <v>3936.7197533486578</v>
      </c>
      <c r="O8" s="125">
        <f>AVERAGE('OM Parts CPV'!O10,'OM Parts CPV'!O11,'OM Parts CPV'!O13,'OM Parts CPV'!O14)</f>
        <v>4143.9155298406931</v>
      </c>
      <c r="P8" s="125">
        <f>AVERAGE('OM Parts CPV'!P10,'OM Parts CPV'!P11,'OM Parts CPV'!P13,'OM Parts CPV'!P14)</f>
        <v>3978.1589086470644</v>
      </c>
      <c r="Q8" s="125">
        <f>AVERAGE('OM Parts CPV'!Q10,'OM Parts CPV'!Q11,'OM Parts CPV'!Q13,'OM Parts CPV'!Q14)</f>
        <v>3812.4022874534367</v>
      </c>
      <c r="R8" s="125">
        <f>AVERAGE('OM Parts CPV'!R10,'OM Parts CPV'!R11,'OM Parts CPV'!R13,'OM Parts CPV'!R14)</f>
        <v>3646.6456662598093</v>
      </c>
      <c r="S8" s="125">
        <f>AVERAGE('OM Parts CPV'!S10,'OM Parts CPV'!S11,'OM Parts CPV'!S13,'OM Parts CPV'!S14)</f>
        <v>3480.889045066182</v>
      </c>
      <c r="T8" s="125">
        <f>AVERAGE('OM Parts CPV'!T10,'OM Parts CPV'!T11,'OM Parts CPV'!T13,'OM Parts CPV'!T14)</f>
        <v>3315.1324238725542</v>
      </c>
      <c r="U8" s="53"/>
      <c r="V8" s="53"/>
      <c r="W8" s="53"/>
      <c r="X8" s="53"/>
      <c r="Y8" s="53"/>
      <c r="Z8" s="53"/>
      <c r="AA8" s="53"/>
      <c r="AB8" s="53"/>
      <c r="AC8" s="54"/>
    </row>
    <row r="9" spans="1:29" hidden="1" x14ac:dyDescent="0.35">
      <c r="A9" s="49"/>
      <c r="B9" s="1268"/>
      <c r="C9" s="1035"/>
      <c r="D9" s="1036"/>
      <c r="E9" s="60"/>
      <c r="F9" s="94">
        <f>AVERAGE(F7:F8)</f>
        <v>1590.8100312697654</v>
      </c>
      <c r="G9" s="94">
        <f t="shared" ref="G9:T9" si="0">AVERAGE(G7:G8)</f>
        <v>1512.1231059025672</v>
      </c>
      <c r="H9" s="94">
        <f t="shared" si="0"/>
        <v>2309.1312181069802</v>
      </c>
      <c r="I9" s="94">
        <f t="shared" si="0"/>
        <v>2710.2660875229285</v>
      </c>
      <c r="J9" s="94">
        <f t="shared" si="0"/>
        <v>2859.920687128807</v>
      </c>
      <c r="K9" s="94">
        <f t="shared" si="0"/>
        <v>2614.8840212349987</v>
      </c>
      <c r="L9" s="94">
        <f t="shared" si="0"/>
        <v>2778.314272562186</v>
      </c>
      <c r="M9" s="94">
        <f t="shared" si="0"/>
        <v>2941.7445238893733</v>
      </c>
      <c r="N9" s="94">
        <f t="shared" si="0"/>
        <v>3105.1747752165606</v>
      </c>
      <c r="O9" s="94">
        <f t="shared" si="0"/>
        <v>3268.6050265437484</v>
      </c>
      <c r="P9" s="94">
        <f t="shared" si="0"/>
        <v>3137.8608254819983</v>
      </c>
      <c r="Q9" s="94">
        <f t="shared" si="0"/>
        <v>3007.1166244202477</v>
      </c>
      <c r="R9" s="94">
        <f t="shared" si="0"/>
        <v>2876.3724233584985</v>
      </c>
      <c r="S9" s="94">
        <f t="shared" si="0"/>
        <v>2745.6282222967488</v>
      </c>
      <c r="T9" s="71">
        <f t="shared" si="0"/>
        <v>2614.8840212349987</v>
      </c>
      <c r="U9" s="53"/>
      <c r="V9" s="53"/>
      <c r="W9" s="53"/>
      <c r="X9" s="53"/>
      <c r="Y9" s="53"/>
      <c r="Z9" s="53"/>
      <c r="AA9" s="53"/>
      <c r="AB9" s="53"/>
      <c r="AC9" s="54"/>
    </row>
    <row r="10" spans="1:29" hidden="1" x14ac:dyDescent="0.35">
      <c r="A10" s="49"/>
      <c r="B10" s="133"/>
      <c r="C10" s="133"/>
      <c r="D10" s="133"/>
      <c r="E10" s="60"/>
      <c r="F10" s="81"/>
      <c r="G10" s="81"/>
      <c r="H10" s="81"/>
      <c r="I10" s="81"/>
      <c r="J10" s="81"/>
      <c r="K10" s="81"/>
      <c r="L10" s="81"/>
      <c r="M10" s="81"/>
      <c r="N10" s="81"/>
      <c r="O10" s="81"/>
      <c r="P10" s="81"/>
      <c r="Q10" s="81"/>
      <c r="R10" s="81"/>
      <c r="S10" s="81"/>
      <c r="T10" s="81"/>
      <c r="U10" s="53"/>
      <c r="V10" s="53"/>
      <c r="W10" s="53"/>
      <c r="X10" s="53"/>
      <c r="Y10" s="53"/>
      <c r="Z10" s="53"/>
      <c r="AA10" s="53"/>
      <c r="AB10" s="53"/>
      <c r="AC10" s="54"/>
    </row>
    <row r="11" spans="1:29" hidden="1" x14ac:dyDescent="0.35">
      <c r="A11" s="49"/>
      <c r="B11" s="133"/>
      <c r="C11" s="133"/>
      <c r="D11" s="133"/>
      <c r="E11" s="60"/>
      <c r="F11" s="126"/>
      <c r="G11" s="126"/>
      <c r="H11" s="126"/>
      <c r="I11" s="126"/>
      <c r="J11" s="126"/>
      <c r="K11" s="126"/>
      <c r="L11" s="126"/>
      <c r="M11" s="126"/>
      <c r="N11" s="126"/>
      <c r="O11" s="126"/>
      <c r="P11" s="126"/>
      <c r="Q11" s="126"/>
      <c r="R11" s="126"/>
      <c r="S11" s="126"/>
      <c r="T11" s="126"/>
      <c r="U11" s="53"/>
      <c r="V11" s="53"/>
      <c r="W11" s="53"/>
      <c r="X11" s="53"/>
      <c r="Y11" s="53"/>
      <c r="Z11" s="53"/>
      <c r="AA11" s="53"/>
      <c r="AB11" s="53"/>
      <c r="AC11" s="54"/>
    </row>
    <row r="12" spans="1:29" hidden="1" x14ac:dyDescent="0.35">
      <c r="A12" s="49"/>
      <c r="B12" s="2113" t="s">
        <v>986</v>
      </c>
      <c r="C12" s="2085"/>
      <c r="D12" s="2086"/>
      <c r="E12" s="60"/>
      <c r="F12" s="2113" t="s">
        <v>996</v>
      </c>
      <c r="G12" s="2085"/>
      <c r="H12" s="2085"/>
      <c r="I12" s="2085"/>
      <c r="J12" s="2085"/>
      <c r="K12" s="2085"/>
      <c r="L12" s="2085"/>
      <c r="M12" s="2085"/>
      <c r="N12" s="2085"/>
      <c r="O12" s="2085"/>
      <c r="P12" s="2085"/>
      <c r="Q12" s="2085"/>
      <c r="R12" s="2085"/>
      <c r="S12" s="2085"/>
      <c r="T12" s="2086"/>
      <c r="U12" s="53"/>
      <c r="V12" s="53"/>
      <c r="W12" s="53"/>
      <c r="X12" s="53"/>
      <c r="Y12" s="53"/>
      <c r="Z12" s="53"/>
      <c r="AA12" s="53"/>
      <c r="AB12" s="53"/>
      <c r="AC12" s="54"/>
    </row>
    <row r="13" spans="1:29" hidden="1" x14ac:dyDescent="0.35">
      <c r="A13" s="49"/>
      <c r="B13" s="2206" t="s">
        <v>963</v>
      </c>
      <c r="C13" s="2210"/>
      <c r="D13" s="2211"/>
      <c r="E13" s="60"/>
      <c r="F13" s="56" t="s">
        <v>965</v>
      </c>
      <c r="G13" s="58" t="s">
        <v>966</v>
      </c>
      <c r="H13" s="58" t="s">
        <v>967</v>
      </c>
      <c r="I13" s="58" t="s">
        <v>968</v>
      </c>
      <c r="J13" s="58" t="s">
        <v>969</v>
      </c>
      <c r="K13" s="58" t="s">
        <v>970</v>
      </c>
      <c r="L13" s="58" t="s">
        <v>971</v>
      </c>
      <c r="M13" s="58" t="s">
        <v>972</v>
      </c>
      <c r="N13" s="58" t="s">
        <v>973</v>
      </c>
      <c r="O13" s="58" t="s">
        <v>974</v>
      </c>
      <c r="P13" s="58" t="s">
        <v>975</v>
      </c>
      <c r="Q13" s="58" t="s">
        <v>976</v>
      </c>
      <c r="R13" s="58" t="s">
        <v>977</v>
      </c>
      <c r="S13" s="58" t="s">
        <v>978</v>
      </c>
      <c r="T13" s="57" t="s">
        <v>979</v>
      </c>
      <c r="U13" s="53"/>
      <c r="V13" s="53"/>
      <c r="W13" s="53"/>
      <c r="X13" s="53"/>
      <c r="Y13" s="53"/>
      <c r="Z13" s="53"/>
      <c r="AA13" s="53"/>
      <c r="AB13" s="53"/>
      <c r="AC13" s="54"/>
    </row>
    <row r="14" spans="1:29" hidden="1" x14ac:dyDescent="0.35">
      <c r="A14" s="49"/>
      <c r="B14" s="2208" t="s">
        <v>988</v>
      </c>
      <c r="C14" s="2209"/>
      <c r="D14" s="2126"/>
      <c r="E14" s="60"/>
      <c r="F14" s="125">
        <f>AVERAGE('OM Parts CPV'!F21:F23)</f>
        <v>500</v>
      </c>
      <c r="G14" s="125">
        <f>AVERAGE('OM Parts CPV'!G21:G23)</f>
        <v>500</v>
      </c>
      <c r="H14" s="125">
        <f>AVERAGE('OM Parts CPV'!H21:H23)</f>
        <v>500</v>
      </c>
      <c r="I14" s="125">
        <f>AVERAGE('OM Parts CPV'!I21:I23)</f>
        <v>500</v>
      </c>
      <c r="J14" s="125">
        <f>AVERAGE('OM Parts CPV'!J21:J23)</f>
        <v>500</v>
      </c>
      <c r="K14" s="125">
        <f>AVERAGE('OM Parts CPV'!K21:K23)</f>
        <v>500</v>
      </c>
      <c r="L14" s="125">
        <f>AVERAGE('OM Parts CPV'!L21:L23)</f>
        <v>500</v>
      </c>
      <c r="M14" s="125">
        <f>AVERAGE('OM Parts CPV'!M21:M23)</f>
        <v>500</v>
      </c>
      <c r="N14" s="125">
        <f>AVERAGE('OM Parts CPV'!N21:N23)</f>
        <v>500</v>
      </c>
      <c r="O14" s="125">
        <f>AVERAGE('OM Parts CPV'!O21:O23)</f>
        <v>500</v>
      </c>
      <c r="P14" s="125">
        <f>AVERAGE('OM Parts CPV'!P21:P23)</f>
        <v>500</v>
      </c>
      <c r="Q14" s="125">
        <f>AVERAGE('OM Parts CPV'!Q21:Q23)</f>
        <v>500</v>
      </c>
      <c r="R14" s="125">
        <f>AVERAGE('OM Parts CPV'!R21:R23)</f>
        <v>500</v>
      </c>
      <c r="S14" s="125">
        <f>AVERAGE('OM Parts CPV'!S21:S23)</f>
        <v>500</v>
      </c>
      <c r="T14" s="125">
        <f>AVERAGE('OM Parts CPV'!T21:T23)</f>
        <v>500</v>
      </c>
      <c r="U14" s="53"/>
      <c r="V14" s="53"/>
      <c r="W14" s="53"/>
      <c r="X14" s="53"/>
      <c r="Y14" s="53"/>
      <c r="Z14" s="53"/>
      <c r="AA14" s="53"/>
      <c r="AB14" s="53"/>
      <c r="AC14" s="54"/>
    </row>
    <row r="15" spans="1:29" hidden="1" x14ac:dyDescent="0.35">
      <c r="A15" s="49"/>
      <c r="B15" s="2208" t="s">
        <v>989</v>
      </c>
      <c r="C15" s="2209"/>
      <c r="D15" s="2126"/>
      <c r="E15" s="60"/>
      <c r="F15" s="125">
        <f>AVERAGE('OM Parts CPV'!F24:F26)</f>
        <v>500</v>
      </c>
      <c r="G15" s="125">
        <f>AVERAGE('OM Parts CPV'!G24:G26)</f>
        <v>500</v>
      </c>
      <c r="H15" s="125">
        <f>AVERAGE('OM Parts CPV'!H24:H26)</f>
        <v>500</v>
      </c>
      <c r="I15" s="125">
        <f>AVERAGE('OM Parts CPV'!I24:I26)</f>
        <v>500</v>
      </c>
      <c r="J15" s="125">
        <f>AVERAGE('OM Parts CPV'!J24:J26)</f>
        <v>500</v>
      </c>
      <c r="K15" s="125">
        <f>AVERAGE('OM Parts CPV'!K24:K26)</f>
        <v>500</v>
      </c>
      <c r="L15" s="125">
        <f>AVERAGE('OM Parts CPV'!L24:L26)</f>
        <v>500</v>
      </c>
      <c r="M15" s="125">
        <f>AVERAGE('OM Parts CPV'!M24:M26)</f>
        <v>500</v>
      </c>
      <c r="N15" s="125">
        <f>AVERAGE('OM Parts CPV'!N24:N26)</f>
        <v>500</v>
      </c>
      <c r="O15" s="125">
        <f>AVERAGE('OM Parts CPV'!O24:O26)</f>
        <v>500</v>
      </c>
      <c r="P15" s="125">
        <f>AVERAGE('OM Parts CPV'!P24:P26)</f>
        <v>500</v>
      </c>
      <c r="Q15" s="125">
        <f>AVERAGE('OM Parts CPV'!Q24:Q26)</f>
        <v>500</v>
      </c>
      <c r="R15" s="125">
        <f>AVERAGE('OM Parts CPV'!R24:R26)</f>
        <v>500</v>
      </c>
      <c r="S15" s="125">
        <f>AVERAGE('OM Parts CPV'!S24:S26)</f>
        <v>500</v>
      </c>
      <c r="T15" s="125">
        <f>AVERAGE('OM Parts CPV'!T24:T26)</f>
        <v>500</v>
      </c>
      <c r="U15" s="53"/>
      <c r="V15" s="53"/>
      <c r="W15" s="53"/>
      <c r="X15" s="53"/>
      <c r="Y15" s="53"/>
      <c r="Z15" s="53"/>
      <c r="AA15" s="53"/>
      <c r="AB15" s="53"/>
      <c r="AC15" s="54"/>
    </row>
    <row r="16" spans="1:29" hidden="1" x14ac:dyDescent="0.35">
      <c r="A16" s="49"/>
      <c r="B16" s="1268"/>
      <c r="C16" s="1035"/>
      <c r="D16" s="1036"/>
      <c r="E16" s="60"/>
      <c r="F16" s="94"/>
      <c r="G16" s="95"/>
      <c r="H16" s="95"/>
      <c r="I16" s="95"/>
      <c r="J16" s="95"/>
      <c r="K16" s="95"/>
      <c r="L16" s="95"/>
      <c r="M16" s="95"/>
      <c r="N16" s="95"/>
      <c r="O16" s="95"/>
      <c r="P16" s="95"/>
      <c r="Q16" s="95"/>
      <c r="R16" s="95"/>
      <c r="S16" s="95"/>
      <c r="T16" s="96"/>
      <c r="U16" s="53"/>
      <c r="V16" s="53"/>
      <c r="W16" s="53"/>
      <c r="X16" s="53"/>
      <c r="Y16" s="53"/>
      <c r="Z16" s="53"/>
      <c r="AA16" s="53"/>
      <c r="AB16" s="53"/>
      <c r="AC16" s="54"/>
    </row>
    <row r="17" spans="1:29" hidden="1" x14ac:dyDescent="0.35">
      <c r="A17" s="49"/>
      <c r="B17" s="64"/>
      <c r="C17" s="64"/>
      <c r="D17" s="64"/>
      <c r="E17" s="60"/>
      <c r="F17" s="53"/>
      <c r="G17" s="53"/>
      <c r="H17" s="53"/>
      <c r="I17" s="53"/>
      <c r="J17" s="53"/>
      <c r="K17" s="53"/>
      <c r="L17" s="53"/>
      <c r="M17" s="53"/>
      <c r="N17" s="53"/>
      <c r="O17" s="53"/>
      <c r="P17" s="53"/>
      <c r="Q17" s="53"/>
      <c r="R17" s="53"/>
      <c r="S17" s="53"/>
      <c r="T17" s="53"/>
      <c r="U17" s="53"/>
      <c r="V17" s="53"/>
      <c r="W17" s="53"/>
      <c r="X17" s="53"/>
      <c r="Y17" s="53"/>
      <c r="Z17" s="53"/>
      <c r="AA17" s="53"/>
      <c r="AB17" s="53"/>
      <c r="AC17" s="54"/>
    </row>
    <row r="18" spans="1:29" hidden="1" x14ac:dyDescent="0.35">
      <c r="A18" s="49"/>
      <c r="B18" s="64"/>
      <c r="C18" s="64"/>
      <c r="D18" s="64"/>
      <c r="E18" s="60"/>
      <c r="F18" s="53"/>
      <c r="G18" s="53"/>
      <c r="H18" s="53"/>
      <c r="I18" s="53"/>
      <c r="J18" s="53"/>
      <c r="K18" s="53"/>
      <c r="L18" s="53"/>
      <c r="M18" s="53"/>
      <c r="N18" s="53"/>
      <c r="O18" s="53"/>
      <c r="P18" s="53"/>
      <c r="Q18" s="53"/>
      <c r="R18" s="53"/>
      <c r="S18" s="53"/>
      <c r="T18" s="53"/>
      <c r="U18" s="53"/>
      <c r="V18" s="53"/>
      <c r="W18" s="53"/>
      <c r="X18" s="53"/>
      <c r="Y18" s="53"/>
      <c r="Z18" s="53"/>
      <c r="AA18" s="53"/>
      <c r="AB18" s="53"/>
      <c r="AC18" s="54"/>
    </row>
    <row r="19" spans="1:29" hidden="1" x14ac:dyDescent="0.35">
      <c r="A19" s="49"/>
      <c r="B19" s="64"/>
      <c r="C19" s="64"/>
      <c r="D19" s="64"/>
      <c r="E19" s="60"/>
      <c r="F19" s="53"/>
      <c r="G19" s="53"/>
      <c r="H19" s="53"/>
      <c r="I19" s="53"/>
      <c r="J19" s="53"/>
      <c r="K19" s="53"/>
      <c r="L19" s="53"/>
      <c r="M19" s="53"/>
      <c r="N19" s="53"/>
      <c r="O19" s="53"/>
      <c r="P19" s="53"/>
      <c r="Q19" s="53"/>
      <c r="R19" s="53"/>
      <c r="S19" s="53"/>
      <c r="T19" s="53"/>
      <c r="U19" s="53"/>
      <c r="V19" s="53"/>
      <c r="W19" s="53"/>
      <c r="X19" s="53"/>
      <c r="Y19" s="53"/>
      <c r="Z19" s="53"/>
      <c r="AA19" s="53"/>
      <c r="AB19" s="53"/>
      <c r="AC19" s="54"/>
    </row>
    <row r="20" spans="1:29" hidden="1" x14ac:dyDescent="0.35">
      <c r="A20" s="49"/>
      <c r="B20" s="64"/>
      <c r="C20" s="64"/>
      <c r="D20" s="64"/>
      <c r="E20" s="60"/>
      <c r="F20" s="53"/>
      <c r="G20" s="53"/>
      <c r="H20" s="53"/>
      <c r="I20" s="53"/>
      <c r="J20" s="53"/>
      <c r="K20" s="53"/>
      <c r="L20" s="53"/>
      <c r="M20" s="53"/>
      <c r="N20" s="53"/>
      <c r="O20" s="53"/>
      <c r="P20" s="53"/>
      <c r="Q20" s="53"/>
      <c r="R20" s="53"/>
      <c r="S20" s="53"/>
      <c r="T20" s="53"/>
      <c r="U20" s="53"/>
      <c r="V20" s="53"/>
      <c r="W20" s="53"/>
      <c r="X20" s="53"/>
      <c r="Y20" s="53"/>
      <c r="Z20" s="53"/>
      <c r="AA20" s="53"/>
      <c r="AB20" s="53"/>
      <c r="AC20" s="54"/>
    </row>
    <row r="21" spans="1:29" ht="15" hidden="1" customHeight="1" x14ac:dyDescent="0.35">
      <c r="A21" s="49"/>
      <c r="B21" s="84"/>
      <c r="C21" s="67"/>
      <c r="D21" s="84"/>
      <c r="E21" s="67"/>
      <c r="F21" s="53"/>
      <c r="G21" s="53"/>
      <c r="H21" s="53"/>
      <c r="I21" s="53"/>
      <c r="J21" s="53"/>
      <c r="K21" s="53"/>
      <c r="L21" s="53"/>
      <c r="M21" s="53"/>
      <c r="N21" s="53"/>
      <c r="O21" s="53"/>
      <c r="P21" s="53"/>
      <c r="Q21" s="53"/>
      <c r="R21" s="53"/>
      <c r="S21" s="53"/>
      <c r="T21" s="53"/>
      <c r="U21" s="53"/>
      <c r="V21" s="53"/>
      <c r="W21" s="53"/>
      <c r="X21" s="53"/>
      <c r="Y21" s="53"/>
      <c r="Z21" s="53"/>
      <c r="AA21" s="53"/>
      <c r="AB21" s="53"/>
      <c r="AC21" s="54"/>
    </row>
    <row r="22" spans="1:29" hidden="1" x14ac:dyDescent="0.35">
      <c r="A22" s="49"/>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4"/>
    </row>
    <row r="23" spans="1:29" x14ac:dyDescent="0.35">
      <c r="A23" s="46"/>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8"/>
    </row>
    <row r="24" spans="1:29" hidden="1" x14ac:dyDescent="0.35">
      <c r="A24" s="98"/>
      <c r="B24" s="76"/>
      <c r="D24" s="76"/>
      <c r="Q24" s="44"/>
      <c r="R24" s="44"/>
      <c r="S24" s="44"/>
      <c r="T24" s="44"/>
      <c r="U24" s="44"/>
      <c r="V24" s="44"/>
      <c r="W24" s="44"/>
      <c r="X24" s="44"/>
      <c r="Y24" s="44"/>
      <c r="Z24" s="44"/>
      <c r="AA24" s="44"/>
      <c r="AB24" s="44"/>
      <c r="AC24" s="44"/>
    </row>
    <row r="25" spans="1:29" hidden="1" x14ac:dyDescent="0.35">
      <c r="A25" s="75"/>
      <c r="B25" s="73"/>
      <c r="D25" s="73"/>
      <c r="Q25" s="44"/>
      <c r="R25" s="44"/>
      <c r="S25" s="44"/>
      <c r="T25" s="44"/>
      <c r="U25" s="44"/>
      <c r="V25" s="44"/>
      <c r="W25" s="44"/>
      <c r="X25" s="44"/>
      <c r="Y25" s="44"/>
      <c r="Z25" s="44"/>
      <c r="AA25" s="44"/>
      <c r="AB25" s="44"/>
      <c r="AC25" s="44"/>
    </row>
    <row r="26" spans="1:29" hidden="1" x14ac:dyDescent="0.35">
      <c r="A26" s="44"/>
      <c r="Q26" s="44"/>
      <c r="R26" s="44"/>
      <c r="S26" s="44"/>
      <c r="T26" s="44"/>
      <c r="U26" s="44"/>
      <c r="V26" s="44"/>
      <c r="W26" s="44"/>
      <c r="X26" s="44"/>
      <c r="Y26" s="44"/>
      <c r="Z26" s="44"/>
      <c r="AA26" s="44"/>
      <c r="AB26" s="44"/>
      <c r="AC26" s="44"/>
    </row>
    <row r="27" spans="1:29" hidden="1" x14ac:dyDescent="0.35">
      <c r="A27" s="44"/>
      <c r="Q27" s="44"/>
      <c r="R27" s="44"/>
      <c r="S27" s="44"/>
      <c r="T27" s="44"/>
      <c r="U27" s="44"/>
      <c r="V27" s="44"/>
      <c r="W27" s="44"/>
      <c r="X27" s="44"/>
      <c r="Y27" s="44"/>
      <c r="Z27" s="44"/>
      <c r="AA27" s="44"/>
      <c r="AB27" s="44"/>
      <c r="AC27" s="44"/>
    </row>
    <row r="28" spans="1:29" hidden="1" x14ac:dyDescent="0.35">
      <c r="A28" s="44"/>
      <c r="Q28" s="44"/>
      <c r="R28" s="44"/>
      <c r="S28" s="44"/>
      <c r="T28" s="44"/>
      <c r="U28" s="44"/>
      <c r="V28" s="44"/>
      <c r="W28" s="44"/>
      <c r="X28" s="44"/>
      <c r="Y28" s="44"/>
      <c r="Z28" s="44"/>
      <c r="AA28" s="44"/>
      <c r="AB28" s="44"/>
      <c r="AC28" s="44"/>
    </row>
    <row r="29" spans="1:29" hidden="1" x14ac:dyDescent="0.35">
      <c r="A29" s="44"/>
      <c r="Q29" s="44"/>
      <c r="R29" s="44"/>
      <c r="S29" s="44"/>
      <c r="T29" s="44"/>
      <c r="U29" s="44"/>
      <c r="V29" s="44"/>
      <c r="W29" s="44"/>
      <c r="X29" s="44"/>
      <c r="Y29" s="44"/>
      <c r="Z29" s="44"/>
      <c r="AA29" s="44"/>
      <c r="AB29" s="44"/>
      <c r="AC29" s="44"/>
    </row>
    <row r="30" spans="1:29" hidden="1" x14ac:dyDescent="0.35">
      <c r="A30" s="44"/>
      <c r="U30" s="44"/>
      <c r="V30" s="44"/>
      <c r="W30" s="44"/>
      <c r="X30" s="44"/>
      <c r="Y30" s="44"/>
      <c r="Z30" s="44"/>
      <c r="AA30" s="44"/>
      <c r="AB30" s="44"/>
      <c r="AC30" s="44"/>
    </row>
    <row r="31" spans="1:29" hidden="1" x14ac:dyDescent="0.35">
      <c r="A31" s="44"/>
      <c r="U31" s="44"/>
      <c r="V31" s="44"/>
      <c r="W31" s="44"/>
      <c r="X31" s="44"/>
      <c r="Y31" s="44"/>
      <c r="Z31" s="44"/>
      <c r="AA31" s="44"/>
      <c r="AB31" s="44"/>
      <c r="AC31" s="44"/>
    </row>
    <row r="32" spans="1:29" hidden="1" x14ac:dyDescent="0.35">
      <c r="A32" s="44"/>
      <c r="U32" s="44"/>
      <c r="V32" s="44"/>
      <c r="W32" s="44"/>
      <c r="X32" s="44"/>
      <c r="Y32" s="44"/>
      <c r="Z32" s="44"/>
      <c r="AA32" s="44"/>
      <c r="AB32" s="44"/>
      <c r="AC32" s="44"/>
    </row>
    <row r="33" spans="1:29" hidden="1" x14ac:dyDescent="0.35">
      <c r="A33" s="44"/>
      <c r="U33" s="44"/>
      <c r="V33" s="44"/>
      <c r="W33" s="44"/>
      <c r="X33" s="44"/>
      <c r="Y33" s="44"/>
      <c r="Z33" s="44"/>
      <c r="AA33" s="44"/>
      <c r="AB33" s="44"/>
      <c r="AC33" s="44"/>
    </row>
    <row r="34" spans="1:29" hidden="1" x14ac:dyDescent="0.35">
      <c r="A34" s="44"/>
      <c r="U34" s="44"/>
      <c r="V34" s="44"/>
      <c r="W34" s="44"/>
      <c r="X34" s="44"/>
      <c r="Y34" s="44"/>
      <c r="Z34" s="44"/>
      <c r="AA34" s="44"/>
      <c r="AB34" s="44"/>
      <c r="AC34" s="44"/>
    </row>
    <row r="35" spans="1:29" hidden="1" x14ac:dyDescent="0.35">
      <c r="A35" s="44"/>
      <c r="U35" s="44"/>
      <c r="V35" s="44"/>
      <c r="W35" s="44"/>
      <c r="X35" s="44"/>
      <c r="Y35" s="44"/>
      <c r="Z35" s="44"/>
      <c r="AA35" s="44"/>
      <c r="AB35" s="44"/>
      <c r="AC35" s="44"/>
    </row>
    <row r="36" spans="1:29" hidden="1" x14ac:dyDescent="0.35"/>
    <row r="37" spans="1:29" hidden="1" x14ac:dyDescent="0.35"/>
    <row r="38" spans="1:29" hidden="1" x14ac:dyDescent="0.35"/>
    <row r="39" spans="1:29" hidden="1" x14ac:dyDescent="0.35"/>
    <row r="40" spans="1:29" hidden="1" x14ac:dyDescent="0.35"/>
    <row r="41" spans="1:29" hidden="1" x14ac:dyDescent="0.35"/>
    <row r="42" spans="1:29" hidden="1" x14ac:dyDescent="0.35"/>
    <row r="43" spans="1:29" hidden="1" x14ac:dyDescent="0.35"/>
    <row r="44" spans="1:29" hidden="1" x14ac:dyDescent="0.35"/>
    <row r="45" spans="1:29" hidden="1" x14ac:dyDescent="0.35"/>
    <row r="46" spans="1:29" hidden="1" x14ac:dyDescent="0.35"/>
    <row r="47" spans="1:29" hidden="1" x14ac:dyDescent="0.35"/>
  </sheetData>
  <sheetProtection password="813F" sheet="1" objects="1" scenarios="1" selectLockedCells="1" selectUnlockedCells="1"/>
  <customSheetViews>
    <customSheetView guid="{51165254-F18A-4CD1-9981-8F2DE14CC76C}" fitToPage="1" hiddenRows="1" hiddenColumns="1" state="hidden" showRuler="0">
      <selection activeCell="G6" sqref="G6"/>
      <pageMargins left="0.75" right="0.75" top="1" bottom="1" header="0.5" footer="0.5"/>
      <pageSetup paperSize="9" scale="52" orientation="portrait" r:id="rId1"/>
      <headerFooter alignWithMargins="0">
        <oddHeader>&amp;L&amp;F</oddHeader>
        <oddFooter xml:space="preserve">&amp;LDAF Dealer Business Plan&amp;CPrint date: &amp;D&amp;R&amp;P/&amp;N | DAF Trucks NV    </oddFooter>
      </headerFooter>
    </customSheetView>
  </customSheetViews>
  <mergeCells count="12">
    <mergeCell ref="B15:D15"/>
    <mergeCell ref="B13:D13"/>
    <mergeCell ref="B6:D6"/>
    <mergeCell ref="B7:D7"/>
    <mergeCell ref="B8:D8"/>
    <mergeCell ref="B14:D14"/>
    <mergeCell ref="F12:T12"/>
    <mergeCell ref="B12:D12"/>
    <mergeCell ref="A3:W3"/>
    <mergeCell ref="X3:AC3"/>
    <mergeCell ref="B5:D5"/>
    <mergeCell ref="F5:T5"/>
  </mergeCells>
  <phoneticPr fontId="11" type="noConversion"/>
  <pageMargins left="0.75" right="0.75" top="1" bottom="1" header="0.5" footer="0.5"/>
  <pageSetup paperSize="9" scale="52" orientation="portrait" r:id="rId2"/>
  <headerFooter alignWithMargins="0">
    <oddHeader>&amp;L&amp;F</oddHeader>
    <oddFooter xml:space="preserve">&amp;LDAF Dealer Business Plan&amp;CPrint date: &amp;D&amp;R&amp;P/&amp;N | DAF Trucks NV    </oddFooter>
  </headerFooter>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1">
    <pageSetUpPr fitToPage="1"/>
  </sheetPr>
  <dimension ref="A1:CN342"/>
  <sheetViews>
    <sheetView workbookViewId="0">
      <pane xSplit="4" topLeftCell="AZ1" activePane="topRight" state="frozen"/>
      <selection activeCell="G11" sqref="G11:K12"/>
      <selection pane="topRight" activeCell="A65" sqref="A65"/>
    </sheetView>
  </sheetViews>
  <sheetFormatPr baseColWidth="10" defaultColWidth="9.33203125" defaultRowHeight="12" x14ac:dyDescent="0.3"/>
  <cols>
    <col min="1" max="1" width="9.33203125" style="809" customWidth="1"/>
    <col min="2" max="3" width="9.33203125" style="811" customWidth="1"/>
    <col min="4" max="16384" width="9.33203125" style="809"/>
  </cols>
  <sheetData>
    <row r="1" spans="1:92" hidden="1" x14ac:dyDescent="0.3">
      <c r="B1" s="809" t="s">
        <v>998</v>
      </c>
      <c r="C1" s="809"/>
      <c r="E1" s="810">
        <f>VLOOKUP('Reference sheet'!C11,'Reference sheet'!N3:R44,5,FALSE)</f>
        <v>-0.15</v>
      </c>
      <c r="G1" s="809" t="s">
        <v>999</v>
      </c>
      <c r="I1" s="810">
        <f>VLOOKUP('Reference sheet'!C11,'Reference sheet'!N3:R44,2,FALSE)</f>
        <v>0.1</v>
      </c>
      <c r="L1" s="809" t="s">
        <v>1000</v>
      </c>
      <c r="O1" s="810">
        <v>0.05</v>
      </c>
    </row>
    <row r="2" spans="1:92" hidden="1" x14ac:dyDescent="0.3">
      <c r="B2" s="809" t="s">
        <v>398</v>
      </c>
      <c r="C2" s="809"/>
      <c r="E2" s="1832">
        <f>'7.2.2 Turnover Parts'!C9</f>
        <v>10</v>
      </c>
    </row>
    <row r="3" spans="1:92" ht="12.6" hidden="1" thickBot="1" x14ac:dyDescent="0.35">
      <c r="A3" s="2217" t="s">
        <v>1001</v>
      </c>
      <c r="B3" s="2217"/>
      <c r="C3" s="2217"/>
      <c r="D3" s="2217"/>
      <c r="E3" s="2217"/>
      <c r="F3" s="2217"/>
      <c r="G3" s="2217"/>
      <c r="H3" s="2217"/>
      <c r="I3" s="2217"/>
      <c r="J3" s="2217"/>
      <c r="K3" s="2217"/>
      <c r="L3" s="2217"/>
      <c r="M3" s="2218"/>
      <c r="N3" s="2218"/>
      <c r="O3" s="2218"/>
      <c r="P3" s="2218"/>
      <c r="Q3" s="2218"/>
      <c r="R3" s="2218"/>
      <c r="S3" s="2218"/>
      <c r="T3" s="2218"/>
      <c r="U3" s="2218"/>
      <c r="V3" s="2218"/>
      <c r="W3" s="2218"/>
      <c r="X3" s="2218"/>
      <c r="Y3" s="2218"/>
      <c r="Z3" s="2218"/>
      <c r="AA3" s="2218"/>
      <c r="AB3" s="2218"/>
      <c r="AC3" s="2218"/>
      <c r="AD3" s="2218"/>
    </row>
    <row r="4" spans="1:92" hidden="1" x14ac:dyDescent="0.3">
      <c r="B4" s="1507" t="s">
        <v>1176</v>
      </c>
      <c r="C4" s="1508" t="str">
        <f>'Reference sheet'!C21</f>
        <v>EUR</v>
      </c>
      <c r="D4" s="1509"/>
      <c r="E4" s="330"/>
      <c r="F4" s="330"/>
      <c r="G4" s="330"/>
      <c r="H4" s="330"/>
      <c r="I4" s="330"/>
      <c r="J4" s="330"/>
      <c r="K4" s="330"/>
      <c r="L4" s="330"/>
      <c r="M4" s="330"/>
      <c r="N4" s="330"/>
      <c r="Q4" s="1476"/>
      <c r="R4" s="1477"/>
      <c r="S4" s="1477"/>
      <c r="T4" s="1477"/>
      <c r="U4" s="1477"/>
      <c r="V4" s="1477"/>
      <c r="W4" s="1477"/>
      <c r="X4" s="1477"/>
      <c r="Y4" s="1477"/>
      <c r="Z4" s="1477"/>
      <c r="AA4" s="1477"/>
      <c r="AB4" s="1477"/>
      <c r="AC4" s="1477"/>
      <c r="AD4" s="1477"/>
      <c r="AE4" s="1477"/>
      <c r="AF4" s="1477"/>
      <c r="AG4" s="1477"/>
      <c r="AH4" s="1478"/>
    </row>
    <row r="5" spans="1:92" hidden="1" x14ac:dyDescent="0.3">
      <c r="B5" s="330" t="s">
        <v>271</v>
      </c>
      <c r="C5" s="330"/>
      <c r="D5" s="1509"/>
      <c r="E5" s="330"/>
      <c r="F5" s="330"/>
      <c r="G5" s="330"/>
      <c r="H5" s="330"/>
      <c r="I5" s="330"/>
      <c r="J5" s="330"/>
      <c r="K5" s="330"/>
      <c r="L5" s="330"/>
      <c r="M5" s="330"/>
      <c r="N5" s="330"/>
      <c r="Q5" s="1480" t="s">
        <v>1069</v>
      </c>
      <c r="R5" s="2219" t="s">
        <v>1002</v>
      </c>
      <c r="S5" s="2218"/>
      <c r="T5" s="2218"/>
      <c r="U5" s="2218"/>
      <c r="V5" s="2218"/>
      <c r="W5" s="2218"/>
      <c r="X5" s="2218"/>
      <c r="Y5" s="2218"/>
      <c r="Z5" s="2218"/>
      <c r="AA5" s="2218"/>
      <c r="AB5" s="2218"/>
      <c r="AC5" s="2218"/>
      <c r="AD5" s="2218"/>
      <c r="AE5" s="2218"/>
      <c r="AF5" s="2218"/>
      <c r="AG5" s="811"/>
      <c r="AH5" s="1483"/>
      <c r="AJ5" s="1834"/>
      <c r="AK5" s="2214" t="s">
        <v>1002</v>
      </c>
      <c r="AL5" s="2215"/>
      <c r="AM5" s="2215"/>
      <c r="AN5" s="2215"/>
      <c r="AO5" s="2215"/>
      <c r="AP5" s="2215"/>
      <c r="AQ5" s="2215"/>
      <c r="AR5" s="2215"/>
      <c r="AS5" s="2215"/>
      <c r="AT5" s="2216"/>
      <c r="AV5" s="1480">
        <f>AW6</f>
        <v>2019</v>
      </c>
      <c r="AW5" s="2219" t="s">
        <v>1002</v>
      </c>
      <c r="AX5" s="2218"/>
      <c r="AY5" s="2218"/>
      <c r="AZ5" s="2218"/>
      <c r="BA5" s="2218"/>
      <c r="BB5" s="2218"/>
      <c r="BC5" s="2218"/>
      <c r="BD5" s="2218"/>
      <c r="BE5" s="2218"/>
      <c r="BF5" s="2218"/>
      <c r="BG5" s="811"/>
      <c r="BH5" s="1483"/>
      <c r="BJ5" s="1498">
        <f>AV5</f>
        <v>2019</v>
      </c>
      <c r="BK5" s="2220" t="s">
        <v>1003</v>
      </c>
      <c r="BL5" s="2221"/>
      <c r="BM5" s="2221"/>
      <c r="BN5" s="2221"/>
      <c r="BO5" s="2221"/>
      <c r="BP5" s="2221"/>
      <c r="BQ5" s="2221"/>
      <c r="BR5" s="2221"/>
      <c r="BS5" s="2221"/>
      <c r="BT5" s="2221"/>
      <c r="BU5" s="1500"/>
      <c r="BV5" s="1497"/>
      <c r="BX5" s="1498" t="s">
        <v>1069</v>
      </c>
      <c r="BY5" s="2220" t="s">
        <v>1004</v>
      </c>
      <c r="BZ5" s="2221"/>
      <c r="CA5" s="2221"/>
      <c r="CB5" s="2221"/>
      <c r="CC5" s="2221"/>
      <c r="CD5" s="2221"/>
      <c r="CE5" s="2221"/>
      <c r="CF5" s="2221"/>
      <c r="CG5" s="2221"/>
      <c r="CH5" s="2221"/>
      <c r="CI5" s="2221"/>
      <c r="CJ5" s="2221"/>
      <c r="CK5" s="2221"/>
      <c r="CL5" s="2221"/>
      <c r="CM5" s="2222"/>
      <c r="CN5" s="811"/>
    </row>
    <row r="6" spans="1:92" hidden="1" x14ac:dyDescent="0.3">
      <c r="B6" s="330"/>
      <c r="C6" s="1510"/>
      <c r="D6" s="1511">
        <f>'Reference sheet'!C18</f>
        <v>2019</v>
      </c>
      <c r="E6" s="1512">
        <f>D6-1</f>
        <v>2018</v>
      </c>
      <c r="F6" s="1512">
        <f t="shared" ref="F6:M6" si="0">E6-1</f>
        <v>2017</v>
      </c>
      <c r="G6" s="1512">
        <f t="shared" si="0"/>
        <v>2016</v>
      </c>
      <c r="H6" s="1512">
        <f t="shared" si="0"/>
        <v>2015</v>
      </c>
      <c r="I6" s="1512">
        <f t="shared" si="0"/>
        <v>2014</v>
      </c>
      <c r="J6" s="1512">
        <f t="shared" si="0"/>
        <v>2013</v>
      </c>
      <c r="K6" s="1512">
        <f t="shared" si="0"/>
        <v>2012</v>
      </c>
      <c r="L6" s="1512">
        <f t="shared" si="0"/>
        <v>2011</v>
      </c>
      <c r="M6" s="1512">
        <f t="shared" si="0"/>
        <v>2010</v>
      </c>
      <c r="N6" s="1512" t="s">
        <v>273</v>
      </c>
      <c r="Q6" s="1479" t="s">
        <v>962</v>
      </c>
      <c r="R6" s="812">
        <v>1</v>
      </c>
      <c r="S6" s="812">
        <v>2</v>
      </c>
      <c r="T6" s="812">
        <v>3</v>
      </c>
      <c r="U6" s="812">
        <v>4</v>
      </c>
      <c r="V6" s="812">
        <v>5</v>
      </c>
      <c r="W6" s="812">
        <v>6</v>
      </c>
      <c r="X6" s="812">
        <v>7</v>
      </c>
      <c r="Y6" s="812">
        <v>8</v>
      </c>
      <c r="Z6" s="812">
        <v>9</v>
      </c>
      <c r="AA6" s="812">
        <v>10</v>
      </c>
      <c r="AB6" s="812">
        <v>11</v>
      </c>
      <c r="AC6" s="812">
        <v>12</v>
      </c>
      <c r="AD6" s="812">
        <v>13</v>
      </c>
      <c r="AE6" s="812">
        <v>14</v>
      </c>
      <c r="AF6" s="812">
        <v>15</v>
      </c>
      <c r="AG6" s="812"/>
      <c r="AH6" s="1483"/>
      <c r="AJ6" s="1835" t="s">
        <v>962</v>
      </c>
      <c r="AK6" s="812">
        <v>1</v>
      </c>
      <c r="AL6" s="812">
        <v>2</v>
      </c>
      <c r="AM6" s="812">
        <v>3</v>
      </c>
      <c r="AN6" s="812">
        <v>4</v>
      </c>
      <c r="AO6" s="812">
        <v>5</v>
      </c>
      <c r="AP6" s="812">
        <v>6</v>
      </c>
      <c r="AQ6" s="812">
        <v>7</v>
      </c>
      <c r="AR6" s="812">
        <v>8</v>
      </c>
      <c r="AS6" s="812">
        <v>9</v>
      </c>
      <c r="AT6" s="1836">
        <v>10</v>
      </c>
      <c r="AV6" s="1479" t="s">
        <v>962</v>
      </c>
      <c r="AW6" s="812">
        <f>D6</f>
        <v>2019</v>
      </c>
      <c r="AX6" s="812">
        <f>AW6-1</f>
        <v>2018</v>
      </c>
      <c r="AY6" s="812">
        <f t="shared" ref="AY6:BF6" si="1">AX6-1</f>
        <v>2017</v>
      </c>
      <c r="AZ6" s="812">
        <f t="shared" si="1"/>
        <v>2016</v>
      </c>
      <c r="BA6" s="812">
        <f t="shared" si="1"/>
        <v>2015</v>
      </c>
      <c r="BB6" s="812">
        <f t="shared" si="1"/>
        <v>2014</v>
      </c>
      <c r="BC6" s="812">
        <f t="shared" si="1"/>
        <v>2013</v>
      </c>
      <c r="BD6" s="812">
        <f t="shared" si="1"/>
        <v>2012</v>
      </c>
      <c r="BE6" s="812">
        <f t="shared" si="1"/>
        <v>2011</v>
      </c>
      <c r="BF6" s="812">
        <f t="shared" si="1"/>
        <v>2010</v>
      </c>
      <c r="BG6" s="812"/>
      <c r="BH6" s="1483"/>
      <c r="BJ6" s="1499" t="s">
        <v>962</v>
      </c>
      <c r="BK6" s="1499">
        <f t="shared" ref="BK6:BT6" si="2">AW6</f>
        <v>2019</v>
      </c>
      <c r="BL6" s="1499">
        <f t="shared" si="2"/>
        <v>2018</v>
      </c>
      <c r="BM6" s="1499">
        <f t="shared" si="2"/>
        <v>2017</v>
      </c>
      <c r="BN6" s="1499">
        <f t="shared" si="2"/>
        <v>2016</v>
      </c>
      <c r="BO6" s="1499">
        <f t="shared" si="2"/>
        <v>2015</v>
      </c>
      <c r="BP6" s="1499">
        <f t="shared" si="2"/>
        <v>2014</v>
      </c>
      <c r="BQ6" s="1499">
        <f t="shared" si="2"/>
        <v>2013</v>
      </c>
      <c r="BR6" s="1499">
        <f t="shared" si="2"/>
        <v>2012</v>
      </c>
      <c r="BS6" s="1499">
        <f t="shared" si="2"/>
        <v>2011</v>
      </c>
      <c r="BT6" s="1499">
        <f t="shared" si="2"/>
        <v>2010</v>
      </c>
      <c r="BU6" s="1499"/>
      <c r="BV6" s="1497"/>
      <c r="BX6" s="1499" t="s">
        <v>962</v>
      </c>
      <c r="BY6" s="1499">
        <f>D6</f>
        <v>2019</v>
      </c>
      <c r="BZ6" s="1499">
        <f>BY6-1</f>
        <v>2018</v>
      </c>
      <c r="CA6" s="1499">
        <f t="shared" ref="CA6:CH6" si="3">BZ6-1</f>
        <v>2017</v>
      </c>
      <c r="CB6" s="1499">
        <f t="shared" si="3"/>
        <v>2016</v>
      </c>
      <c r="CC6" s="1499">
        <f t="shared" si="3"/>
        <v>2015</v>
      </c>
      <c r="CD6" s="1499">
        <f t="shared" si="3"/>
        <v>2014</v>
      </c>
      <c r="CE6" s="1499">
        <f t="shared" si="3"/>
        <v>2013</v>
      </c>
      <c r="CF6" s="1499">
        <f t="shared" si="3"/>
        <v>2012</v>
      </c>
      <c r="CG6" s="1499">
        <f t="shared" si="3"/>
        <v>2011</v>
      </c>
      <c r="CH6" s="1499">
        <f t="shared" si="3"/>
        <v>2010</v>
      </c>
      <c r="CI6" s="1499"/>
      <c r="CJ6" s="1497"/>
    </row>
    <row r="7" spans="1:92" hidden="1" x14ac:dyDescent="0.3">
      <c r="B7" s="330"/>
      <c r="C7" s="1508">
        <v>45</v>
      </c>
      <c r="D7" s="1513">
        <f>'7.1 Dealer area'!C39</f>
        <v>0</v>
      </c>
      <c r="E7" s="1514">
        <f>'5.3 Running Parc - Dealer Area'!B8</f>
        <v>0</v>
      </c>
      <c r="F7" s="1514">
        <f>'5.3 Running Parc - Dealer Area'!C8</f>
        <v>0</v>
      </c>
      <c r="G7" s="1514">
        <f>'5.3 Running Parc - Dealer Area'!D8</f>
        <v>0</v>
      </c>
      <c r="H7" s="1514">
        <f>'5.3 Running Parc - Dealer Area'!E8</f>
        <v>0</v>
      </c>
      <c r="I7" s="1514">
        <f>'5.3 Running Parc - Dealer Area'!F8</f>
        <v>0</v>
      </c>
      <c r="J7" s="1514">
        <f>'5.3 Running Parc - Dealer Area'!G8</f>
        <v>0</v>
      </c>
      <c r="K7" s="1514">
        <f>'5.3 Running Parc - Dealer Area'!H8</f>
        <v>0</v>
      </c>
      <c r="L7" s="1514">
        <f>'5.3 Running Parc - Dealer Area'!I8</f>
        <v>0</v>
      </c>
      <c r="M7" s="1514">
        <f>'5.3 Running Parc - Dealer Area'!J8</f>
        <v>0</v>
      </c>
      <c r="N7" s="1543">
        <f t="shared" ref="N7:N13" si="4">SUM(D7:M7)</f>
        <v>0</v>
      </c>
      <c r="Q7" s="1480">
        <v>45</v>
      </c>
      <c r="R7" s="814">
        <f>(('DAF Parts CPV (short)'!E7)*((1-'5.1 DAF Vehicle Parc Input'!$H$56/(1-'Calculation (short)'!$O$1)))*(1+$E$1)*(1+$I$1))</f>
        <v>1006.1720131833597</v>
      </c>
      <c r="S7" s="814">
        <f>(('DAF Parts CPV (short)'!F7)*((1-'5.1 DAF Vehicle Parc Input'!$H$56/(1-'Calculation (short)'!$O$1)))*(1+$E$1)*(1+$I$1))</f>
        <v>1055.9919643663222</v>
      </c>
      <c r="T7" s="814">
        <f>(('DAF Parts CPV (short)'!G7)*((1-'5.1 DAF Vehicle Parc Input'!$H$56/(1-'Calculation (short)'!$O$1)))*(1+$E$1)*(1+$I$1))</f>
        <v>1534.6930122598076</v>
      </c>
      <c r="U7" s="814">
        <f>(('DAF Parts CPV (short)'!H7)*((1-'5.1 DAF Vehicle Parc Input'!$H$56/(1-'Calculation (short)'!$O$1)))*(1+$E$1)*(1+$I$1))</f>
        <v>1653.9105861686294</v>
      </c>
      <c r="V7" s="814">
        <f>(('DAF Parts CPV (short)'!I7)*((1-'5.1 DAF Vehicle Parc Input'!$H$56/(1-'Calculation (short)'!$O$1)))*(1+$E$1)*(1+$I$1))</f>
        <v>1622.0960095758676</v>
      </c>
      <c r="W7" s="814">
        <f>(('DAF Parts CPV (short)'!J7)*((1-'5.1 DAF Vehicle Parc Input'!$H$56/(1-'Calculation (short)'!$O$1)))*(1+$E$1)*(1+$I$1))</f>
        <v>1319.0831709179229</v>
      </c>
      <c r="X7" s="814">
        <f>(('DAF Parts CPV (short)'!K7)*((1-'5.1 DAF Vehicle Parc Input'!$H$56/(1-'Calculation (short)'!$O$1)))*(1+$E$1)*(1+$I$1))</f>
        <v>1401.525869100293</v>
      </c>
      <c r="Y7" s="814">
        <f>(('DAF Parts CPV (short)'!L7)*((1-'5.1 DAF Vehicle Parc Input'!$H$56/(1-'Calculation (short)'!$O$1)))*(1+$E$1)*(1+$I$1))</f>
        <v>1483.9685672826633</v>
      </c>
      <c r="Z7" s="814">
        <f>(('DAF Parts CPV (short)'!M7)*((1-'5.1 DAF Vehicle Parc Input'!$H$56/(1-'Calculation (short)'!$O$1)))*(1+$E$1)*(1+$I$1))</f>
        <v>1566.4112654650335</v>
      </c>
      <c r="AA7" s="814">
        <f>(('DAF Parts CPV (short)'!N7)*((1-'5.1 DAF Vehicle Parc Input'!$H$56/(1-'Calculation (short)'!$O$1)))*(1+$E$1)*(1+$I$1))</f>
        <v>1648.8539636474036</v>
      </c>
      <c r="AB7" s="814">
        <f>(('DAF Parts CPV (short)'!O7)*((1-'5.1 DAF Vehicle Parc Input'!$H$56/(1-'Calculation (short)'!$O$1)))*(1+$E$1)*(1+$I$1))</f>
        <v>1582.8998051015074</v>
      </c>
      <c r="AC7" s="814">
        <f>(('DAF Parts CPV (short)'!P7)*((1-'5.1 DAF Vehicle Parc Input'!$H$56/(1-'Calculation (short)'!$O$1)))*(1+$E$1)*(1+$I$1))</f>
        <v>1516.9456465556109</v>
      </c>
      <c r="AD7" s="814">
        <f>(('DAF Parts CPV (short)'!Q7)*((1-'5.1 DAF Vehicle Parc Input'!$H$56/(1-'Calculation (short)'!$O$1)))*(1+$E$1)*(1+$I$1))</f>
        <v>1450.9914880097153</v>
      </c>
      <c r="AE7" s="814">
        <f>(('DAF Parts CPV (short)'!R7)*((1-'5.1 DAF Vehicle Parc Input'!$H$56/(1-'Calculation (short)'!$O$1)))*(1+$E$1)*(1+$I$1))</f>
        <v>1385.0373294638189</v>
      </c>
      <c r="AF7" s="814">
        <f>(('DAF Parts CPV (short)'!S7)*((1-'5.1 DAF Vehicle Parc Input'!$H$56/(1-'Calculation (short)'!$O$1)))*(1+$E$1)*(1+$I$1))</f>
        <v>1319.0831709179229</v>
      </c>
      <c r="AG7" s="815">
        <f>AVERAGE(R7:AF7)</f>
        <v>1436.5109241343921</v>
      </c>
      <c r="AH7" s="1486">
        <f>AG7</f>
        <v>1436.5109241343921</v>
      </c>
      <c r="AJ7" s="1837">
        <v>45</v>
      </c>
      <c r="AK7" s="1833">
        <f>IF(AK$6&lt;=$E$2,1,0)</f>
        <v>1</v>
      </c>
      <c r="AL7" s="1833">
        <f t="shared" ref="AL7:AT13" si="5">IF(AL$6&lt;=$E$2,1,0)</f>
        <v>1</v>
      </c>
      <c r="AM7" s="1833">
        <f t="shared" si="5"/>
        <v>1</v>
      </c>
      <c r="AN7" s="1833">
        <f t="shared" si="5"/>
        <v>1</v>
      </c>
      <c r="AO7" s="1833">
        <f t="shared" si="5"/>
        <v>1</v>
      </c>
      <c r="AP7" s="1833">
        <f>IF(AP$6&lt;=$E$2,1,0)</f>
        <v>1</v>
      </c>
      <c r="AQ7" s="1833">
        <f t="shared" si="5"/>
        <v>1</v>
      </c>
      <c r="AR7" s="1833">
        <f t="shared" si="5"/>
        <v>1</v>
      </c>
      <c r="AS7" s="1833">
        <f t="shared" si="5"/>
        <v>1</v>
      </c>
      <c r="AT7" s="1838">
        <f t="shared" si="5"/>
        <v>1</v>
      </c>
      <c r="AV7" s="1480">
        <v>45</v>
      </c>
      <c r="AW7" s="814">
        <f>D7*R7*AK7</f>
        <v>0</v>
      </c>
      <c r="AX7" s="814">
        <f t="shared" ref="AX7:BF7" si="6">E7*S7*AL7</f>
        <v>0</v>
      </c>
      <c r="AY7" s="814">
        <f t="shared" si="6"/>
        <v>0</v>
      </c>
      <c r="AZ7" s="814">
        <f t="shared" si="6"/>
        <v>0</v>
      </c>
      <c r="BA7" s="814">
        <f t="shared" si="6"/>
        <v>0</v>
      </c>
      <c r="BB7" s="814">
        <f t="shared" si="6"/>
        <v>0</v>
      </c>
      <c r="BC7" s="814">
        <f t="shared" si="6"/>
        <v>0</v>
      </c>
      <c r="BD7" s="814">
        <f t="shared" si="6"/>
        <v>0</v>
      </c>
      <c r="BE7" s="814">
        <f t="shared" si="6"/>
        <v>0</v>
      </c>
      <c r="BF7" s="814">
        <f t="shared" si="6"/>
        <v>0</v>
      </c>
      <c r="BG7" s="1612">
        <f>SUM(AW7:BF7)</f>
        <v>0</v>
      </c>
      <c r="BH7" s="1613">
        <f>BG7</f>
        <v>0</v>
      </c>
      <c r="BJ7" s="1498">
        <v>45</v>
      </c>
      <c r="BK7" s="1501">
        <f>R17*D7*AK7</f>
        <v>0</v>
      </c>
      <c r="BL7" s="1501">
        <f t="shared" ref="BL7:BT7" si="7">S17*E7*AL7</f>
        <v>0</v>
      </c>
      <c r="BM7" s="1501">
        <f t="shared" si="7"/>
        <v>0</v>
      </c>
      <c r="BN7" s="1501">
        <f t="shared" si="7"/>
        <v>0</v>
      </c>
      <c r="BO7" s="1501">
        <f t="shared" si="7"/>
        <v>0</v>
      </c>
      <c r="BP7" s="1501">
        <f t="shared" si="7"/>
        <v>0</v>
      </c>
      <c r="BQ7" s="1501">
        <f t="shared" si="7"/>
        <v>0</v>
      </c>
      <c r="BR7" s="1501">
        <f t="shared" si="7"/>
        <v>0</v>
      </c>
      <c r="BS7" s="1501">
        <f t="shared" si="7"/>
        <v>0</v>
      </c>
      <c r="BT7" s="1501">
        <f t="shared" si="7"/>
        <v>0</v>
      </c>
      <c r="BU7" s="1547">
        <f>SUM(BK7:BT7)</f>
        <v>0</v>
      </c>
      <c r="BV7" s="1548">
        <f>BU7</f>
        <v>0</v>
      </c>
      <c r="BX7" s="1498">
        <v>45</v>
      </c>
      <c r="BY7" s="1505">
        <f>D7*R38*AK7</f>
        <v>0</v>
      </c>
      <c r="BZ7" s="1505">
        <f t="shared" ref="BZ7:CH7" si="8">E7*S38*AL7</f>
        <v>0</v>
      </c>
      <c r="CA7" s="1505">
        <f t="shared" si="8"/>
        <v>0</v>
      </c>
      <c r="CB7" s="1505">
        <f t="shared" si="8"/>
        <v>0</v>
      </c>
      <c r="CC7" s="1505">
        <f t="shared" si="8"/>
        <v>0</v>
      </c>
      <c r="CD7" s="1505">
        <f t="shared" si="8"/>
        <v>0</v>
      </c>
      <c r="CE7" s="1505">
        <f t="shared" si="8"/>
        <v>0</v>
      </c>
      <c r="CF7" s="1505">
        <f t="shared" si="8"/>
        <v>0</v>
      </c>
      <c r="CG7" s="1505">
        <f t="shared" si="8"/>
        <v>0</v>
      </c>
      <c r="CH7" s="1505">
        <f t="shared" si="8"/>
        <v>0</v>
      </c>
      <c r="CI7" s="1549">
        <f t="shared" ref="CI7:CI13" si="9">SUM(BY7:CH7)</f>
        <v>0</v>
      </c>
      <c r="CJ7" s="1550">
        <f>CI7</f>
        <v>0</v>
      </c>
    </row>
    <row r="8" spans="1:92" hidden="1" x14ac:dyDescent="0.3">
      <c r="B8" s="330"/>
      <c r="C8" s="1508">
        <v>55</v>
      </c>
      <c r="D8" s="1513">
        <f>'7.1 Dealer area'!C40</f>
        <v>0</v>
      </c>
      <c r="E8" s="1514">
        <f>'5.3 Running Parc - Dealer Area'!B9</f>
        <v>0</v>
      </c>
      <c r="F8" s="1514">
        <f>'5.3 Running Parc - Dealer Area'!C9</f>
        <v>0</v>
      </c>
      <c r="G8" s="1514">
        <f>'5.3 Running Parc - Dealer Area'!D9</f>
        <v>0</v>
      </c>
      <c r="H8" s="1514">
        <f>'5.3 Running Parc - Dealer Area'!E9</f>
        <v>0</v>
      </c>
      <c r="I8" s="1514">
        <f>'5.3 Running Parc - Dealer Area'!F9</f>
        <v>0</v>
      </c>
      <c r="J8" s="1514">
        <f>'5.3 Running Parc - Dealer Area'!G9</f>
        <v>0</v>
      </c>
      <c r="K8" s="1514">
        <f>'5.3 Running Parc - Dealer Area'!H9</f>
        <v>0</v>
      </c>
      <c r="L8" s="1514">
        <f>'5.3 Running Parc - Dealer Area'!I9</f>
        <v>0</v>
      </c>
      <c r="M8" s="1514">
        <f>'5.3 Running Parc - Dealer Area'!J9</f>
        <v>0</v>
      </c>
      <c r="N8" s="1543">
        <f t="shared" si="4"/>
        <v>0</v>
      </c>
      <c r="Q8" s="1480">
        <v>55</v>
      </c>
      <c r="R8" s="814">
        <f>(('DAF Parts CPV (short)'!E8)*((1-'5.1 DAF Vehicle Parc Input'!$H$56/(1-'Calculation (short)'!$O$1)))*(1+$E$1)*(1+$I$1))</f>
        <v>1154.987574533108</v>
      </c>
      <c r="S8" s="814">
        <f>(('DAF Parts CPV (short)'!F8)*((1-'5.1 DAF Vehicle Parc Input'!$H$56/(1-'Calculation (short)'!$O$1)))*(1+$E$1)*(1+$I$1))</f>
        <v>943.40339827020807</v>
      </c>
      <c r="T8" s="814">
        <f>(('DAF Parts CPV (short)'!G8)*((1-'5.1 DAF Vehicle Parc Input'!$H$56/(1-'Calculation (short)'!$O$1)))*(1+$E$1)*(1+$I$1))</f>
        <v>1462.9555913786942</v>
      </c>
      <c r="U8" s="814">
        <f>(('DAF Parts CPV (short)'!H8)*((1-'5.1 DAF Vehicle Parc Input'!$H$56/(1-'Calculation (short)'!$O$1)))*(1+$E$1)*(1+$I$1))</f>
        <v>1784.0420924630605</v>
      </c>
      <c r="V8" s="814">
        <f>(('DAF Parts CPV (short)'!I8)*((1-'5.1 DAF Vehicle Parc Input'!$H$56/(1-'Calculation (short)'!$O$1)))*(1+$E$1)*(1+$I$1))</f>
        <v>2075.602816273838</v>
      </c>
      <c r="W8" s="814">
        <f>(('DAF Parts CPV (short)'!J8)*((1-'5.1 DAF Vehicle Parc Input'!$H$56/(1-'Calculation (short)'!$O$1)))*(1+$E$1)*(1+$I$1))</f>
        <v>2320.6496346363851</v>
      </c>
      <c r="X8" s="814">
        <f>(('DAF Parts CPV (short)'!K8)*((1-'5.1 DAF Vehicle Parc Input'!$H$56/(1-'Calculation (short)'!$O$1)))*(1+$E$1)*(1+$I$1))</f>
        <v>2465.6902368011588</v>
      </c>
      <c r="Y8" s="814">
        <f>(('DAF Parts CPV (short)'!L8)*((1-'5.1 DAF Vehicle Parc Input'!$H$56/(1-'Calculation (short)'!$O$1)))*(1+$E$1)*(1+$I$1))</f>
        <v>2610.7308389659324</v>
      </c>
      <c r="Z8" s="814">
        <f>(('DAF Parts CPV (short)'!M8)*((1-'5.1 DAF Vehicle Parc Input'!$H$56/(1-'Calculation (short)'!$O$1)))*(1+$E$1)*(1+$I$1))</f>
        <v>2755.771441130707</v>
      </c>
      <c r="AA8" s="814">
        <f>(('DAF Parts CPV (short)'!N8)*((1-'5.1 DAF Vehicle Parc Input'!$H$56/(1-'Calculation (short)'!$O$1)))*(1+$E$1)*(1+$I$1))</f>
        <v>2900.8120432954811</v>
      </c>
      <c r="AB8" s="814">
        <f>(('DAF Parts CPV (short)'!O8)*((1-'5.1 DAF Vehicle Parc Input'!$H$56/(1-'Calculation (short)'!$O$1)))*(1+$E$1)*(1+$I$1))</f>
        <v>2784.7795615636619</v>
      </c>
      <c r="AC8" s="814">
        <f>(('DAF Parts CPV (short)'!P8)*((1-'5.1 DAF Vehicle Parc Input'!$H$56/(1-'Calculation (short)'!$O$1)))*(1+$E$1)*(1+$I$1))</f>
        <v>2668.7470798318423</v>
      </c>
      <c r="AD8" s="814">
        <f>(('DAF Parts CPV (short)'!Q8)*((1-'5.1 DAF Vehicle Parc Input'!$H$56/(1-'Calculation (short)'!$O$1)))*(1+$E$1)*(1+$I$1))</f>
        <v>2552.7145981000235</v>
      </c>
      <c r="AE8" s="814">
        <f>(('DAF Parts CPV (short)'!R8)*((1-'5.1 DAF Vehicle Parc Input'!$H$56/(1-'Calculation (short)'!$O$1)))*(1+$E$1)*(1+$I$1))</f>
        <v>2436.6821163682039</v>
      </c>
      <c r="AF8" s="814">
        <f>(('DAF Parts CPV (short)'!S8)*((1-'5.1 DAF Vehicle Parc Input'!$H$56/(1-'Calculation (short)'!$O$1)))*(1+$E$1)*(1+$I$1))</f>
        <v>2320.6496346363851</v>
      </c>
      <c r="AG8" s="815">
        <f t="shared" ref="AG8:AG13" si="10">AVERAGE(R8:AF8)</f>
        <v>2215.881243883246</v>
      </c>
      <c r="AH8" s="1486">
        <f t="shared" ref="AH8:AH13" si="11">AG8</f>
        <v>2215.881243883246</v>
      </c>
      <c r="AJ8" s="1837">
        <v>55</v>
      </c>
      <c r="AK8" s="1833">
        <f t="shared" ref="AK8:AK13" si="12">IF(AK$6&lt;=$E$2,1,0)</f>
        <v>1</v>
      </c>
      <c r="AL8" s="1833">
        <f t="shared" si="5"/>
        <v>1</v>
      </c>
      <c r="AM8" s="1833">
        <f t="shared" si="5"/>
        <v>1</v>
      </c>
      <c r="AN8" s="1833">
        <f t="shared" si="5"/>
        <v>1</v>
      </c>
      <c r="AO8" s="1833">
        <f t="shared" si="5"/>
        <v>1</v>
      </c>
      <c r="AP8" s="1833">
        <f t="shared" si="5"/>
        <v>1</v>
      </c>
      <c r="AQ8" s="1833">
        <f t="shared" si="5"/>
        <v>1</v>
      </c>
      <c r="AR8" s="1833">
        <f t="shared" si="5"/>
        <v>1</v>
      </c>
      <c r="AS8" s="1833">
        <f t="shared" si="5"/>
        <v>1</v>
      </c>
      <c r="AT8" s="1838">
        <f t="shared" si="5"/>
        <v>1</v>
      </c>
      <c r="AV8" s="1480">
        <v>55</v>
      </c>
      <c r="AW8" s="814">
        <f t="shared" ref="AW8:AW13" si="13">D8*R8*AK8</f>
        <v>0</v>
      </c>
      <c r="AX8" s="814">
        <f t="shared" ref="AX8:AX13" si="14">E8*S8*AL8</f>
        <v>0</v>
      </c>
      <c r="AY8" s="814">
        <f t="shared" ref="AY8:AY13" si="15">F8*T8*AM8</f>
        <v>0</v>
      </c>
      <c r="AZ8" s="814">
        <f t="shared" ref="AZ8:AZ13" si="16">G8*U8*AN8</f>
        <v>0</v>
      </c>
      <c r="BA8" s="814">
        <f t="shared" ref="BA8:BA13" si="17">H8*V8*AO8</f>
        <v>0</v>
      </c>
      <c r="BB8" s="814">
        <f t="shared" ref="BB8:BB13" si="18">I8*W8*AP8</f>
        <v>0</v>
      </c>
      <c r="BC8" s="814">
        <f t="shared" ref="BC8:BC13" si="19">J8*X8*AQ8</f>
        <v>0</v>
      </c>
      <c r="BD8" s="814">
        <f t="shared" ref="BD8:BD13" si="20">K8*Y8*AR8</f>
        <v>0</v>
      </c>
      <c r="BE8" s="814">
        <f t="shared" ref="BE8:BE13" si="21">L8*Z8*AS8</f>
        <v>0</v>
      </c>
      <c r="BF8" s="814">
        <f t="shared" ref="BF8:BF13" si="22">M8*AA8*AT8</f>
        <v>0</v>
      </c>
      <c r="BG8" s="1612">
        <f t="shared" ref="BG8:BG13" si="23">SUM(AW8:BF8)</f>
        <v>0</v>
      </c>
      <c r="BH8" s="1613">
        <f t="shared" ref="BH8:BH13" si="24">BG8</f>
        <v>0</v>
      </c>
      <c r="BJ8" s="1498">
        <v>55</v>
      </c>
      <c r="BK8" s="1501">
        <f t="shared" ref="BK8:BK13" si="25">R18*D8*AK8</f>
        <v>0</v>
      </c>
      <c r="BL8" s="1501">
        <f t="shared" ref="BL8:BL13" si="26">S18*E8*AL8</f>
        <v>0</v>
      </c>
      <c r="BM8" s="1501">
        <f t="shared" ref="BM8:BM13" si="27">T18*F8*AM8</f>
        <v>0</v>
      </c>
      <c r="BN8" s="1501">
        <f t="shared" ref="BN8:BN13" si="28">U18*G8*AN8</f>
        <v>0</v>
      </c>
      <c r="BO8" s="1501">
        <f t="shared" ref="BO8:BO13" si="29">V18*H8*AO8</f>
        <v>0</v>
      </c>
      <c r="BP8" s="1501">
        <f t="shared" ref="BP8:BP13" si="30">W18*I8*AP8</f>
        <v>0</v>
      </c>
      <c r="BQ8" s="1501">
        <f t="shared" ref="BQ8:BQ13" si="31">X18*J8*AQ8</f>
        <v>0</v>
      </c>
      <c r="BR8" s="1501">
        <f t="shared" ref="BR8:BR13" si="32">Y18*K8*AR8</f>
        <v>0</v>
      </c>
      <c r="BS8" s="1501">
        <f t="shared" ref="BS8:BS13" si="33">Z18*L8*AS8</f>
        <v>0</v>
      </c>
      <c r="BT8" s="1501">
        <f t="shared" ref="BT8:BT13" si="34">AA18*M8*AT8</f>
        <v>0</v>
      </c>
      <c r="BU8" s="1547">
        <f t="shared" ref="BU8:BU54" si="35">SUM(BK8:BT8)</f>
        <v>0</v>
      </c>
      <c r="BV8" s="1548">
        <f t="shared" ref="BV8:BV13" si="36">BU8</f>
        <v>0</v>
      </c>
      <c r="BX8" s="1498">
        <v>55</v>
      </c>
      <c r="BY8" s="1505">
        <f t="shared" ref="BY8:BY13" si="37">D8*R39*AK8</f>
        <v>0</v>
      </c>
      <c r="BZ8" s="1505">
        <f t="shared" ref="BZ8:BZ13" si="38">E8*S39*AL8</f>
        <v>0</v>
      </c>
      <c r="CA8" s="1505">
        <f t="shared" ref="CA8:CA13" si="39">F8*T39*AM8</f>
        <v>0</v>
      </c>
      <c r="CB8" s="1505">
        <f t="shared" ref="CB8:CB13" si="40">G8*U39*AN8</f>
        <v>0</v>
      </c>
      <c r="CC8" s="1505">
        <f t="shared" ref="CC8:CC13" si="41">H8*V39*AO8</f>
        <v>0</v>
      </c>
      <c r="CD8" s="1505">
        <f t="shared" ref="CD8:CD13" si="42">I8*W39*AP8</f>
        <v>0</v>
      </c>
      <c r="CE8" s="1505">
        <f t="shared" ref="CE8:CE13" si="43">J8*X39*AQ8</f>
        <v>0</v>
      </c>
      <c r="CF8" s="1505">
        <f t="shared" ref="CF8:CF13" si="44">K8*Y39*AR8</f>
        <v>0</v>
      </c>
      <c r="CG8" s="1505">
        <f t="shared" ref="CG8:CG13" si="45">L8*Z39*AS8</f>
        <v>0</v>
      </c>
      <c r="CH8" s="1505">
        <f t="shared" ref="CH8:CH13" si="46">M8*AA39*AT8</f>
        <v>0</v>
      </c>
      <c r="CI8" s="1549">
        <f t="shared" si="9"/>
        <v>0</v>
      </c>
      <c r="CJ8" s="1550">
        <f t="shared" ref="CJ8:CJ13" si="47">CI8</f>
        <v>0</v>
      </c>
    </row>
    <row r="9" spans="1:92" hidden="1" x14ac:dyDescent="0.3">
      <c r="B9" s="330"/>
      <c r="C9" s="1508">
        <v>65</v>
      </c>
      <c r="D9" s="1513">
        <f>'7.1 Dealer area'!C43</f>
        <v>0</v>
      </c>
      <c r="E9" s="1514">
        <f>'5.3 Running Parc - Dealer Area'!B10</f>
        <v>0</v>
      </c>
      <c r="F9" s="1514">
        <f>'5.3 Running Parc - Dealer Area'!C10</f>
        <v>0</v>
      </c>
      <c r="G9" s="1514">
        <f>'5.3 Running Parc - Dealer Area'!D10</f>
        <v>0</v>
      </c>
      <c r="H9" s="1514">
        <f>'5.3 Running Parc - Dealer Area'!E10</f>
        <v>0</v>
      </c>
      <c r="I9" s="1514">
        <f>'5.3 Running Parc - Dealer Area'!F10</f>
        <v>0</v>
      </c>
      <c r="J9" s="1514">
        <f>'5.3 Running Parc - Dealer Area'!G10</f>
        <v>0</v>
      </c>
      <c r="K9" s="1514">
        <f>'5.3 Running Parc - Dealer Area'!H10</f>
        <v>0</v>
      </c>
      <c r="L9" s="1514">
        <f>'5.3 Running Parc - Dealer Area'!I10</f>
        <v>0</v>
      </c>
      <c r="M9" s="1514">
        <f>'5.3 Running Parc - Dealer Area'!J10</f>
        <v>0</v>
      </c>
      <c r="N9" s="1543">
        <f t="shared" si="4"/>
        <v>0</v>
      </c>
      <c r="Q9" s="1480">
        <v>65</v>
      </c>
      <c r="R9" s="814">
        <f>(('DAF Parts CPV (short)'!E9)*((1-'5.1 DAF Vehicle Parc Input'!$H$56/(1-'Calculation (short)'!$O$1)))*(1+$E$1)*(1+$I$1))</f>
        <v>950.5139392134904</v>
      </c>
      <c r="S9" s="814">
        <f>(('DAF Parts CPV (short)'!F9)*((1-'5.1 DAF Vehicle Parc Input'!$H$56/(1-'Calculation (short)'!$O$1)))*(1+$E$1)*(1+$I$1))</f>
        <v>732.90680491220337</v>
      </c>
      <c r="T9" s="814">
        <f>(('DAF Parts CPV (short)'!G9)*((1-'5.1 DAF Vehicle Parc Input'!$H$56/(1-'Calculation (short)'!$O$1)))*(1+$E$1)*(1+$I$1))</f>
        <v>1278.4404216858436</v>
      </c>
      <c r="U9" s="814">
        <f>(('DAF Parts CPV (short)'!H9)*((1-'5.1 DAF Vehicle Parc Input'!$H$56/(1-'Calculation (short)'!$O$1)))*(1+$E$1)*(1+$I$1))</f>
        <v>1492.3500380461105</v>
      </c>
      <c r="V9" s="814">
        <f>(('DAF Parts CPV (short)'!I9)*((1-'5.1 DAF Vehicle Parc Input'!$H$56/(1-'Calculation (short)'!$O$1)))*(1+$E$1)*(1+$I$1))</f>
        <v>1593.6402524112737</v>
      </c>
      <c r="W9" s="814">
        <f>(('DAF Parts CPV (short)'!J9)*((1-'5.1 DAF Vehicle Parc Input'!$H$56/(1-'Calculation (short)'!$O$1)))*(1+$E$1)*(1+$I$1))</f>
        <v>1405.0474820159404</v>
      </c>
      <c r="X9" s="814">
        <f>(('DAF Parts CPV (short)'!K9)*((1-'5.1 DAF Vehicle Parc Input'!$H$56/(1-'Calculation (short)'!$O$1)))*(1+$E$1)*(1+$I$1))</f>
        <v>1492.8629496419367</v>
      </c>
      <c r="Y9" s="814">
        <f>(('DAF Parts CPV (short)'!L9)*((1-'5.1 DAF Vehicle Parc Input'!$H$56/(1-'Calculation (short)'!$O$1)))*(1+$E$1)*(1+$I$1))</f>
        <v>1580.6784172679329</v>
      </c>
      <c r="Z9" s="814">
        <f>(('DAF Parts CPV (short)'!M9)*((1-'5.1 DAF Vehicle Parc Input'!$H$56/(1-'Calculation (short)'!$O$1)))*(1+$E$1)*(1+$I$1))</f>
        <v>1668.4938848939291</v>
      </c>
      <c r="AA9" s="814">
        <f>(('DAF Parts CPV (short)'!N9)*((1-'5.1 DAF Vehicle Parc Input'!$H$56/(1-'Calculation (short)'!$O$1)))*(1+$E$1)*(1+$I$1))</f>
        <v>1756.3093525199256</v>
      </c>
      <c r="AB9" s="814">
        <f>(('DAF Parts CPV (short)'!O9)*((1-'5.1 DAF Vehicle Parc Input'!$H$56/(1-'Calculation (short)'!$O$1)))*(1+$E$1)*(1+$I$1))</f>
        <v>1686.0569784191284</v>
      </c>
      <c r="AC9" s="814">
        <f>(('DAF Parts CPV (short)'!P9)*((1-'5.1 DAF Vehicle Parc Input'!$H$56/(1-'Calculation (short)'!$O$1)))*(1+$E$1)*(1+$I$1))</f>
        <v>1615.8046043183313</v>
      </c>
      <c r="AD9" s="814">
        <f>(('DAF Parts CPV (short)'!Q9)*((1-'5.1 DAF Vehicle Parc Input'!$H$56/(1-'Calculation (short)'!$O$1)))*(1+$E$1)*(1+$I$1))</f>
        <v>1545.5522302175345</v>
      </c>
      <c r="AE9" s="814">
        <f>(('DAF Parts CPV (short)'!R9)*((1-'5.1 DAF Vehicle Parc Input'!$H$56/(1-'Calculation (short)'!$O$1)))*(1+$E$1)*(1+$I$1))</f>
        <v>1475.2998561167374</v>
      </c>
      <c r="AF9" s="814">
        <f>(('DAF Parts CPV (short)'!S9)*((1-'5.1 DAF Vehicle Parc Input'!$H$56/(1-'Calculation (short)'!$O$1)))*(1+$E$1)*(1+$I$1))</f>
        <v>1405.0474820159404</v>
      </c>
      <c r="AG9" s="815">
        <f t="shared" si="10"/>
        <v>1445.2669795797506</v>
      </c>
      <c r="AH9" s="1486">
        <f t="shared" si="11"/>
        <v>1445.2669795797506</v>
      </c>
      <c r="AJ9" s="1837">
        <v>65</v>
      </c>
      <c r="AK9" s="1833">
        <f t="shared" si="12"/>
        <v>1</v>
      </c>
      <c r="AL9" s="1833">
        <f t="shared" si="5"/>
        <v>1</v>
      </c>
      <c r="AM9" s="1833">
        <f t="shared" si="5"/>
        <v>1</v>
      </c>
      <c r="AN9" s="1833">
        <f t="shared" si="5"/>
        <v>1</v>
      </c>
      <c r="AO9" s="1833">
        <f t="shared" si="5"/>
        <v>1</v>
      </c>
      <c r="AP9" s="1833">
        <f t="shared" si="5"/>
        <v>1</v>
      </c>
      <c r="AQ9" s="1833">
        <f t="shared" si="5"/>
        <v>1</v>
      </c>
      <c r="AR9" s="1833">
        <f t="shared" si="5"/>
        <v>1</v>
      </c>
      <c r="AS9" s="1833">
        <f t="shared" si="5"/>
        <v>1</v>
      </c>
      <c r="AT9" s="1838">
        <f t="shared" si="5"/>
        <v>1</v>
      </c>
      <c r="AV9" s="1480">
        <v>65</v>
      </c>
      <c r="AW9" s="814">
        <f t="shared" si="13"/>
        <v>0</v>
      </c>
      <c r="AX9" s="814">
        <f t="shared" si="14"/>
        <v>0</v>
      </c>
      <c r="AY9" s="814">
        <f t="shared" si="15"/>
        <v>0</v>
      </c>
      <c r="AZ9" s="814">
        <f t="shared" si="16"/>
        <v>0</v>
      </c>
      <c r="BA9" s="814">
        <f t="shared" si="17"/>
        <v>0</v>
      </c>
      <c r="BB9" s="814">
        <f t="shared" si="18"/>
        <v>0</v>
      </c>
      <c r="BC9" s="814">
        <f t="shared" si="19"/>
        <v>0</v>
      </c>
      <c r="BD9" s="814">
        <f t="shared" si="20"/>
        <v>0</v>
      </c>
      <c r="BE9" s="814">
        <f t="shared" si="21"/>
        <v>0</v>
      </c>
      <c r="BF9" s="814">
        <f t="shared" si="22"/>
        <v>0</v>
      </c>
      <c r="BG9" s="1612">
        <f t="shared" si="23"/>
        <v>0</v>
      </c>
      <c r="BH9" s="1613">
        <f t="shared" si="24"/>
        <v>0</v>
      </c>
      <c r="BJ9" s="1498">
        <v>65</v>
      </c>
      <c r="BK9" s="1501">
        <f t="shared" si="25"/>
        <v>0</v>
      </c>
      <c r="BL9" s="1501">
        <f t="shared" si="26"/>
        <v>0</v>
      </c>
      <c r="BM9" s="1501">
        <f t="shared" si="27"/>
        <v>0</v>
      </c>
      <c r="BN9" s="1501">
        <f t="shared" si="28"/>
        <v>0</v>
      </c>
      <c r="BO9" s="1501">
        <f t="shared" si="29"/>
        <v>0</v>
      </c>
      <c r="BP9" s="1501">
        <f t="shared" si="30"/>
        <v>0</v>
      </c>
      <c r="BQ9" s="1501">
        <f t="shared" si="31"/>
        <v>0</v>
      </c>
      <c r="BR9" s="1501">
        <f t="shared" si="32"/>
        <v>0</v>
      </c>
      <c r="BS9" s="1501">
        <f t="shared" si="33"/>
        <v>0</v>
      </c>
      <c r="BT9" s="1501">
        <f t="shared" si="34"/>
        <v>0</v>
      </c>
      <c r="BU9" s="1547">
        <f t="shared" si="35"/>
        <v>0</v>
      </c>
      <c r="BV9" s="1548">
        <f t="shared" si="36"/>
        <v>0</v>
      </c>
      <c r="BX9" s="1498">
        <v>65</v>
      </c>
      <c r="BY9" s="1505">
        <f t="shared" si="37"/>
        <v>0</v>
      </c>
      <c r="BZ9" s="1505">
        <f t="shared" si="38"/>
        <v>0</v>
      </c>
      <c r="CA9" s="1505">
        <f t="shared" si="39"/>
        <v>0</v>
      </c>
      <c r="CB9" s="1505">
        <f t="shared" si="40"/>
        <v>0</v>
      </c>
      <c r="CC9" s="1505">
        <f t="shared" si="41"/>
        <v>0</v>
      </c>
      <c r="CD9" s="1505">
        <f t="shared" si="42"/>
        <v>0</v>
      </c>
      <c r="CE9" s="1505">
        <f t="shared" si="43"/>
        <v>0</v>
      </c>
      <c r="CF9" s="1505">
        <f t="shared" si="44"/>
        <v>0</v>
      </c>
      <c r="CG9" s="1505">
        <f t="shared" si="45"/>
        <v>0</v>
      </c>
      <c r="CH9" s="1505">
        <f t="shared" si="46"/>
        <v>0</v>
      </c>
      <c r="CI9" s="1549">
        <f t="shared" si="9"/>
        <v>0</v>
      </c>
      <c r="CJ9" s="1550">
        <f t="shared" si="47"/>
        <v>0</v>
      </c>
    </row>
    <row r="10" spans="1:92" hidden="1" x14ac:dyDescent="0.3">
      <c r="B10" s="330"/>
      <c r="C10" s="1508">
        <v>75</v>
      </c>
      <c r="D10" s="1513">
        <f>'7.1 Dealer area'!C44</f>
        <v>0</v>
      </c>
      <c r="E10" s="1514">
        <f>'5.3 Running Parc - Dealer Area'!B11</f>
        <v>0</v>
      </c>
      <c r="F10" s="1514">
        <f>'5.3 Running Parc - Dealer Area'!C11</f>
        <v>0</v>
      </c>
      <c r="G10" s="1514">
        <f>'5.3 Running Parc - Dealer Area'!D11</f>
        <v>0</v>
      </c>
      <c r="H10" s="1514">
        <f>'5.3 Running Parc - Dealer Area'!E11</f>
        <v>0</v>
      </c>
      <c r="I10" s="1514">
        <f>'5.3 Running Parc - Dealer Area'!F11</f>
        <v>0</v>
      </c>
      <c r="J10" s="1514">
        <f>'5.3 Running Parc - Dealer Area'!G11</f>
        <v>0</v>
      </c>
      <c r="K10" s="1514">
        <f>'5.3 Running Parc - Dealer Area'!H11</f>
        <v>0</v>
      </c>
      <c r="L10" s="1514">
        <f>'5.3 Running Parc - Dealer Area'!I11</f>
        <v>0</v>
      </c>
      <c r="M10" s="1514">
        <f>'5.3 Running Parc - Dealer Area'!J11</f>
        <v>0</v>
      </c>
      <c r="N10" s="1543">
        <f t="shared" si="4"/>
        <v>0</v>
      </c>
      <c r="Q10" s="1480">
        <v>75</v>
      </c>
      <c r="R10" s="814">
        <f>(('DAF Parts CPV (short)'!E10)*((1-'5.1 DAF Vehicle Parc Input'!$H$56/(1-'Calculation (short)'!$O$1)))*(1+$E$1)*(1+$I$1))</f>
        <v>1101.7313747015485</v>
      </c>
      <c r="S10" s="814">
        <f>(('DAF Parts CPV (short)'!F10)*((1-'5.1 DAF Vehicle Parc Input'!$H$56/(1-'Calculation (short)'!$O$1)))*(1+$E$1)*(1+$I$1))</f>
        <v>790.24261546820378</v>
      </c>
      <c r="T10" s="814">
        <f>(('DAF Parts CPV (short)'!G10)*((1-'5.1 DAF Vehicle Parc Input'!$H$56/(1-'Calculation (short)'!$O$1)))*(1+$E$1)*(1+$I$1))</f>
        <v>1530.9724978797376</v>
      </c>
      <c r="U10" s="814">
        <f>(('DAF Parts CPV (short)'!H10)*((1-'5.1 DAF Vehicle Parc Input'!$H$56/(1-'Calculation (short)'!$O$1)))*(1+$E$1)*(1+$I$1))</f>
        <v>1819.8658383143165</v>
      </c>
      <c r="V10" s="814">
        <f>(('DAF Parts CPV (short)'!I10)*((1-'5.1 DAF Vehicle Parc Input'!$H$56/(1-'Calculation (short)'!$O$1)))*(1+$E$1)*(1+$I$1))</f>
        <v>2183.7222681134531</v>
      </c>
      <c r="W10" s="814">
        <f>(('DAF Parts CPV (short)'!J10)*((1-'5.1 DAF Vehicle Parc Input'!$H$56/(1-'Calculation (short)'!$O$1)))*(1+$E$1)*(1+$I$1))</f>
        <v>1907.0447554160296</v>
      </c>
      <c r="X10" s="814">
        <f>(('DAF Parts CPV (short)'!K10)*((1-'5.1 DAF Vehicle Parc Input'!$H$56/(1-'Calculation (short)'!$O$1)))*(1+$E$1)*(1+$I$1))</f>
        <v>2026.2350526295313</v>
      </c>
      <c r="Y10" s="814">
        <f>(('DAF Parts CPV (short)'!L10)*((1-'5.1 DAF Vehicle Parc Input'!$H$56/(1-'Calculation (short)'!$O$1)))*(1+$E$1)*(1+$I$1))</f>
        <v>2145.4253498430335</v>
      </c>
      <c r="Z10" s="814">
        <f>(('DAF Parts CPV (short)'!M10)*((1-'5.1 DAF Vehicle Parc Input'!$H$56/(1-'Calculation (short)'!$O$1)))*(1+$E$1)*(1+$I$1))</f>
        <v>2264.6156470565352</v>
      </c>
      <c r="AA10" s="814">
        <f>(('DAF Parts CPV (short)'!N10)*((1-'5.1 DAF Vehicle Parc Input'!$H$56/(1-'Calculation (short)'!$O$1)))*(1+$E$1)*(1+$I$1))</f>
        <v>2383.8059442700364</v>
      </c>
      <c r="AB10" s="814">
        <f>(('DAF Parts CPV (short)'!O10)*((1-'5.1 DAF Vehicle Parc Input'!$H$56/(1-'Calculation (short)'!$O$1)))*(1+$E$1)*(1+$I$1))</f>
        <v>2288.4537064992351</v>
      </c>
      <c r="AC10" s="814">
        <f>(('DAF Parts CPV (short)'!P10)*((1-'5.1 DAF Vehicle Parc Input'!$H$56/(1-'Calculation (short)'!$O$1)))*(1+$E$1)*(1+$I$1))</f>
        <v>2193.1014687284337</v>
      </c>
      <c r="AD10" s="814">
        <f>(('DAF Parts CPV (short)'!Q10)*((1-'5.1 DAF Vehicle Parc Input'!$H$56/(1-'Calculation (short)'!$O$1)))*(1+$E$1)*(1+$I$1))</f>
        <v>2097.7492309576328</v>
      </c>
      <c r="AE10" s="814">
        <f>(('DAF Parts CPV (short)'!R10)*((1-'5.1 DAF Vehicle Parc Input'!$H$56/(1-'Calculation (short)'!$O$1)))*(1+$E$1)*(1+$I$1))</f>
        <v>2002.3969931868312</v>
      </c>
      <c r="AF10" s="814">
        <f>(('DAF Parts CPV (short)'!S10)*((1-'5.1 DAF Vehicle Parc Input'!$H$56/(1-'Calculation (short)'!$O$1)))*(1+$E$1)*(1+$I$1))</f>
        <v>1907.0447554160296</v>
      </c>
      <c r="AG10" s="815">
        <f t="shared" si="10"/>
        <v>1909.4938332320394</v>
      </c>
      <c r="AH10" s="1486">
        <f t="shared" si="11"/>
        <v>1909.4938332320394</v>
      </c>
      <c r="AJ10" s="1837">
        <v>75</v>
      </c>
      <c r="AK10" s="1833">
        <f t="shared" si="12"/>
        <v>1</v>
      </c>
      <c r="AL10" s="1833">
        <f t="shared" si="5"/>
        <v>1</v>
      </c>
      <c r="AM10" s="1833">
        <f t="shared" si="5"/>
        <v>1</v>
      </c>
      <c r="AN10" s="1833">
        <f t="shared" si="5"/>
        <v>1</v>
      </c>
      <c r="AO10" s="1833">
        <f t="shared" si="5"/>
        <v>1</v>
      </c>
      <c r="AP10" s="1833">
        <f t="shared" si="5"/>
        <v>1</v>
      </c>
      <c r="AQ10" s="1833">
        <f t="shared" si="5"/>
        <v>1</v>
      </c>
      <c r="AR10" s="1833">
        <f t="shared" si="5"/>
        <v>1</v>
      </c>
      <c r="AS10" s="1833">
        <f t="shared" si="5"/>
        <v>1</v>
      </c>
      <c r="AT10" s="1838">
        <f t="shared" si="5"/>
        <v>1</v>
      </c>
      <c r="AV10" s="1480">
        <v>75</v>
      </c>
      <c r="AW10" s="814">
        <f t="shared" si="13"/>
        <v>0</v>
      </c>
      <c r="AX10" s="814">
        <f t="shared" si="14"/>
        <v>0</v>
      </c>
      <c r="AY10" s="814">
        <f t="shared" si="15"/>
        <v>0</v>
      </c>
      <c r="AZ10" s="814">
        <f t="shared" si="16"/>
        <v>0</v>
      </c>
      <c r="BA10" s="814">
        <f t="shared" si="17"/>
        <v>0</v>
      </c>
      <c r="BB10" s="814">
        <f t="shared" si="18"/>
        <v>0</v>
      </c>
      <c r="BC10" s="814">
        <f t="shared" si="19"/>
        <v>0</v>
      </c>
      <c r="BD10" s="814">
        <f t="shared" si="20"/>
        <v>0</v>
      </c>
      <c r="BE10" s="814">
        <f t="shared" si="21"/>
        <v>0</v>
      </c>
      <c r="BF10" s="814">
        <f t="shared" si="22"/>
        <v>0</v>
      </c>
      <c r="BG10" s="1612">
        <f t="shared" si="23"/>
        <v>0</v>
      </c>
      <c r="BH10" s="1613">
        <f t="shared" si="24"/>
        <v>0</v>
      </c>
      <c r="BJ10" s="1498">
        <v>75</v>
      </c>
      <c r="BK10" s="1501">
        <f t="shared" si="25"/>
        <v>0</v>
      </c>
      <c r="BL10" s="1501">
        <f t="shared" si="26"/>
        <v>0</v>
      </c>
      <c r="BM10" s="1501">
        <f t="shared" si="27"/>
        <v>0</v>
      </c>
      <c r="BN10" s="1501">
        <f t="shared" si="28"/>
        <v>0</v>
      </c>
      <c r="BO10" s="1501">
        <f t="shared" si="29"/>
        <v>0</v>
      </c>
      <c r="BP10" s="1501">
        <f t="shared" si="30"/>
        <v>0</v>
      </c>
      <c r="BQ10" s="1501">
        <f t="shared" si="31"/>
        <v>0</v>
      </c>
      <c r="BR10" s="1501">
        <f t="shared" si="32"/>
        <v>0</v>
      </c>
      <c r="BS10" s="1501">
        <f t="shared" si="33"/>
        <v>0</v>
      </c>
      <c r="BT10" s="1501">
        <f t="shared" si="34"/>
        <v>0</v>
      </c>
      <c r="BU10" s="1547">
        <f t="shared" si="35"/>
        <v>0</v>
      </c>
      <c r="BV10" s="1548">
        <f t="shared" si="36"/>
        <v>0</v>
      </c>
      <c r="BX10" s="1498">
        <v>75</v>
      </c>
      <c r="BY10" s="1505">
        <f t="shared" si="37"/>
        <v>0</v>
      </c>
      <c r="BZ10" s="1505">
        <f t="shared" si="38"/>
        <v>0</v>
      </c>
      <c r="CA10" s="1505">
        <f t="shared" si="39"/>
        <v>0</v>
      </c>
      <c r="CB10" s="1505">
        <f t="shared" si="40"/>
        <v>0</v>
      </c>
      <c r="CC10" s="1505">
        <f t="shared" si="41"/>
        <v>0</v>
      </c>
      <c r="CD10" s="1505">
        <f t="shared" si="42"/>
        <v>0</v>
      </c>
      <c r="CE10" s="1505">
        <f t="shared" si="43"/>
        <v>0</v>
      </c>
      <c r="CF10" s="1505">
        <f t="shared" si="44"/>
        <v>0</v>
      </c>
      <c r="CG10" s="1505">
        <f t="shared" si="45"/>
        <v>0</v>
      </c>
      <c r="CH10" s="1505">
        <f t="shared" si="46"/>
        <v>0</v>
      </c>
      <c r="CI10" s="1549">
        <f t="shared" si="9"/>
        <v>0</v>
      </c>
      <c r="CJ10" s="1550">
        <f t="shared" si="47"/>
        <v>0</v>
      </c>
    </row>
    <row r="11" spans="1:92" hidden="1" x14ac:dyDescent="0.3">
      <c r="B11" s="330"/>
      <c r="C11" s="1508">
        <v>85</v>
      </c>
      <c r="D11" s="1513">
        <f>'7.1 Dealer area'!C45</f>
        <v>29</v>
      </c>
      <c r="E11" s="1514">
        <f>'5.3 Running Parc - Dealer Area'!B12</f>
        <v>17</v>
      </c>
      <c r="F11" s="1514">
        <f>'5.3 Running Parc - Dealer Area'!C12</f>
        <v>19</v>
      </c>
      <c r="G11" s="1514">
        <f>'5.3 Running Parc - Dealer Area'!D12</f>
        <v>22</v>
      </c>
      <c r="H11" s="1514">
        <f>'5.3 Running Parc - Dealer Area'!E12</f>
        <v>20</v>
      </c>
      <c r="I11" s="1514">
        <f>'5.3 Running Parc - Dealer Area'!F12</f>
        <v>10</v>
      </c>
      <c r="J11" s="1514">
        <f>'5.3 Running Parc - Dealer Area'!G12</f>
        <v>15</v>
      </c>
      <c r="K11" s="1514">
        <f>'5.3 Running Parc - Dealer Area'!H12</f>
        <v>10</v>
      </c>
      <c r="L11" s="1514">
        <f>'5.3 Running Parc - Dealer Area'!I12</f>
        <v>15</v>
      </c>
      <c r="M11" s="1514">
        <f>'5.3 Running Parc - Dealer Area'!J12</f>
        <v>10</v>
      </c>
      <c r="N11" s="1543">
        <f t="shared" si="4"/>
        <v>167</v>
      </c>
      <c r="Q11" s="1480">
        <v>85</v>
      </c>
      <c r="R11" s="814">
        <f>(('DAF Parts CPV (short)'!E11)*((1-'5.1 DAF Vehicle Parc Input'!$H$56/(1-'Calculation (short)'!$O$1)))*(1+$E$1)*(1+$I$1))</f>
        <v>1232.4504470336458</v>
      </c>
      <c r="S11" s="814">
        <f>(('DAF Parts CPV (short)'!F11)*((1-'5.1 DAF Vehicle Parc Input'!$H$56/(1-'Calculation (short)'!$O$1)))*(1+$E$1)*(1+$I$1))</f>
        <v>1090.2268122729374</v>
      </c>
      <c r="T11" s="814">
        <f>(('DAF Parts CPV (short)'!G11)*((1-'5.1 DAF Vehicle Parc Input'!$H$56/(1-'Calculation (short)'!$O$1)))*(1+$E$1)*(1+$I$1))</f>
        <v>1856.9589113754378</v>
      </c>
      <c r="U11" s="814">
        <f>(('DAF Parts CPV (short)'!H11)*((1-'5.1 DAF Vehicle Parc Input'!$H$56/(1-'Calculation (short)'!$O$1)))*(1+$E$1)*(1+$I$1))</f>
        <v>2254.2585002792557</v>
      </c>
      <c r="V11" s="814">
        <f>(('DAF Parts CPV (short)'!I11)*((1-'5.1 DAF Vehicle Parc Input'!$H$56/(1-'Calculation (short)'!$O$1)))*(1+$E$1)*(1+$I$1))</f>
        <v>2573.1237690424286</v>
      </c>
      <c r="W11" s="814">
        <f>(('DAF Parts CPV (short)'!J11)*((1-'5.1 DAF Vehicle Parc Input'!$H$56/(1-'Calculation (short)'!$O$1)))*(1+$E$1)*(1+$I$1))</f>
        <v>2621.7198977184094</v>
      </c>
      <c r="X11" s="814">
        <f>(('DAF Parts CPV (short)'!K11)*((1-'5.1 DAF Vehicle Parc Input'!$H$56/(1-'Calculation (short)'!$O$1)))*(1+$E$1)*(1+$I$1))</f>
        <v>2785.5773913258099</v>
      </c>
      <c r="Y11" s="814">
        <f>(('DAF Parts CPV (short)'!L11)*((1-'5.1 DAF Vehicle Parc Input'!$H$56/(1-'Calculation (short)'!$O$1)))*(1+$E$1)*(1+$I$1))</f>
        <v>2949.4348849332109</v>
      </c>
      <c r="Z11" s="814">
        <f>(('DAF Parts CPV (short)'!M11)*((1-'5.1 DAF Vehicle Parc Input'!$H$56/(1-'Calculation (short)'!$O$1)))*(1+$E$1)*(1+$I$1))</f>
        <v>3113.2923785406115</v>
      </c>
      <c r="AA11" s="814">
        <f>(('DAF Parts CPV (short)'!N11)*((1-'5.1 DAF Vehicle Parc Input'!$H$56/(1-'Calculation (short)'!$O$1)))*(1+$E$1)*(1+$I$1))</f>
        <v>3277.1498721480125</v>
      </c>
      <c r="AB11" s="814">
        <f>(('DAF Parts CPV (short)'!O11)*((1-'5.1 DAF Vehicle Parc Input'!$H$56/(1-'Calculation (short)'!$O$1)))*(1+$E$1)*(1+$I$1))</f>
        <v>3146.0638772620919</v>
      </c>
      <c r="AC11" s="814">
        <f>(('DAF Parts CPV (short)'!P11)*((1-'5.1 DAF Vehicle Parc Input'!$H$56/(1-'Calculation (short)'!$O$1)))*(1+$E$1)*(1+$I$1))</f>
        <v>3014.9778823761712</v>
      </c>
      <c r="AD11" s="814">
        <f>(('DAF Parts CPV (short)'!Q11)*((1-'5.1 DAF Vehicle Parc Input'!$H$56/(1-'Calculation (short)'!$O$1)))*(1+$E$1)*(1+$I$1))</f>
        <v>2883.8918874902511</v>
      </c>
      <c r="AE11" s="814">
        <f>(('DAF Parts CPV (short)'!R11)*((1-'5.1 DAF Vehicle Parc Input'!$H$56/(1-'Calculation (short)'!$O$1)))*(1+$E$1)*(1+$I$1))</f>
        <v>2752.80589260433</v>
      </c>
      <c r="AF11" s="814">
        <f>(('DAF Parts CPV (short)'!S11)*((1-'5.1 DAF Vehicle Parc Input'!$H$56/(1-'Calculation (short)'!$O$1)))*(1+$E$1)*(1+$I$1))</f>
        <v>2621.7198977184094</v>
      </c>
      <c r="AG11" s="815">
        <f t="shared" si="10"/>
        <v>2544.9101534747342</v>
      </c>
      <c r="AH11" s="1486">
        <f t="shared" si="11"/>
        <v>2544.9101534747342</v>
      </c>
      <c r="AJ11" s="1837">
        <v>85</v>
      </c>
      <c r="AK11" s="1833">
        <f t="shared" si="12"/>
        <v>1</v>
      </c>
      <c r="AL11" s="1833">
        <f t="shared" si="5"/>
        <v>1</v>
      </c>
      <c r="AM11" s="1833">
        <f t="shared" si="5"/>
        <v>1</v>
      </c>
      <c r="AN11" s="1833">
        <f t="shared" si="5"/>
        <v>1</v>
      </c>
      <c r="AO11" s="1833">
        <f t="shared" si="5"/>
        <v>1</v>
      </c>
      <c r="AP11" s="1833">
        <f t="shared" si="5"/>
        <v>1</v>
      </c>
      <c r="AQ11" s="1833">
        <f t="shared" si="5"/>
        <v>1</v>
      </c>
      <c r="AR11" s="1833">
        <f t="shared" si="5"/>
        <v>1</v>
      </c>
      <c r="AS11" s="1833">
        <f t="shared" si="5"/>
        <v>1</v>
      </c>
      <c r="AT11" s="1838">
        <f t="shared" si="5"/>
        <v>1</v>
      </c>
      <c r="AV11" s="1480">
        <v>85</v>
      </c>
      <c r="AW11" s="814">
        <f t="shared" si="13"/>
        <v>35741.062963975724</v>
      </c>
      <c r="AX11" s="814">
        <f t="shared" si="14"/>
        <v>18533.855808639935</v>
      </c>
      <c r="AY11" s="814">
        <f t="shared" si="15"/>
        <v>35282.21931613332</v>
      </c>
      <c r="AZ11" s="814">
        <f t="shared" si="16"/>
        <v>49593.687006143628</v>
      </c>
      <c r="BA11" s="814">
        <f t="shared" si="17"/>
        <v>51462.475380848569</v>
      </c>
      <c r="BB11" s="814">
        <f t="shared" si="18"/>
        <v>26217.198977184093</v>
      </c>
      <c r="BC11" s="814">
        <f t="shared" si="19"/>
        <v>41783.66086988715</v>
      </c>
      <c r="BD11" s="814">
        <f t="shared" si="20"/>
        <v>29494.348849332109</v>
      </c>
      <c r="BE11" s="814">
        <f t="shared" si="21"/>
        <v>46699.385678109174</v>
      </c>
      <c r="BF11" s="814">
        <f t="shared" si="22"/>
        <v>32771.498721480122</v>
      </c>
      <c r="BG11" s="1612">
        <f t="shared" si="23"/>
        <v>367579.3935717339</v>
      </c>
      <c r="BH11" s="1613">
        <f t="shared" si="24"/>
        <v>367579.3935717339</v>
      </c>
      <c r="BJ11" s="1498">
        <v>85</v>
      </c>
      <c r="BK11" s="1501">
        <f t="shared" si="25"/>
        <v>508.76199972305051</v>
      </c>
      <c r="BL11" s="1501">
        <f t="shared" si="26"/>
        <v>375.98224283370035</v>
      </c>
      <c r="BM11" s="1501">
        <f t="shared" si="27"/>
        <v>501.73337812819665</v>
      </c>
      <c r="BN11" s="1501">
        <f t="shared" si="28"/>
        <v>595.54219607545019</v>
      </c>
      <c r="BO11" s="1501">
        <f t="shared" si="29"/>
        <v>625.08771679022675</v>
      </c>
      <c r="BP11" s="1501">
        <f t="shared" si="30"/>
        <v>342.39034380845334</v>
      </c>
      <c r="BQ11" s="1501">
        <f t="shared" si="31"/>
        <v>545.68461044472247</v>
      </c>
      <c r="BR11" s="1501">
        <f t="shared" si="32"/>
        <v>385.18913678450997</v>
      </c>
      <c r="BS11" s="1501">
        <f t="shared" si="33"/>
        <v>609.88279990880756</v>
      </c>
      <c r="BT11" s="1501">
        <f t="shared" si="34"/>
        <v>427.9879297605666</v>
      </c>
      <c r="BU11" s="1547">
        <f t="shared" si="35"/>
        <v>4918.2423542576844</v>
      </c>
      <c r="BV11" s="1548">
        <f t="shared" si="36"/>
        <v>4918.2423542576844</v>
      </c>
      <c r="BX11" s="1498">
        <v>85</v>
      </c>
      <c r="BY11" s="1505">
        <f t="shared" si="37"/>
        <v>10093.982684210527</v>
      </c>
      <c r="BZ11" s="1505">
        <f t="shared" si="38"/>
        <v>5788.8999473684216</v>
      </c>
      <c r="CA11" s="1505">
        <f t="shared" si="39"/>
        <v>5539.4955000000009</v>
      </c>
      <c r="CB11" s="1505">
        <f t="shared" si="40"/>
        <v>5329.5660000000007</v>
      </c>
      <c r="CC11" s="1505">
        <f t="shared" si="41"/>
        <v>5034.1500000000005</v>
      </c>
      <c r="CD11" s="1505">
        <f t="shared" si="42"/>
        <v>2827.9610526315792</v>
      </c>
      <c r="CE11" s="1505">
        <f t="shared" si="43"/>
        <v>4507.0629276315794</v>
      </c>
      <c r="CF11" s="1505">
        <f t="shared" si="44"/>
        <v>3181.4561842105263</v>
      </c>
      <c r="CG11" s="1505">
        <f t="shared" si="45"/>
        <v>5037.305625</v>
      </c>
      <c r="CH11" s="1505">
        <f t="shared" si="46"/>
        <v>3534.9513157894739</v>
      </c>
      <c r="CI11" s="1549">
        <f t="shared" si="9"/>
        <v>50874.831236842118</v>
      </c>
      <c r="CJ11" s="1550">
        <f t="shared" si="47"/>
        <v>50874.831236842118</v>
      </c>
    </row>
    <row r="12" spans="1:92" hidden="1" x14ac:dyDescent="0.3">
      <c r="B12" s="330"/>
      <c r="C12" s="1508">
        <v>95</v>
      </c>
      <c r="D12" s="1513">
        <f>0</f>
        <v>0</v>
      </c>
      <c r="E12" s="1514">
        <f>'5.3 Running Parc - Dealer Area'!B13</f>
        <v>0</v>
      </c>
      <c r="F12" s="1514">
        <f>'5.3 Running Parc - Dealer Area'!C13</f>
        <v>0</v>
      </c>
      <c r="G12" s="1514">
        <f>'5.3 Running Parc - Dealer Area'!D13</f>
        <v>0</v>
      </c>
      <c r="H12" s="1514">
        <f>'5.3 Running Parc - Dealer Area'!E13</f>
        <v>0</v>
      </c>
      <c r="I12" s="1514">
        <f>'5.3 Running Parc - Dealer Area'!F13</f>
        <v>0</v>
      </c>
      <c r="J12" s="1514">
        <f>'5.3 Running Parc - Dealer Area'!G13</f>
        <v>0</v>
      </c>
      <c r="K12" s="1514">
        <f>'5.3 Running Parc - Dealer Area'!H13</f>
        <v>0</v>
      </c>
      <c r="L12" s="1514">
        <f>'5.3 Running Parc - Dealer Area'!I13</f>
        <v>0</v>
      </c>
      <c r="M12" s="1514">
        <f>'5.3 Running Parc - Dealer Area'!J13</f>
        <v>0</v>
      </c>
      <c r="N12" s="1543">
        <f t="shared" si="4"/>
        <v>0</v>
      </c>
      <c r="Q12" s="1480">
        <v>95</v>
      </c>
      <c r="R12" s="814">
        <f>(('DAF Parts CPV (short)'!E12)*((1-'5.1 DAF Vehicle Parc Input'!$H$56/(1-'Calculation (short)'!$O$1)))*(1+$E$1)*(1+$I$1))</f>
        <v>1219.4528791815151</v>
      </c>
      <c r="S12" s="814">
        <f>(('DAF Parts CPV (short)'!F12)*((1-'5.1 DAF Vehicle Parc Input'!$H$56/(1-'Calculation (short)'!$O$1)))*(1+$E$1)*(1+$I$1))</f>
        <v>1098.532260201868</v>
      </c>
      <c r="T12" s="814">
        <f>(('DAF Parts CPV (short)'!G12)*((1-'5.1 DAF Vehicle Parc Input'!$H$56/(1-'Calculation (short)'!$O$1)))*(1+$E$1)*(1+$I$1))</f>
        <v>1875.0508823387004</v>
      </c>
      <c r="U12" s="814">
        <f>(('DAF Parts CPV (short)'!H12)*((1-'5.1 DAF Vehicle Parc Input'!$H$56/(1-'Calculation (short)'!$O$1)))*(1+$E$1)*(1+$I$1))</f>
        <v>2228.7329497164069</v>
      </c>
      <c r="V12" s="814">
        <f>(('DAF Parts CPV (short)'!I12)*((1-'5.1 DAF Vehicle Parc Input'!$H$56/(1-'Calculation (short)'!$O$1)))*(1+$E$1)*(1+$I$1))</f>
        <v>2168.0010168583362</v>
      </c>
      <c r="W12" s="814">
        <f>(('DAF Parts CPV (short)'!J12)*((1-'5.1 DAF Vehicle Parc Input'!$H$56/(1-'Calculation (short)'!$O$1)))*(1+$E$1)*(1+$I$1))</f>
        <v>2045.7870434553229</v>
      </c>
      <c r="X12" s="814">
        <f>(('DAF Parts CPV (short)'!K12)*((1-'5.1 DAF Vehicle Parc Input'!$H$56/(1-'Calculation (short)'!$O$1)))*(1+$E$1)*(1+$I$1))</f>
        <v>2173.6487336712803</v>
      </c>
      <c r="Y12" s="814">
        <f>(('DAF Parts CPV (short)'!L12)*((1-'5.1 DAF Vehicle Parc Input'!$H$56/(1-'Calculation (short)'!$O$1)))*(1+$E$1)*(1+$I$1))</f>
        <v>2301.5104238872382</v>
      </c>
      <c r="Z12" s="814">
        <f>(('DAF Parts CPV (short)'!M12)*((1-'5.1 DAF Vehicle Parc Input'!$H$56/(1-'Calculation (short)'!$O$1)))*(1+$E$1)*(1+$I$1))</f>
        <v>2429.3721141031961</v>
      </c>
      <c r="AA12" s="814">
        <f>(('DAF Parts CPV (short)'!N12)*((1-'5.1 DAF Vehicle Parc Input'!$H$56/(1-'Calculation (short)'!$O$1)))*(1+$E$1)*(1+$I$1))</f>
        <v>2557.2338043191535</v>
      </c>
      <c r="AB12" s="814">
        <f>(('DAF Parts CPV (short)'!O12)*((1-'5.1 DAF Vehicle Parc Input'!$H$56/(1-'Calculation (short)'!$O$1)))*(1+$E$1)*(1+$I$1))</f>
        <v>2454.944452146387</v>
      </c>
      <c r="AC12" s="814">
        <f>(('DAF Parts CPV (short)'!P12)*((1-'5.1 DAF Vehicle Parc Input'!$H$56/(1-'Calculation (short)'!$O$1)))*(1+$E$1)*(1+$I$1))</f>
        <v>2352.6550999736214</v>
      </c>
      <c r="AD12" s="814">
        <f>(('DAF Parts CPV (short)'!Q12)*((1-'5.1 DAF Vehicle Parc Input'!$H$56/(1-'Calculation (short)'!$O$1)))*(1+$E$1)*(1+$I$1))</f>
        <v>2250.3657478008549</v>
      </c>
      <c r="AE12" s="814">
        <f>(('DAF Parts CPV (short)'!R12)*((1-'5.1 DAF Vehicle Parc Input'!$H$56/(1-'Calculation (short)'!$O$1)))*(1+$E$1)*(1+$I$1))</f>
        <v>2148.0763956280889</v>
      </c>
      <c r="AF12" s="814">
        <f>(('DAF Parts CPV (short)'!S12)*((1-'5.1 DAF Vehicle Parc Input'!$H$56/(1-'Calculation (short)'!$O$1)))*(1+$E$1)*(1+$I$1))</f>
        <v>2045.7870434553229</v>
      </c>
      <c r="AG12" s="815">
        <f t="shared" si="10"/>
        <v>2089.9433897824861</v>
      </c>
      <c r="AH12" s="1486">
        <f t="shared" si="11"/>
        <v>2089.9433897824861</v>
      </c>
      <c r="AJ12" s="1837">
        <v>95</v>
      </c>
      <c r="AK12" s="1833">
        <f t="shared" si="12"/>
        <v>1</v>
      </c>
      <c r="AL12" s="1833">
        <f t="shared" si="5"/>
        <v>1</v>
      </c>
      <c r="AM12" s="1833">
        <f t="shared" si="5"/>
        <v>1</v>
      </c>
      <c r="AN12" s="1833">
        <f t="shared" si="5"/>
        <v>1</v>
      </c>
      <c r="AO12" s="1833">
        <f t="shared" si="5"/>
        <v>1</v>
      </c>
      <c r="AP12" s="1833">
        <f t="shared" si="5"/>
        <v>1</v>
      </c>
      <c r="AQ12" s="1833">
        <f t="shared" si="5"/>
        <v>1</v>
      </c>
      <c r="AR12" s="1833">
        <f t="shared" si="5"/>
        <v>1</v>
      </c>
      <c r="AS12" s="1833">
        <f t="shared" si="5"/>
        <v>1</v>
      </c>
      <c r="AT12" s="1838">
        <f t="shared" si="5"/>
        <v>1</v>
      </c>
      <c r="AV12" s="1480">
        <v>95</v>
      </c>
      <c r="AW12" s="814">
        <f t="shared" si="13"/>
        <v>0</v>
      </c>
      <c r="AX12" s="814">
        <f t="shared" si="14"/>
        <v>0</v>
      </c>
      <c r="AY12" s="814">
        <f t="shared" si="15"/>
        <v>0</v>
      </c>
      <c r="AZ12" s="814">
        <f t="shared" si="16"/>
        <v>0</v>
      </c>
      <c r="BA12" s="814">
        <f t="shared" si="17"/>
        <v>0</v>
      </c>
      <c r="BB12" s="814">
        <f t="shared" si="18"/>
        <v>0</v>
      </c>
      <c r="BC12" s="814">
        <f t="shared" si="19"/>
        <v>0</v>
      </c>
      <c r="BD12" s="814">
        <f t="shared" si="20"/>
        <v>0</v>
      </c>
      <c r="BE12" s="814">
        <f t="shared" si="21"/>
        <v>0</v>
      </c>
      <c r="BF12" s="814">
        <f t="shared" si="22"/>
        <v>0</v>
      </c>
      <c r="BG12" s="1612">
        <f t="shared" si="23"/>
        <v>0</v>
      </c>
      <c r="BH12" s="1613">
        <f t="shared" si="24"/>
        <v>0</v>
      </c>
      <c r="BJ12" s="1498">
        <v>95</v>
      </c>
      <c r="BK12" s="1501">
        <f t="shared" si="25"/>
        <v>0</v>
      </c>
      <c r="BL12" s="1501">
        <f t="shared" si="26"/>
        <v>0</v>
      </c>
      <c r="BM12" s="1501">
        <f t="shared" si="27"/>
        <v>0</v>
      </c>
      <c r="BN12" s="1501">
        <f t="shared" si="28"/>
        <v>0</v>
      </c>
      <c r="BO12" s="1501">
        <f t="shared" si="29"/>
        <v>0</v>
      </c>
      <c r="BP12" s="1501">
        <f t="shared" si="30"/>
        <v>0</v>
      </c>
      <c r="BQ12" s="1501">
        <f t="shared" si="31"/>
        <v>0</v>
      </c>
      <c r="BR12" s="1501">
        <f t="shared" si="32"/>
        <v>0</v>
      </c>
      <c r="BS12" s="1501">
        <f t="shared" si="33"/>
        <v>0</v>
      </c>
      <c r="BT12" s="1501">
        <f t="shared" si="34"/>
        <v>0</v>
      </c>
      <c r="BU12" s="1547">
        <f t="shared" si="35"/>
        <v>0</v>
      </c>
      <c r="BV12" s="1548">
        <f t="shared" si="36"/>
        <v>0</v>
      </c>
      <c r="BX12" s="1498">
        <v>95</v>
      </c>
      <c r="BY12" s="1505">
        <f t="shared" si="37"/>
        <v>0</v>
      </c>
      <c r="BZ12" s="1505">
        <f t="shared" si="38"/>
        <v>0</v>
      </c>
      <c r="CA12" s="1505">
        <f t="shared" si="39"/>
        <v>0</v>
      </c>
      <c r="CB12" s="1505">
        <f t="shared" si="40"/>
        <v>0</v>
      </c>
      <c r="CC12" s="1505">
        <f t="shared" si="41"/>
        <v>0</v>
      </c>
      <c r="CD12" s="1505">
        <f t="shared" si="42"/>
        <v>0</v>
      </c>
      <c r="CE12" s="1505">
        <f t="shared" si="43"/>
        <v>0</v>
      </c>
      <c r="CF12" s="1505">
        <f t="shared" si="44"/>
        <v>0</v>
      </c>
      <c r="CG12" s="1505">
        <f t="shared" si="45"/>
        <v>0</v>
      </c>
      <c r="CH12" s="1505">
        <f t="shared" si="46"/>
        <v>0</v>
      </c>
      <c r="CI12" s="1549">
        <f t="shared" si="9"/>
        <v>0</v>
      </c>
      <c r="CJ12" s="1550">
        <f t="shared" si="47"/>
        <v>0</v>
      </c>
    </row>
    <row r="13" spans="1:92" hidden="1" x14ac:dyDescent="0.3">
      <c r="B13" s="330"/>
      <c r="C13" s="1508">
        <v>105</v>
      </c>
      <c r="D13" s="1513">
        <f>'7.1 Dealer area'!C46</f>
        <v>0</v>
      </c>
      <c r="E13" s="1514">
        <f>'5.3 Running Parc - Dealer Area'!B14</f>
        <v>0</v>
      </c>
      <c r="F13" s="1514">
        <f>'5.3 Running Parc - Dealer Area'!C14</f>
        <v>0</v>
      </c>
      <c r="G13" s="1514">
        <f>'5.3 Running Parc - Dealer Area'!D14</f>
        <v>0</v>
      </c>
      <c r="H13" s="1514">
        <f>'5.3 Running Parc - Dealer Area'!E14</f>
        <v>0</v>
      </c>
      <c r="I13" s="1514">
        <f>'5.3 Running Parc - Dealer Area'!F14</f>
        <v>0</v>
      </c>
      <c r="J13" s="1514">
        <f>'5.3 Running Parc - Dealer Area'!G14</f>
        <v>0</v>
      </c>
      <c r="K13" s="1514">
        <f>'5.3 Running Parc - Dealer Area'!H14</f>
        <v>0</v>
      </c>
      <c r="L13" s="1514">
        <f>'5.3 Running Parc - Dealer Area'!I14</f>
        <v>0</v>
      </c>
      <c r="M13" s="1514">
        <f>'5.3 Running Parc - Dealer Area'!J14</f>
        <v>0</v>
      </c>
      <c r="N13" s="1543">
        <f t="shared" si="4"/>
        <v>0</v>
      </c>
      <c r="Q13" s="1480">
        <v>105</v>
      </c>
      <c r="R13" s="814">
        <f>(('DAF Parts CPV (short)'!E13)*((1-'5.1 DAF Vehicle Parc Input'!$H$56/(1-'Calculation (short)'!$O$1)))*(1+$E$1)*(1+$I$1))</f>
        <v>1241.1570238868887</v>
      </c>
      <c r="S13" s="814">
        <f>(('DAF Parts CPV (short)'!F13)*((1-'5.1 DAF Vehicle Parc Input'!$H$56/(1-'Calculation (short)'!$O$1)))*(1+$E$1)*(1+$I$1))</f>
        <v>1271.1222425301135</v>
      </c>
      <c r="T13" s="814">
        <f>(('DAF Parts CPV (short)'!G13)*((1-'5.1 DAF Vehicle Parc Input'!$H$56/(1-'Calculation (short)'!$O$1)))*(1+$E$1)*(1+$I$1))</f>
        <v>1313.1471400847054</v>
      </c>
      <c r="U13" s="814">
        <f>(('DAF Parts CPV (short)'!H13)*((1-'5.1 DAF Vehicle Parc Input'!$H$56/(1-'Calculation (short)'!$O$1)))*(1+$E$1)*(1+$I$1))</f>
        <v>2228.7329497164069</v>
      </c>
      <c r="V13" s="814">
        <f>(('DAF Parts CPV (short)'!I13)*((1-'5.1 DAF Vehicle Parc Input'!$H$56/(1-'Calculation (short)'!$O$1)))*(1+$E$1)*(1+$I$1))</f>
        <v>2168.0010168583362</v>
      </c>
      <c r="W13" s="814">
        <f>(('DAF Parts CPV (short)'!J13)*((1-'5.1 DAF Vehicle Parc Input'!$H$56/(1-'Calculation (short)'!$O$1)))*(1+$E$1)*(1+$I$1))</f>
        <v>2045.7870434553229</v>
      </c>
      <c r="X13" s="814">
        <f>(('DAF Parts CPV (short)'!K13)*((1-'5.1 DAF Vehicle Parc Input'!$H$56/(1-'Calculation (short)'!$O$1)))*(1+$E$1)*(1+$I$1))</f>
        <v>2173.6487336712803</v>
      </c>
      <c r="Y13" s="814">
        <f>(('DAF Parts CPV (short)'!L13)*((1-'5.1 DAF Vehicle Parc Input'!$H$56/(1-'Calculation (short)'!$O$1)))*(1+$E$1)*(1+$I$1))</f>
        <v>2301.5104238872382</v>
      </c>
      <c r="Z13" s="814">
        <f>(('DAF Parts CPV (short)'!M13)*((1-'5.1 DAF Vehicle Parc Input'!$H$56/(1-'Calculation (short)'!$O$1)))*(1+$E$1)*(1+$I$1))</f>
        <v>2429.3721141031961</v>
      </c>
      <c r="AA13" s="814">
        <f>(('DAF Parts CPV (short)'!N13)*((1-'5.1 DAF Vehicle Parc Input'!$H$56/(1-'Calculation (short)'!$O$1)))*(1+$E$1)*(1+$I$1))</f>
        <v>2557.2338043191535</v>
      </c>
      <c r="AB13" s="814">
        <f>(('DAF Parts CPV (short)'!O13)*((1-'5.1 DAF Vehicle Parc Input'!$H$56/(1-'Calculation (short)'!$O$1)))*(1+$E$1)*(1+$I$1))</f>
        <v>2454.944452146387</v>
      </c>
      <c r="AC13" s="814">
        <f>(('DAF Parts CPV (short)'!P13)*((1-'5.1 DAF Vehicle Parc Input'!$H$56/(1-'Calculation (short)'!$O$1)))*(1+$E$1)*(1+$I$1))</f>
        <v>2352.6550999736214</v>
      </c>
      <c r="AD13" s="814">
        <f>(('DAF Parts CPV (short)'!Q13)*((1-'5.1 DAF Vehicle Parc Input'!$H$56/(1-'Calculation (short)'!$O$1)))*(1+$E$1)*(1+$I$1))</f>
        <v>2250.3657478008549</v>
      </c>
      <c r="AE13" s="814">
        <f>(('DAF Parts CPV (short)'!R13)*((1-'5.1 DAF Vehicle Parc Input'!$H$56/(1-'Calculation (short)'!$O$1)))*(1+$E$1)*(1+$I$1))</f>
        <v>2148.0763956280889</v>
      </c>
      <c r="AF13" s="814">
        <f>(('DAF Parts CPV (short)'!S13)*((1-'5.1 DAF Vehicle Parc Input'!$H$56/(1-'Calculation (short)'!$O$1)))*(1+$E$1)*(1+$I$1))</f>
        <v>2045.7870434553229</v>
      </c>
      <c r="AG13" s="815">
        <f t="shared" si="10"/>
        <v>2065.4360821011278</v>
      </c>
      <c r="AH13" s="1486">
        <f t="shared" si="11"/>
        <v>2065.4360821011278</v>
      </c>
      <c r="AJ13" s="1837">
        <v>105</v>
      </c>
      <c r="AK13" s="1833">
        <f t="shared" si="12"/>
        <v>1</v>
      </c>
      <c r="AL13" s="1833">
        <f t="shared" si="5"/>
        <v>1</v>
      </c>
      <c r="AM13" s="1833">
        <f t="shared" si="5"/>
        <v>1</v>
      </c>
      <c r="AN13" s="1833">
        <f t="shared" si="5"/>
        <v>1</v>
      </c>
      <c r="AO13" s="1833">
        <f t="shared" si="5"/>
        <v>1</v>
      </c>
      <c r="AP13" s="1833">
        <f t="shared" si="5"/>
        <v>1</v>
      </c>
      <c r="AQ13" s="1833">
        <f t="shared" si="5"/>
        <v>1</v>
      </c>
      <c r="AR13" s="1833">
        <f t="shared" si="5"/>
        <v>1</v>
      </c>
      <c r="AS13" s="1833">
        <f t="shared" si="5"/>
        <v>1</v>
      </c>
      <c r="AT13" s="1838">
        <f t="shared" si="5"/>
        <v>1</v>
      </c>
      <c r="AV13" s="1480">
        <v>105</v>
      </c>
      <c r="AW13" s="814">
        <f t="shared" si="13"/>
        <v>0</v>
      </c>
      <c r="AX13" s="814">
        <f t="shared" si="14"/>
        <v>0</v>
      </c>
      <c r="AY13" s="814">
        <f t="shared" si="15"/>
        <v>0</v>
      </c>
      <c r="AZ13" s="814">
        <f t="shared" si="16"/>
        <v>0</v>
      </c>
      <c r="BA13" s="814">
        <f t="shared" si="17"/>
        <v>0</v>
      </c>
      <c r="BB13" s="814">
        <f t="shared" si="18"/>
        <v>0</v>
      </c>
      <c r="BC13" s="814">
        <f t="shared" si="19"/>
        <v>0</v>
      </c>
      <c r="BD13" s="814">
        <f t="shared" si="20"/>
        <v>0</v>
      </c>
      <c r="BE13" s="814">
        <f t="shared" si="21"/>
        <v>0</v>
      </c>
      <c r="BF13" s="814">
        <f t="shared" si="22"/>
        <v>0</v>
      </c>
      <c r="BG13" s="1612">
        <f t="shared" si="23"/>
        <v>0</v>
      </c>
      <c r="BH13" s="1613">
        <f t="shared" si="24"/>
        <v>0</v>
      </c>
      <c r="BJ13" s="1498">
        <v>105</v>
      </c>
      <c r="BK13" s="1501">
        <f t="shared" si="25"/>
        <v>0</v>
      </c>
      <c r="BL13" s="1501">
        <f t="shared" si="26"/>
        <v>0</v>
      </c>
      <c r="BM13" s="1501">
        <f t="shared" si="27"/>
        <v>0</v>
      </c>
      <c r="BN13" s="1501">
        <f t="shared" si="28"/>
        <v>0</v>
      </c>
      <c r="BO13" s="1501">
        <f t="shared" si="29"/>
        <v>0</v>
      </c>
      <c r="BP13" s="1501">
        <f t="shared" si="30"/>
        <v>0</v>
      </c>
      <c r="BQ13" s="1501">
        <f t="shared" si="31"/>
        <v>0</v>
      </c>
      <c r="BR13" s="1501">
        <f t="shared" si="32"/>
        <v>0</v>
      </c>
      <c r="BS13" s="1501">
        <f t="shared" si="33"/>
        <v>0</v>
      </c>
      <c r="BT13" s="1501">
        <f t="shared" si="34"/>
        <v>0</v>
      </c>
      <c r="BU13" s="1547">
        <f t="shared" si="35"/>
        <v>0</v>
      </c>
      <c r="BV13" s="1548">
        <f t="shared" si="36"/>
        <v>0</v>
      </c>
      <c r="BX13" s="1498">
        <v>105</v>
      </c>
      <c r="BY13" s="1505">
        <f t="shared" si="37"/>
        <v>0</v>
      </c>
      <c r="BZ13" s="1505">
        <f t="shared" si="38"/>
        <v>0</v>
      </c>
      <c r="CA13" s="1505">
        <f t="shared" si="39"/>
        <v>0</v>
      </c>
      <c r="CB13" s="1505">
        <f t="shared" si="40"/>
        <v>0</v>
      </c>
      <c r="CC13" s="1505">
        <f t="shared" si="41"/>
        <v>0</v>
      </c>
      <c r="CD13" s="1505">
        <f t="shared" si="42"/>
        <v>0</v>
      </c>
      <c r="CE13" s="1505">
        <f t="shared" si="43"/>
        <v>0</v>
      </c>
      <c r="CF13" s="1505">
        <f t="shared" si="44"/>
        <v>0</v>
      </c>
      <c r="CG13" s="1505">
        <f t="shared" si="45"/>
        <v>0</v>
      </c>
      <c r="CH13" s="1505">
        <f t="shared" si="46"/>
        <v>0</v>
      </c>
      <c r="CI13" s="1549">
        <f t="shared" si="9"/>
        <v>0</v>
      </c>
      <c r="CJ13" s="1550">
        <f t="shared" si="47"/>
        <v>0</v>
      </c>
    </row>
    <row r="14" spans="1:92" hidden="1" x14ac:dyDescent="0.3">
      <c r="B14" s="330"/>
      <c r="C14" s="1540"/>
      <c r="D14" s="1542">
        <f>SUM(D7:D13)</f>
        <v>29</v>
      </c>
      <c r="E14" s="1542">
        <f t="shared" ref="E14:N14" si="48">SUM(E7:E13)</f>
        <v>17</v>
      </c>
      <c r="F14" s="1542">
        <f t="shared" si="48"/>
        <v>19</v>
      </c>
      <c r="G14" s="1542">
        <f t="shared" si="48"/>
        <v>22</v>
      </c>
      <c r="H14" s="1542">
        <f t="shared" si="48"/>
        <v>20</v>
      </c>
      <c r="I14" s="1542">
        <f t="shared" si="48"/>
        <v>10</v>
      </c>
      <c r="J14" s="1542">
        <f t="shared" si="48"/>
        <v>15</v>
      </c>
      <c r="K14" s="1542">
        <f t="shared" si="48"/>
        <v>10</v>
      </c>
      <c r="L14" s="1542">
        <f t="shared" si="48"/>
        <v>15</v>
      </c>
      <c r="M14" s="1542">
        <f t="shared" si="48"/>
        <v>10</v>
      </c>
      <c r="N14" s="1542">
        <f t="shared" si="48"/>
        <v>167</v>
      </c>
      <c r="Q14" s="1481"/>
      <c r="R14" s="815"/>
      <c r="S14" s="815"/>
      <c r="T14" s="815"/>
      <c r="U14" s="815"/>
      <c r="V14" s="815"/>
      <c r="W14" s="815"/>
      <c r="X14" s="815"/>
      <c r="Y14" s="815"/>
      <c r="Z14" s="815"/>
      <c r="AA14" s="815"/>
      <c r="AB14" s="815"/>
      <c r="AC14" s="815"/>
      <c r="AD14" s="815"/>
      <c r="AE14" s="815"/>
      <c r="AF14" s="815"/>
      <c r="AG14" s="815"/>
      <c r="AH14" s="1486">
        <f>SUM(AH7:AH13)</f>
        <v>13707.442606187778</v>
      </c>
      <c r="AJ14" s="1839"/>
      <c r="AK14" s="1840"/>
      <c r="AL14" s="1840"/>
      <c r="AM14" s="1840"/>
      <c r="AN14" s="1840"/>
      <c r="AO14" s="1840"/>
      <c r="AP14" s="1840"/>
      <c r="AQ14" s="1840"/>
      <c r="AR14" s="1840"/>
      <c r="AS14" s="1840"/>
      <c r="AT14" s="1841"/>
      <c r="AV14" s="1481"/>
      <c r="AW14" s="815"/>
      <c r="AX14" s="815"/>
      <c r="AY14" s="815"/>
      <c r="AZ14" s="815"/>
      <c r="BA14" s="815"/>
      <c r="BB14" s="815"/>
      <c r="BC14" s="815"/>
      <c r="BD14" s="815"/>
      <c r="BE14" s="815"/>
      <c r="BF14" s="815"/>
      <c r="BG14" s="1612"/>
      <c r="BH14" s="1613">
        <f>SUM(BH7:BH13)</f>
        <v>367579.3935717339</v>
      </c>
      <c r="BJ14" s="1480"/>
      <c r="BK14" s="814"/>
      <c r="BL14" s="814"/>
      <c r="BM14" s="814"/>
      <c r="BN14" s="814"/>
      <c r="BO14" s="814"/>
      <c r="BP14" s="814"/>
      <c r="BQ14" s="814"/>
      <c r="BR14" s="814"/>
      <c r="BS14" s="814"/>
      <c r="BT14" s="814"/>
      <c r="BU14" s="1549"/>
      <c r="BV14" s="1550">
        <f>SUM(BV7:BV13)</f>
        <v>4918.2423542576844</v>
      </c>
      <c r="BX14" s="1506"/>
      <c r="BY14" s="1503"/>
      <c r="BZ14" s="1503"/>
      <c r="CA14" s="1503"/>
      <c r="CB14" s="1503"/>
      <c r="CC14" s="1503"/>
      <c r="CD14" s="1503"/>
      <c r="CE14" s="1503"/>
      <c r="CF14" s="1503"/>
      <c r="CG14" s="1503"/>
      <c r="CH14" s="1503"/>
      <c r="CI14" s="1549"/>
      <c r="CJ14" s="1550">
        <f>SUM(CJ7:CJ13)</f>
        <v>50874.831236842118</v>
      </c>
    </row>
    <row r="15" spans="1:92" hidden="1" x14ac:dyDescent="0.3">
      <c r="B15" s="1507" t="s">
        <v>274</v>
      </c>
      <c r="C15" s="1515">
        <f>'Reference sheet'!C18+1</f>
        <v>2020</v>
      </c>
      <c r="D15" s="1509"/>
      <c r="E15" s="330"/>
      <c r="F15" s="330"/>
      <c r="G15" s="330"/>
      <c r="H15" s="330"/>
      <c r="I15" s="330"/>
      <c r="J15" s="330"/>
      <c r="K15" s="330"/>
      <c r="L15" s="330"/>
      <c r="M15" s="330"/>
      <c r="N15" s="330"/>
      <c r="Q15" s="1480" t="s">
        <v>1069</v>
      </c>
      <c r="R15" s="2219" t="s">
        <v>1003</v>
      </c>
      <c r="S15" s="2218"/>
      <c r="T15" s="2218"/>
      <c r="U15" s="2218"/>
      <c r="V15" s="2218"/>
      <c r="W15" s="2218"/>
      <c r="X15" s="2218"/>
      <c r="Y15" s="2218"/>
      <c r="Z15" s="2218"/>
      <c r="AA15" s="2218"/>
      <c r="AB15" s="2218"/>
      <c r="AC15" s="2218"/>
      <c r="AD15" s="2218"/>
      <c r="AE15" s="2218"/>
      <c r="AF15" s="2218"/>
      <c r="AG15" s="811"/>
      <c r="AH15" s="1483"/>
      <c r="AV15" s="1480">
        <f>AV5+1</f>
        <v>2020</v>
      </c>
      <c r="AW15" s="812" t="s">
        <v>1002</v>
      </c>
      <c r="AX15" s="811"/>
      <c r="AY15" s="811"/>
      <c r="AZ15" s="811"/>
      <c r="BA15" s="811"/>
      <c r="BB15" s="811"/>
      <c r="BC15" s="811"/>
      <c r="BD15" s="811"/>
      <c r="BE15" s="811"/>
      <c r="BF15" s="811"/>
      <c r="BG15" s="1614"/>
      <c r="BH15" s="1613"/>
      <c r="BJ15" s="1498">
        <f>AV15</f>
        <v>2020</v>
      </c>
      <c r="BK15" s="2220" t="s">
        <v>1003</v>
      </c>
      <c r="BL15" s="2221"/>
      <c r="BM15" s="2221"/>
      <c r="BN15" s="2221"/>
      <c r="BO15" s="2221"/>
      <c r="BP15" s="2221"/>
      <c r="BQ15" s="2221"/>
      <c r="BR15" s="2221"/>
      <c r="BS15" s="2221"/>
      <c r="BT15" s="2221"/>
      <c r="BX15" s="1498" t="s">
        <v>1069</v>
      </c>
      <c r="BY15" s="2220" t="s">
        <v>1004</v>
      </c>
      <c r="BZ15" s="2221"/>
      <c r="CA15" s="2221"/>
      <c r="CB15" s="2221"/>
      <c r="CC15" s="2221"/>
      <c r="CD15" s="2221"/>
      <c r="CE15" s="2221"/>
      <c r="CF15" s="2221"/>
      <c r="CG15" s="2221"/>
      <c r="CH15" s="2221"/>
      <c r="CI15" s="2221"/>
      <c r="CJ15" s="2221"/>
      <c r="CK15" s="2221"/>
      <c r="CL15" s="2221"/>
      <c r="CM15" s="2222"/>
      <c r="CN15" s="811"/>
    </row>
    <row r="16" spans="1:92" hidden="1" x14ac:dyDescent="0.3">
      <c r="B16" s="330" t="s">
        <v>271</v>
      </c>
      <c r="C16" s="1510"/>
      <c r="D16" s="1511">
        <f>D6+1</f>
        <v>2020</v>
      </c>
      <c r="E16" s="1512">
        <f t="shared" ref="E16:M16" si="49">D16-1</f>
        <v>2019</v>
      </c>
      <c r="F16" s="1512">
        <f t="shared" si="49"/>
        <v>2018</v>
      </c>
      <c r="G16" s="1512">
        <f t="shared" si="49"/>
        <v>2017</v>
      </c>
      <c r="H16" s="1512">
        <f t="shared" si="49"/>
        <v>2016</v>
      </c>
      <c r="I16" s="1512">
        <f t="shared" si="49"/>
        <v>2015</v>
      </c>
      <c r="J16" s="1512">
        <f t="shared" si="49"/>
        <v>2014</v>
      </c>
      <c r="K16" s="1512">
        <f t="shared" si="49"/>
        <v>2013</v>
      </c>
      <c r="L16" s="1512">
        <f t="shared" si="49"/>
        <v>2012</v>
      </c>
      <c r="M16" s="1512">
        <f t="shared" si="49"/>
        <v>2011</v>
      </c>
      <c r="N16" s="1512" t="s">
        <v>273</v>
      </c>
      <c r="Q16" s="1479" t="s">
        <v>962</v>
      </c>
      <c r="R16" s="812" t="s">
        <v>965</v>
      </c>
      <c r="S16" s="812" t="s">
        <v>966</v>
      </c>
      <c r="T16" s="812" t="s">
        <v>967</v>
      </c>
      <c r="U16" s="812" t="s">
        <v>968</v>
      </c>
      <c r="V16" s="812" t="s">
        <v>969</v>
      </c>
      <c r="W16" s="812" t="s">
        <v>970</v>
      </c>
      <c r="X16" s="812" t="s">
        <v>971</v>
      </c>
      <c r="Y16" s="812" t="s">
        <v>972</v>
      </c>
      <c r="Z16" s="812" t="s">
        <v>973</v>
      </c>
      <c r="AA16" s="812" t="s">
        <v>974</v>
      </c>
      <c r="AB16" s="812" t="s">
        <v>975</v>
      </c>
      <c r="AC16" s="812" t="s">
        <v>976</v>
      </c>
      <c r="AD16" s="812" t="s">
        <v>977</v>
      </c>
      <c r="AE16" s="812" t="s">
        <v>978</v>
      </c>
      <c r="AF16" s="812" t="s">
        <v>979</v>
      </c>
      <c r="AG16" s="812"/>
      <c r="AH16" s="1483"/>
      <c r="AV16" s="1479" t="s">
        <v>962</v>
      </c>
      <c r="AW16" s="812">
        <f>AW6+1</f>
        <v>2020</v>
      </c>
      <c r="AX16" s="812">
        <f>AW16-1</f>
        <v>2019</v>
      </c>
      <c r="AY16" s="812">
        <f t="shared" ref="AY16:BF16" si="50">AX16-1</f>
        <v>2018</v>
      </c>
      <c r="AZ16" s="812">
        <f t="shared" si="50"/>
        <v>2017</v>
      </c>
      <c r="BA16" s="812">
        <f t="shared" si="50"/>
        <v>2016</v>
      </c>
      <c r="BB16" s="812">
        <f t="shared" si="50"/>
        <v>2015</v>
      </c>
      <c r="BC16" s="812">
        <f t="shared" si="50"/>
        <v>2014</v>
      </c>
      <c r="BD16" s="812">
        <f t="shared" si="50"/>
        <v>2013</v>
      </c>
      <c r="BE16" s="812">
        <f t="shared" si="50"/>
        <v>2012</v>
      </c>
      <c r="BF16" s="812">
        <f t="shared" si="50"/>
        <v>2011</v>
      </c>
      <c r="BG16" s="1615"/>
      <c r="BH16" s="1613"/>
      <c r="BJ16" s="1499" t="s">
        <v>962</v>
      </c>
      <c r="BK16" s="1499">
        <f t="shared" ref="BK16:BT16" si="51">AW16</f>
        <v>2020</v>
      </c>
      <c r="BL16" s="1499">
        <f t="shared" si="51"/>
        <v>2019</v>
      </c>
      <c r="BM16" s="1499">
        <f t="shared" si="51"/>
        <v>2018</v>
      </c>
      <c r="BN16" s="1499">
        <f t="shared" si="51"/>
        <v>2017</v>
      </c>
      <c r="BO16" s="1499">
        <f t="shared" si="51"/>
        <v>2016</v>
      </c>
      <c r="BP16" s="1499">
        <f t="shared" si="51"/>
        <v>2015</v>
      </c>
      <c r="BQ16" s="1499">
        <f t="shared" si="51"/>
        <v>2014</v>
      </c>
      <c r="BR16" s="1499">
        <f t="shared" si="51"/>
        <v>2013</v>
      </c>
      <c r="BS16" s="1499">
        <f t="shared" si="51"/>
        <v>2012</v>
      </c>
      <c r="BT16" s="1499">
        <f t="shared" si="51"/>
        <v>2011</v>
      </c>
      <c r="BX16" s="1499" t="s">
        <v>962</v>
      </c>
      <c r="BY16" s="1499">
        <f>C15</f>
        <v>2020</v>
      </c>
      <c r="BZ16" s="1499">
        <f>BY16-1</f>
        <v>2019</v>
      </c>
      <c r="CA16" s="1499">
        <f t="shared" ref="CA16:CH16" si="52">BZ16-1</f>
        <v>2018</v>
      </c>
      <c r="CB16" s="1499">
        <f t="shared" si="52"/>
        <v>2017</v>
      </c>
      <c r="CC16" s="1499">
        <f t="shared" si="52"/>
        <v>2016</v>
      </c>
      <c r="CD16" s="1499">
        <f t="shared" si="52"/>
        <v>2015</v>
      </c>
      <c r="CE16" s="1499">
        <f t="shared" si="52"/>
        <v>2014</v>
      </c>
      <c r="CF16" s="1499">
        <f t="shared" si="52"/>
        <v>2013</v>
      </c>
      <c r="CG16" s="1499">
        <f t="shared" si="52"/>
        <v>2012</v>
      </c>
      <c r="CH16" s="1499">
        <f t="shared" si="52"/>
        <v>2011</v>
      </c>
      <c r="CI16" s="1499"/>
      <c r="CJ16" s="1497"/>
    </row>
    <row r="17" spans="2:92" hidden="1" x14ac:dyDescent="0.3">
      <c r="B17" s="330"/>
      <c r="C17" s="1512">
        <v>45</v>
      </c>
      <c r="D17" s="1513">
        <f>'7.1 Dealer area'!E39</f>
        <v>0</v>
      </c>
      <c r="E17" s="1516">
        <f t="shared" ref="E17:M23" si="53">D7</f>
        <v>0</v>
      </c>
      <c r="F17" s="1516">
        <f t="shared" si="53"/>
        <v>0</v>
      </c>
      <c r="G17" s="1516">
        <f t="shared" si="53"/>
        <v>0</v>
      </c>
      <c r="H17" s="1516">
        <f t="shared" si="53"/>
        <v>0</v>
      </c>
      <c r="I17" s="1516">
        <f t="shared" si="53"/>
        <v>0</v>
      </c>
      <c r="J17" s="1516">
        <f t="shared" si="53"/>
        <v>0</v>
      </c>
      <c r="K17" s="1516">
        <f t="shared" si="53"/>
        <v>0</v>
      </c>
      <c r="L17" s="1516">
        <f t="shared" si="53"/>
        <v>0</v>
      </c>
      <c r="M17" s="1516">
        <f t="shared" si="53"/>
        <v>0</v>
      </c>
      <c r="N17" s="1542">
        <f t="shared" ref="N17:N22" si="54">SUM(D17:M17)</f>
        <v>0</v>
      </c>
      <c r="Q17" s="1480">
        <v>45</v>
      </c>
      <c r="R17" s="1494">
        <f>('DAF Labour CPV (short)'!E7)*((1-'5.1 DAF Vehicle Parc Input'!$H$56)/(1-'Calculation (short)'!$O$1))*(1+$I$1)</f>
        <v>13.233270589569539</v>
      </c>
      <c r="S17" s="1494">
        <f>('DAF Labour CPV (short)'!F7)*((1-'5.1 DAF Vehicle Parc Input'!$H$56)/(1-'Calculation (short)'!$O$1))*(1+$I$1)</f>
        <v>12.998652970646965</v>
      </c>
      <c r="T17" s="1494">
        <f>('DAF Labour CPV (short)'!G7)*((1-'5.1 DAF Vehicle Parc Input'!$H$56)/(1-'Calculation (short)'!$O$1))*(1+$I$1)</f>
        <v>18.104808688523683</v>
      </c>
      <c r="U17" s="1494">
        <f>('DAF Labour CPV (short)'!H7)*((1-'5.1 DAF Vehicle Parc Input'!$H$56)/(1-'Calculation (short)'!$O$1))*(1+$I$1)</f>
        <v>18.724276801991412</v>
      </c>
      <c r="V17" s="1494">
        <f>('DAF Labour CPV (short)'!I7)*((1-'5.1 DAF Vehicle Parc Input'!$H$56)/(1-'Calculation (short)'!$O$1))*(1+$I$1)</f>
        <v>19.195079019030914</v>
      </c>
      <c r="W17" s="1494">
        <f>('DAF Labour CPV (short)'!J7)*((1-'5.1 DAF Vehicle Parc Input'!$H$56)/(1-'Calculation (short)'!$O$1))*(1+$I$1)</f>
        <v>16.885596116741993</v>
      </c>
      <c r="X17" s="1494">
        <f>('DAF Labour CPV (short)'!K7)*((1-'5.1 DAF Vehicle Parc Input'!$H$56)/(1-'Calculation (short)'!$O$1))*(1+$I$1)</f>
        <v>17.94094587403837</v>
      </c>
      <c r="Y17" s="1494">
        <f>('DAF Labour CPV (short)'!L7)*((1-'5.1 DAF Vehicle Parc Input'!$H$56)/(1-'Calculation (short)'!$O$1))*(1+$I$1)</f>
        <v>18.996295631334739</v>
      </c>
      <c r="Z17" s="1494">
        <f>('DAF Labour CPV (short)'!M7)*((1-'5.1 DAF Vehicle Parc Input'!$H$56)/(1-'Calculation (short)'!$O$1))*(1+$I$1)</f>
        <v>20.051645388631119</v>
      </c>
      <c r="AA17" s="1494">
        <f>('DAF Labour CPV (short)'!N7)*((1-'5.1 DAF Vehicle Parc Input'!$H$56)/(1-'Calculation (short)'!$O$1))*(1+$I$1)</f>
        <v>21.106995145927488</v>
      </c>
      <c r="AB17" s="1494">
        <f>('DAF Labour CPV (short)'!O7)*((1-'5.1 DAF Vehicle Parc Input'!$H$56)/(1-'Calculation (short)'!$O$1))*(1+$I$1)</f>
        <v>20.262715340090391</v>
      </c>
      <c r="AC17" s="1494">
        <f>('DAF Labour CPV (short)'!P7)*((1-'5.1 DAF Vehicle Parc Input'!$H$56)/(1-'Calculation (short)'!$O$1))*(1+$I$1)</f>
        <v>19.418435534253291</v>
      </c>
      <c r="AD17" s="1494">
        <f>('DAF Labour CPV (short)'!Q7)*((1-'5.1 DAF Vehicle Parc Input'!$H$56)/(1-'Calculation (short)'!$O$1))*(1+$I$1)</f>
        <v>18.574155728416194</v>
      </c>
      <c r="AE17" s="1494">
        <f>('DAF Labour CPV (short)'!R7)*((1-'5.1 DAF Vehicle Parc Input'!$H$56)/(1-'Calculation (short)'!$O$1))*(1+$I$1)</f>
        <v>17.72987592257909</v>
      </c>
      <c r="AF17" s="1494">
        <f>('DAF Labour CPV (short)'!S7)*((1-'5.1 DAF Vehicle Parc Input'!$H$56)/(1-'Calculation (short)'!$O$1))*(1+$I$1)</f>
        <v>16.885596116741993</v>
      </c>
      <c r="AG17" s="1495">
        <f>AVERAGE(R17:AF17)</f>
        <v>18.007222991234478</v>
      </c>
      <c r="AH17" s="1496">
        <f>AG17</f>
        <v>18.007222991234478</v>
      </c>
      <c r="AV17" s="1480">
        <v>45</v>
      </c>
      <c r="AW17" s="814">
        <f>D17*R7*AK7</f>
        <v>0</v>
      </c>
      <c r="AX17" s="814">
        <f t="shared" ref="AX17:BF17" si="55">E17*S7*AL7</f>
        <v>0</v>
      </c>
      <c r="AY17" s="814">
        <f t="shared" si="55"/>
        <v>0</v>
      </c>
      <c r="AZ17" s="814">
        <f t="shared" si="55"/>
        <v>0</v>
      </c>
      <c r="BA17" s="814">
        <f t="shared" si="55"/>
        <v>0</v>
      </c>
      <c r="BB17" s="814">
        <f t="shared" si="55"/>
        <v>0</v>
      </c>
      <c r="BC17" s="814">
        <f t="shared" si="55"/>
        <v>0</v>
      </c>
      <c r="BD17" s="814">
        <f t="shared" si="55"/>
        <v>0</v>
      </c>
      <c r="BE17" s="814">
        <f t="shared" si="55"/>
        <v>0</v>
      </c>
      <c r="BF17" s="814">
        <f t="shared" si="55"/>
        <v>0</v>
      </c>
      <c r="BG17" s="1612">
        <f>SUM(AW17:BF17)</f>
        <v>0</v>
      </c>
      <c r="BH17" s="1613">
        <f>BG17</f>
        <v>0</v>
      </c>
      <c r="BJ17" s="1498">
        <v>45</v>
      </c>
      <c r="BK17" s="1501">
        <f>R17*D17*AK7</f>
        <v>0</v>
      </c>
      <c r="BL17" s="1501">
        <f t="shared" ref="BL17:BT17" si="56">S17*E17*AL7</f>
        <v>0</v>
      </c>
      <c r="BM17" s="1501">
        <f t="shared" si="56"/>
        <v>0</v>
      </c>
      <c r="BN17" s="1501">
        <f t="shared" si="56"/>
        <v>0</v>
      </c>
      <c r="BO17" s="1501">
        <f t="shared" si="56"/>
        <v>0</v>
      </c>
      <c r="BP17" s="1501">
        <f t="shared" si="56"/>
        <v>0</v>
      </c>
      <c r="BQ17" s="1501">
        <f t="shared" si="56"/>
        <v>0</v>
      </c>
      <c r="BR17" s="1501">
        <f t="shared" si="56"/>
        <v>0</v>
      </c>
      <c r="BS17" s="1501">
        <f t="shared" si="56"/>
        <v>0</v>
      </c>
      <c r="BT17" s="1501">
        <f t="shared" si="56"/>
        <v>0</v>
      </c>
      <c r="BU17" s="1547">
        <f t="shared" si="35"/>
        <v>0</v>
      </c>
      <c r="BV17" s="1548">
        <f>BU17</f>
        <v>0</v>
      </c>
      <c r="BX17" s="1498">
        <v>45</v>
      </c>
      <c r="BY17" s="1505">
        <f>D17*R38*AK7</f>
        <v>0</v>
      </c>
      <c r="BZ17" s="1505">
        <f t="shared" ref="BZ17:CH17" si="57">E17*S38*AL7</f>
        <v>0</v>
      </c>
      <c r="CA17" s="1505">
        <f t="shared" si="57"/>
        <v>0</v>
      </c>
      <c r="CB17" s="1505">
        <f t="shared" si="57"/>
        <v>0</v>
      </c>
      <c r="CC17" s="1505">
        <f t="shared" si="57"/>
        <v>0</v>
      </c>
      <c r="CD17" s="1505">
        <f t="shared" si="57"/>
        <v>0</v>
      </c>
      <c r="CE17" s="1505">
        <f t="shared" si="57"/>
        <v>0</v>
      </c>
      <c r="CF17" s="1505">
        <f t="shared" si="57"/>
        <v>0</v>
      </c>
      <c r="CG17" s="1505">
        <f t="shared" si="57"/>
        <v>0</v>
      </c>
      <c r="CH17" s="1505">
        <f t="shared" si="57"/>
        <v>0</v>
      </c>
      <c r="CI17" s="1549">
        <f t="shared" ref="CI17:CI23" si="58">SUM(BY17:CH17)</f>
        <v>0</v>
      </c>
      <c r="CJ17" s="1550">
        <f>CI17</f>
        <v>0</v>
      </c>
    </row>
    <row r="18" spans="2:92" hidden="1" x14ac:dyDescent="0.3">
      <c r="B18" s="330"/>
      <c r="C18" s="1512">
        <v>55</v>
      </c>
      <c r="D18" s="1513">
        <f>'7.1 Dealer area'!E40</f>
        <v>0</v>
      </c>
      <c r="E18" s="1516">
        <f t="shared" si="53"/>
        <v>0</v>
      </c>
      <c r="F18" s="1516">
        <f t="shared" si="53"/>
        <v>0</v>
      </c>
      <c r="G18" s="1516">
        <f t="shared" si="53"/>
        <v>0</v>
      </c>
      <c r="H18" s="1516">
        <f t="shared" si="53"/>
        <v>0</v>
      </c>
      <c r="I18" s="1516">
        <f t="shared" si="53"/>
        <v>0</v>
      </c>
      <c r="J18" s="1516">
        <f t="shared" si="53"/>
        <v>0</v>
      </c>
      <c r="K18" s="1516">
        <f t="shared" si="53"/>
        <v>0</v>
      </c>
      <c r="L18" s="1516">
        <f t="shared" si="53"/>
        <v>0</v>
      </c>
      <c r="M18" s="1516">
        <f t="shared" si="53"/>
        <v>0</v>
      </c>
      <c r="N18" s="1542">
        <f t="shared" si="54"/>
        <v>0</v>
      </c>
      <c r="Q18" s="1480">
        <v>55</v>
      </c>
      <c r="R18" s="1494">
        <f>('DAF Labour CPV (short)'!E8)*((1-'5.1 DAF Vehicle Parc Input'!$H$56)/(1-'Calculation (short)'!$O$1))*(1+$I$1)</f>
        <v>14.761949694767406</v>
      </c>
      <c r="S18" s="1494">
        <f>('DAF Labour CPV (short)'!F8)*((1-'5.1 DAF Vehicle Parc Input'!$H$56)/(1-'Calculation (short)'!$O$1))*(1+$I$1)</f>
        <v>10.46980319190259</v>
      </c>
      <c r="T18" s="1494">
        <f>('DAF Labour CPV (short)'!G8)*((1-'5.1 DAF Vehicle Parc Input'!$H$56)/(1-'Calculation (short)'!$O$1))*(1+$I$1)</f>
        <v>15.370791817017585</v>
      </c>
      <c r="U18" s="1494">
        <f>('DAF Labour CPV (short)'!H8)*((1-'5.1 DAF Vehicle Parc Input'!$H$56)/(1-'Calculation (short)'!$O$1))*(1+$I$1)</f>
        <v>17.438453969001749</v>
      </c>
      <c r="V18" s="1494">
        <f>('DAF Labour CPV (short)'!I8)*((1-'5.1 DAF Vehicle Parc Input'!$H$56)/(1-'Calculation (short)'!$O$1))*(1+$I$1)</f>
        <v>19.976762565008652</v>
      </c>
      <c r="W18" s="1494">
        <f>('DAF Labour CPV (short)'!J8)*((1-'5.1 DAF Vehicle Parc Input'!$H$56)/(1-'Calculation (short)'!$O$1))*(1+$I$1)</f>
        <v>22.280528139937896</v>
      </c>
      <c r="X18" s="1494">
        <f>('DAF Labour CPV (short)'!K8)*((1-'5.1 DAF Vehicle Parc Input'!$H$56)/(1-'Calculation (short)'!$O$1))*(1+$I$1)</f>
        <v>23.673061148684017</v>
      </c>
      <c r="Y18" s="1494">
        <f>('DAF Labour CPV (short)'!L8)*((1-'5.1 DAF Vehicle Parc Input'!$H$56)/(1-'Calculation (short)'!$O$1))*(1+$I$1)</f>
        <v>25.065594157430134</v>
      </c>
      <c r="Z18" s="1494">
        <f>('DAF Labour CPV (short)'!M8)*((1-'5.1 DAF Vehicle Parc Input'!$H$56)/(1-'Calculation (short)'!$O$1))*(1+$I$1)</f>
        <v>26.458127166176254</v>
      </c>
      <c r="AA18" s="1494">
        <f>('DAF Labour CPV (short)'!N8)*((1-'5.1 DAF Vehicle Parc Input'!$H$56)/(1-'Calculation (short)'!$O$1))*(1+$I$1)</f>
        <v>27.850660174922375</v>
      </c>
      <c r="AB18" s="1494">
        <f>('DAF Labour CPV (short)'!O8)*((1-'5.1 DAF Vehicle Parc Input'!$H$56)/(1-'Calculation (short)'!$O$1))*(1+$I$1)</f>
        <v>26.736633767925479</v>
      </c>
      <c r="AC18" s="1494">
        <f>('DAF Labour CPV (short)'!P8)*((1-'5.1 DAF Vehicle Parc Input'!$H$56)/(1-'Calculation (short)'!$O$1))*(1+$I$1)</f>
        <v>25.622607360928583</v>
      </c>
      <c r="AD18" s="1494">
        <f>('DAF Labour CPV (short)'!Q8)*((1-'5.1 DAF Vehicle Parc Input'!$H$56)/(1-'Calculation (short)'!$O$1))*(1+$I$1)</f>
        <v>24.508580953931691</v>
      </c>
      <c r="AE18" s="1494">
        <f>('DAF Labour CPV (short)'!R8)*((1-'5.1 DAF Vehicle Parc Input'!$H$56)/(1-'Calculation (short)'!$O$1))*(1+$I$1)</f>
        <v>23.394554546934792</v>
      </c>
      <c r="AF18" s="1494">
        <f>('DAF Labour CPV (short)'!S8)*((1-'5.1 DAF Vehicle Parc Input'!$H$56)/(1-'Calculation (short)'!$O$1))*(1+$I$1)</f>
        <v>22.280528139937896</v>
      </c>
      <c r="AG18" s="1495">
        <f t="shared" ref="AG18:AG23" si="59">AVERAGE(R18:AF18)</f>
        <v>21.725909119633801</v>
      </c>
      <c r="AH18" s="1496">
        <f t="shared" ref="AH18:AH23" si="60">AG18</f>
        <v>21.725909119633801</v>
      </c>
      <c r="AV18" s="1480">
        <v>55</v>
      </c>
      <c r="AW18" s="814">
        <f t="shared" ref="AW18:AW23" si="61">D18*R8*AK8</f>
        <v>0</v>
      </c>
      <c r="AX18" s="814">
        <f t="shared" ref="AX18:AX23" si="62">E18*S8*AL8</f>
        <v>0</v>
      </c>
      <c r="AY18" s="814">
        <f t="shared" ref="AY18:AY23" si="63">F18*T8*AM8</f>
        <v>0</v>
      </c>
      <c r="AZ18" s="814">
        <f t="shared" ref="AZ18:AZ23" si="64">G18*U8*AN8</f>
        <v>0</v>
      </c>
      <c r="BA18" s="814">
        <f t="shared" ref="BA18:BA23" si="65">H18*V8*AO8</f>
        <v>0</v>
      </c>
      <c r="BB18" s="814">
        <f t="shared" ref="BB18:BB23" si="66">I18*W8*AP8</f>
        <v>0</v>
      </c>
      <c r="BC18" s="814">
        <f t="shared" ref="BC18:BC23" si="67">J18*X8*AQ8</f>
        <v>0</v>
      </c>
      <c r="BD18" s="814">
        <f t="shared" ref="BD18:BD23" si="68">K18*Y8*AR8</f>
        <v>0</v>
      </c>
      <c r="BE18" s="814">
        <f t="shared" ref="BE18:BE23" si="69">L18*Z8*AS8</f>
        <v>0</v>
      </c>
      <c r="BF18" s="814">
        <f t="shared" ref="BF18:BF23" si="70">M18*AA8*AT8</f>
        <v>0</v>
      </c>
      <c r="BG18" s="1612">
        <f t="shared" ref="BG18:BG23" si="71">SUM(AW18:BF18)</f>
        <v>0</v>
      </c>
      <c r="BH18" s="1613">
        <f t="shared" ref="BH18:BH23" si="72">BG18</f>
        <v>0</v>
      </c>
      <c r="BJ18" s="1498">
        <v>55</v>
      </c>
      <c r="BK18" s="1501">
        <f t="shared" ref="BK18:BK23" si="73">R18*D18*AK8</f>
        <v>0</v>
      </c>
      <c r="BL18" s="1501">
        <f t="shared" ref="BL18:BL23" si="74">S18*E18*AL8</f>
        <v>0</v>
      </c>
      <c r="BM18" s="1501">
        <f t="shared" ref="BM18:BM23" si="75">T18*F18*AM8</f>
        <v>0</v>
      </c>
      <c r="BN18" s="1501">
        <f t="shared" ref="BN18:BN23" si="76">U18*G18*AN8</f>
        <v>0</v>
      </c>
      <c r="BO18" s="1501">
        <f t="shared" ref="BO18:BO23" si="77">V18*H18*AO8</f>
        <v>0</v>
      </c>
      <c r="BP18" s="1501">
        <f t="shared" ref="BP18:BP23" si="78">W18*I18*AP8</f>
        <v>0</v>
      </c>
      <c r="BQ18" s="1501">
        <f t="shared" ref="BQ18:BQ23" si="79">X18*J18*AQ8</f>
        <v>0</v>
      </c>
      <c r="BR18" s="1501">
        <f t="shared" ref="BR18:BR23" si="80">Y18*K18*AR8</f>
        <v>0</v>
      </c>
      <c r="BS18" s="1501">
        <f t="shared" ref="BS18:BS23" si="81">Z18*L18*AS8</f>
        <v>0</v>
      </c>
      <c r="BT18" s="1501">
        <f t="shared" ref="BT18:BT23" si="82">AA18*M18*AT8</f>
        <v>0</v>
      </c>
      <c r="BU18" s="1547">
        <f t="shared" si="35"/>
        <v>0</v>
      </c>
      <c r="BV18" s="1548">
        <f t="shared" ref="BV18:BV23" si="83">BU18</f>
        <v>0</v>
      </c>
      <c r="BX18" s="1498">
        <v>55</v>
      </c>
      <c r="BY18" s="1505">
        <f t="shared" ref="BY18:BY23" si="84">D18*R39*AK8</f>
        <v>0</v>
      </c>
      <c r="BZ18" s="1505">
        <f t="shared" ref="BZ18:BZ23" si="85">E18*S39*AL8</f>
        <v>0</v>
      </c>
      <c r="CA18" s="1505">
        <f t="shared" ref="CA18:CA23" si="86">F18*T39*AM8</f>
        <v>0</v>
      </c>
      <c r="CB18" s="1505">
        <f t="shared" ref="CB18:CB23" si="87">G18*U39*AN8</f>
        <v>0</v>
      </c>
      <c r="CC18" s="1505">
        <f t="shared" ref="CC18:CC23" si="88">H18*V39*AO8</f>
        <v>0</v>
      </c>
      <c r="CD18" s="1505">
        <f t="shared" ref="CD18:CD23" si="89">I18*W39*AP8</f>
        <v>0</v>
      </c>
      <c r="CE18" s="1505">
        <f t="shared" ref="CE18:CE23" si="90">J18*X39*AQ8</f>
        <v>0</v>
      </c>
      <c r="CF18" s="1505">
        <f t="shared" ref="CF18:CF23" si="91">K18*Y39*AR8</f>
        <v>0</v>
      </c>
      <c r="CG18" s="1505">
        <f t="shared" ref="CG18:CG23" si="92">L18*Z39*AS8</f>
        <v>0</v>
      </c>
      <c r="CH18" s="1505">
        <f t="shared" ref="CH18:CH23" si="93">M18*AA39*AT8</f>
        <v>0</v>
      </c>
      <c r="CI18" s="1549">
        <f t="shared" si="58"/>
        <v>0</v>
      </c>
      <c r="CJ18" s="1550">
        <f t="shared" ref="CJ18:CJ23" si="94">CI18</f>
        <v>0</v>
      </c>
    </row>
    <row r="19" spans="2:92" hidden="1" x14ac:dyDescent="0.3">
      <c r="B19" s="330"/>
      <c r="C19" s="1512">
        <v>65</v>
      </c>
      <c r="D19" s="1513">
        <f>'7.1 Dealer area'!E43</f>
        <v>0</v>
      </c>
      <c r="E19" s="1516">
        <f t="shared" si="53"/>
        <v>0</v>
      </c>
      <c r="F19" s="1516">
        <f t="shared" si="53"/>
        <v>0</v>
      </c>
      <c r="G19" s="1516">
        <f t="shared" si="53"/>
        <v>0</v>
      </c>
      <c r="H19" s="1516">
        <f t="shared" si="53"/>
        <v>0</v>
      </c>
      <c r="I19" s="1516">
        <f t="shared" si="53"/>
        <v>0</v>
      </c>
      <c r="J19" s="1516">
        <f t="shared" si="53"/>
        <v>0</v>
      </c>
      <c r="K19" s="1516">
        <f t="shared" si="53"/>
        <v>0</v>
      </c>
      <c r="L19" s="1516">
        <f t="shared" si="53"/>
        <v>0</v>
      </c>
      <c r="M19" s="1516">
        <f t="shared" si="53"/>
        <v>0</v>
      </c>
      <c r="N19" s="1542">
        <f t="shared" si="54"/>
        <v>0</v>
      </c>
      <c r="Q19" s="1480">
        <v>65</v>
      </c>
      <c r="R19" s="1494">
        <f>('DAF Labour CPV (short)'!E9)*((1-'5.1 DAF Vehicle Parc Input'!$H$56)/(1-'Calculation (short)'!$O$1))*(1+$I$1)</f>
        <v>12.435379792382195</v>
      </c>
      <c r="S19" s="1494">
        <f>('DAF Labour CPV (short)'!F9)*((1-'5.1 DAF Vehicle Parc Input'!$H$56)/(1-'Calculation (short)'!$O$1))*(1+$I$1)</f>
        <v>8.9549847822523443</v>
      </c>
      <c r="T19" s="1494">
        <f>('DAF Labour CPV (short)'!G9)*((1-'5.1 DAF Vehicle Parc Input'!$H$56)/(1-'Calculation (short)'!$O$1))*(1+$I$1)</f>
        <v>14.775062196871417</v>
      </c>
      <c r="U19" s="1494">
        <f>('DAF Labour CPV (short)'!H9)*((1-'5.1 DAF Vehicle Parc Input'!$H$56)/(1-'Calculation (short)'!$O$1))*(1+$I$1)</f>
        <v>16.88838778504639</v>
      </c>
      <c r="V19" s="1494">
        <f>('DAF Labour CPV (short)'!I9)*((1-'5.1 DAF Vehicle Parc Input'!$H$56)/(1-'Calculation (short)'!$O$1))*(1+$I$1)</f>
        <v>19.523701867379238</v>
      </c>
      <c r="W19" s="1494">
        <f>('DAF Labour CPV (short)'!J9)*((1-'5.1 DAF Vehicle Parc Input'!$H$56)/(1-'Calculation (short)'!$O$1))*(1+$I$1)</f>
        <v>22.528481293765299</v>
      </c>
      <c r="X19" s="1494">
        <f>('DAF Labour CPV (short)'!K9)*((1-'5.1 DAF Vehicle Parc Input'!$H$56)/(1-'Calculation (short)'!$O$1))*(1+$I$1)</f>
        <v>23.936511374625631</v>
      </c>
      <c r="Y19" s="1494">
        <f>('DAF Labour CPV (short)'!L9)*((1-'5.1 DAF Vehicle Parc Input'!$H$56)/(1-'Calculation (short)'!$O$1))*(1+$I$1)</f>
        <v>25.344541455485967</v>
      </c>
      <c r="Z19" s="1494">
        <f>('DAF Labour CPV (short)'!M9)*((1-'5.1 DAF Vehicle Parc Input'!$H$56)/(1-'Calculation (short)'!$O$1))*(1+$I$1)</f>
        <v>26.752571536346295</v>
      </c>
      <c r="AA19" s="1494">
        <f>('DAF Labour CPV (short)'!N9)*((1-'5.1 DAF Vehicle Parc Input'!$H$56)/(1-'Calculation (short)'!$O$1))*(1+$I$1)</f>
        <v>28.160601617206627</v>
      </c>
      <c r="AB19" s="1494">
        <f>('DAF Labour CPV (short)'!O9)*((1-'5.1 DAF Vehicle Parc Input'!$H$56)/(1-'Calculation (short)'!$O$1))*(1+$I$1)</f>
        <v>27.034177552518361</v>
      </c>
      <c r="AC19" s="1494">
        <f>('DAF Labour CPV (short)'!P9)*((1-'5.1 DAF Vehicle Parc Input'!$H$56)/(1-'Calculation (short)'!$O$1))*(1+$I$1)</f>
        <v>25.907753487830096</v>
      </c>
      <c r="AD19" s="1494">
        <f>('DAF Labour CPV (short)'!Q9)*((1-'5.1 DAF Vehicle Parc Input'!$H$56)/(1-'Calculation (short)'!$O$1))*(1+$I$1)</f>
        <v>24.78132942314183</v>
      </c>
      <c r="AE19" s="1494">
        <f>('DAF Labour CPV (short)'!R9)*((1-'5.1 DAF Vehicle Parc Input'!$H$56)/(1-'Calculation (short)'!$O$1))*(1+$I$1)</f>
        <v>23.654905358453568</v>
      </c>
      <c r="AF19" s="1494">
        <f>('DAF Labour CPV (short)'!S9)*((1-'5.1 DAF Vehicle Parc Input'!$H$56)/(1-'Calculation (short)'!$O$1))*(1+$I$1)</f>
        <v>22.528481293765299</v>
      </c>
      <c r="AG19" s="1495">
        <f t="shared" si="59"/>
        <v>21.54712472113804</v>
      </c>
      <c r="AH19" s="1496">
        <f t="shared" si="60"/>
        <v>21.54712472113804</v>
      </c>
      <c r="AV19" s="1480">
        <v>65</v>
      </c>
      <c r="AW19" s="814">
        <f t="shared" si="61"/>
        <v>0</v>
      </c>
      <c r="AX19" s="814">
        <f t="shared" si="62"/>
        <v>0</v>
      </c>
      <c r="AY19" s="814">
        <f t="shared" si="63"/>
        <v>0</v>
      </c>
      <c r="AZ19" s="814">
        <f t="shared" si="64"/>
        <v>0</v>
      </c>
      <c r="BA19" s="814">
        <f t="shared" si="65"/>
        <v>0</v>
      </c>
      <c r="BB19" s="814">
        <f t="shared" si="66"/>
        <v>0</v>
      </c>
      <c r="BC19" s="814">
        <f t="shared" si="67"/>
        <v>0</v>
      </c>
      <c r="BD19" s="814">
        <f t="shared" si="68"/>
        <v>0</v>
      </c>
      <c r="BE19" s="814">
        <f t="shared" si="69"/>
        <v>0</v>
      </c>
      <c r="BF19" s="814">
        <f t="shared" si="70"/>
        <v>0</v>
      </c>
      <c r="BG19" s="1612">
        <f t="shared" si="71"/>
        <v>0</v>
      </c>
      <c r="BH19" s="1613">
        <f t="shared" si="72"/>
        <v>0</v>
      </c>
      <c r="BJ19" s="1498">
        <v>65</v>
      </c>
      <c r="BK19" s="1501">
        <f t="shared" si="73"/>
        <v>0</v>
      </c>
      <c r="BL19" s="1501">
        <f t="shared" si="74"/>
        <v>0</v>
      </c>
      <c r="BM19" s="1501">
        <f t="shared" si="75"/>
        <v>0</v>
      </c>
      <c r="BN19" s="1501">
        <f t="shared" si="76"/>
        <v>0</v>
      </c>
      <c r="BO19" s="1501">
        <f t="shared" si="77"/>
        <v>0</v>
      </c>
      <c r="BP19" s="1501">
        <f t="shared" si="78"/>
        <v>0</v>
      </c>
      <c r="BQ19" s="1501">
        <f t="shared" si="79"/>
        <v>0</v>
      </c>
      <c r="BR19" s="1501">
        <f t="shared" si="80"/>
        <v>0</v>
      </c>
      <c r="BS19" s="1501">
        <f t="shared" si="81"/>
        <v>0</v>
      </c>
      <c r="BT19" s="1501">
        <f t="shared" si="82"/>
        <v>0</v>
      </c>
      <c r="BU19" s="1547">
        <f t="shared" si="35"/>
        <v>0</v>
      </c>
      <c r="BV19" s="1548">
        <f t="shared" si="83"/>
        <v>0</v>
      </c>
      <c r="BX19" s="1498">
        <v>65</v>
      </c>
      <c r="BY19" s="1505">
        <f t="shared" si="84"/>
        <v>0</v>
      </c>
      <c r="BZ19" s="1505">
        <f t="shared" si="85"/>
        <v>0</v>
      </c>
      <c r="CA19" s="1505">
        <f t="shared" si="86"/>
        <v>0</v>
      </c>
      <c r="CB19" s="1505">
        <f t="shared" si="87"/>
        <v>0</v>
      </c>
      <c r="CC19" s="1505">
        <f t="shared" si="88"/>
        <v>0</v>
      </c>
      <c r="CD19" s="1505">
        <f t="shared" si="89"/>
        <v>0</v>
      </c>
      <c r="CE19" s="1505">
        <f t="shared" si="90"/>
        <v>0</v>
      </c>
      <c r="CF19" s="1505">
        <f t="shared" si="91"/>
        <v>0</v>
      </c>
      <c r="CG19" s="1505">
        <f t="shared" si="92"/>
        <v>0</v>
      </c>
      <c r="CH19" s="1505">
        <f t="shared" si="93"/>
        <v>0</v>
      </c>
      <c r="CI19" s="1549">
        <f t="shared" si="58"/>
        <v>0</v>
      </c>
      <c r="CJ19" s="1550">
        <f t="shared" si="94"/>
        <v>0</v>
      </c>
    </row>
    <row r="20" spans="2:92" hidden="1" x14ac:dyDescent="0.3">
      <c r="B20" s="330"/>
      <c r="C20" s="1512">
        <v>75</v>
      </c>
      <c r="D20" s="1513">
        <f>'7.1 Dealer area'!E44</f>
        <v>0</v>
      </c>
      <c r="E20" s="1516">
        <f t="shared" si="53"/>
        <v>0</v>
      </c>
      <c r="F20" s="1516">
        <f t="shared" si="53"/>
        <v>0</v>
      </c>
      <c r="G20" s="1516">
        <f t="shared" si="53"/>
        <v>0</v>
      </c>
      <c r="H20" s="1516">
        <f t="shared" si="53"/>
        <v>0</v>
      </c>
      <c r="I20" s="1516">
        <f t="shared" si="53"/>
        <v>0</v>
      </c>
      <c r="J20" s="1516">
        <f t="shared" si="53"/>
        <v>0</v>
      </c>
      <c r="K20" s="1516">
        <f t="shared" si="53"/>
        <v>0</v>
      </c>
      <c r="L20" s="1516">
        <f t="shared" si="53"/>
        <v>0</v>
      </c>
      <c r="M20" s="1516">
        <f t="shared" si="53"/>
        <v>0</v>
      </c>
      <c r="N20" s="1542">
        <f t="shared" si="54"/>
        <v>0</v>
      </c>
      <c r="Q20" s="1480">
        <v>75</v>
      </c>
      <c r="R20" s="1494">
        <f>('DAF Labour CPV (short)'!E10)*((1-'5.1 DAF Vehicle Parc Input'!$H$56)/(1-'Calculation (short)'!$O$1))*(1+$I$1)</f>
        <v>15.345145171284296</v>
      </c>
      <c r="S20" s="1494">
        <f>('DAF Labour CPV (short)'!F10)*((1-'5.1 DAF Vehicle Parc Input'!$H$56)/(1-'Calculation (short)'!$O$1))*(1+$I$1)</f>
        <v>11.692210909899364</v>
      </c>
      <c r="T20" s="1494">
        <f>('DAF Labour CPV (short)'!G10)*((1-'5.1 DAF Vehicle Parc Input'!$H$56)/(1-'Calculation (short)'!$O$1))*(1+$I$1)</f>
        <v>18.559942011622738</v>
      </c>
      <c r="U20" s="1494">
        <f>('DAF Labour CPV (short)'!H10)*((1-'5.1 DAF Vehicle Parc Input'!$H$56)/(1-'Calculation (short)'!$O$1))*(1+$I$1)</f>
        <v>21.81045084083237</v>
      </c>
      <c r="V20" s="1494">
        <f>('DAF Labour CPV (short)'!I10)*((1-'5.1 DAF Vehicle Parc Input'!$H$56)/(1-'Calculation (short)'!$O$1))*(1+$I$1)</f>
        <v>26.9265474410171</v>
      </c>
      <c r="W20" s="1494">
        <f>('DAF Labour CPV (short)'!J10)*((1-'5.1 DAF Vehicle Parc Input'!$H$56)/(1-'Calculation (short)'!$O$1))*(1+$I$1)</f>
        <v>26.987649483944065</v>
      </c>
      <c r="X20" s="1494">
        <f>('DAF Labour CPV (short)'!K10)*((1-'5.1 DAF Vehicle Parc Input'!$H$56)/(1-'Calculation (short)'!$O$1))*(1+$I$1)</f>
        <v>28.674377576690564</v>
      </c>
      <c r="Y20" s="1494">
        <f>('DAF Labour CPV (short)'!L10)*((1-'5.1 DAF Vehicle Parc Input'!$H$56)/(1-'Calculation (short)'!$O$1))*(1+$I$1)</f>
        <v>30.36110566943707</v>
      </c>
      <c r="Z20" s="1494">
        <f>('DAF Labour CPV (short)'!M10)*((1-'5.1 DAF Vehicle Parc Input'!$H$56)/(1-'Calculation (short)'!$O$1))*(1+$I$1)</f>
        <v>32.047833762183572</v>
      </c>
      <c r="AA20" s="1494">
        <f>('DAF Labour CPV (short)'!N10)*((1-'5.1 DAF Vehicle Parc Input'!$H$56)/(1-'Calculation (short)'!$O$1))*(1+$I$1)</f>
        <v>33.734561854930078</v>
      </c>
      <c r="AB20" s="1494">
        <f>('DAF Labour CPV (short)'!O10)*((1-'5.1 DAF Vehicle Parc Input'!$H$56)/(1-'Calculation (short)'!$O$1))*(1+$I$1)</f>
        <v>32.385179380732872</v>
      </c>
      <c r="AC20" s="1494">
        <f>('DAF Labour CPV (short)'!P10)*((1-'5.1 DAF Vehicle Parc Input'!$H$56)/(1-'Calculation (short)'!$O$1))*(1+$I$1)</f>
        <v>31.035796906535669</v>
      </c>
      <c r="AD20" s="1494">
        <f>('DAF Labour CPV (short)'!Q10)*((1-'5.1 DAF Vehicle Parc Input'!$H$56)/(1-'Calculation (short)'!$O$1))*(1+$I$1)</f>
        <v>29.686414432338474</v>
      </c>
      <c r="AE20" s="1494">
        <f>('DAF Labour CPV (short)'!R10)*((1-'5.1 DAF Vehicle Parc Input'!$H$56)/(1-'Calculation (short)'!$O$1))*(1+$I$1)</f>
        <v>28.337031958141267</v>
      </c>
      <c r="AF20" s="1494">
        <f>('DAF Labour CPV (short)'!S10)*((1-'5.1 DAF Vehicle Parc Input'!$H$56)/(1-'Calculation (short)'!$O$1))*(1+$I$1)</f>
        <v>26.987649483944065</v>
      </c>
      <c r="AG20" s="1495">
        <f t="shared" si="59"/>
        <v>26.304793125568906</v>
      </c>
      <c r="AH20" s="1496">
        <f t="shared" si="60"/>
        <v>26.304793125568906</v>
      </c>
      <c r="AV20" s="1480">
        <v>75</v>
      </c>
      <c r="AW20" s="814">
        <f t="shared" si="61"/>
        <v>0</v>
      </c>
      <c r="AX20" s="814">
        <f t="shared" si="62"/>
        <v>0</v>
      </c>
      <c r="AY20" s="814">
        <f t="shared" si="63"/>
        <v>0</v>
      </c>
      <c r="AZ20" s="814">
        <f t="shared" si="64"/>
        <v>0</v>
      </c>
      <c r="BA20" s="814">
        <f t="shared" si="65"/>
        <v>0</v>
      </c>
      <c r="BB20" s="814">
        <f t="shared" si="66"/>
        <v>0</v>
      </c>
      <c r="BC20" s="814">
        <f t="shared" si="67"/>
        <v>0</v>
      </c>
      <c r="BD20" s="814">
        <f t="shared" si="68"/>
        <v>0</v>
      </c>
      <c r="BE20" s="814">
        <f t="shared" si="69"/>
        <v>0</v>
      </c>
      <c r="BF20" s="814">
        <f t="shared" si="70"/>
        <v>0</v>
      </c>
      <c r="BG20" s="1612">
        <f t="shared" si="71"/>
        <v>0</v>
      </c>
      <c r="BH20" s="1613">
        <f t="shared" si="72"/>
        <v>0</v>
      </c>
      <c r="BJ20" s="1498">
        <v>75</v>
      </c>
      <c r="BK20" s="1501">
        <f t="shared" si="73"/>
        <v>0</v>
      </c>
      <c r="BL20" s="1501">
        <f t="shared" si="74"/>
        <v>0</v>
      </c>
      <c r="BM20" s="1501">
        <f t="shared" si="75"/>
        <v>0</v>
      </c>
      <c r="BN20" s="1501">
        <f t="shared" si="76"/>
        <v>0</v>
      </c>
      <c r="BO20" s="1501">
        <f t="shared" si="77"/>
        <v>0</v>
      </c>
      <c r="BP20" s="1501">
        <f t="shared" si="78"/>
        <v>0</v>
      </c>
      <c r="BQ20" s="1501">
        <f t="shared" si="79"/>
        <v>0</v>
      </c>
      <c r="BR20" s="1501">
        <f t="shared" si="80"/>
        <v>0</v>
      </c>
      <c r="BS20" s="1501">
        <f t="shared" si="81"/>
        <v>0</v>
      </c>
      <c r="BT20" s="1501">
        <f t="shared" si="82"/>
        <v>0</v>
      </c>
      <c r="BU20" s="1547">
        <f t="shared" si="35"/>
        <v>0</v>
      </c>
      <c r="BV20" s="1548">
        <f t="shared" si="83"/>
        <v>0</v>
      </c>
      <c r="BX20" s="1498">
        <v>75</v>
      </c>
      <c r="BY20" s="1505">
        <f t="shared" si="84"/>
        <v>0</v>
      </c>
      <c r="BZ20" s="1505">
        <f t="shared" si="85"/>
        <v>0</v>
      </c>
      <c r="CA20" s="1505">
        <f t="shared" si="86"/>
        <v>0</v>
      </c>
      <c r="CB20" s="1505">
        <f t="shared" si="87"/>
        <v>0</v>
      </c>
      <c r="CC20" s="1505">
        <f t="shared" si="88"/>
        <v>0</v>
      </c>
      <c r="CD20" s="1505">
        <f t="shared" si="89"/>
        <v>0</v>
      </c>
      <c r="CE20" s="1505">
        <f t="shared" si="90"/>
        <v>0</v>
      </c>
      <c r="CF20" s="1505">
        <f t="shared" si="91"/>
        <v>0</v>
      </c>
      <c r="CG20" s="1505">
        <f t="shared" si="92"/>
        <v>0</v>
      </c>
      <c r="CH20" s="1505">
        <f t="shared" si="93"/>
        <v>0</v>
      </c>
      <c r="CI20" s="1549">
        <f t="shared" si="58"/>
        <v>0</v>
      </c>
      <c r="CJ20" s="1550">
        <f t="shared" si="94"/>
        <v>0</v>
      </c>
    </row>
    <row r="21" spans="2:92" hidden="1" x14ac:dyDescent="0.3">
      <c r="B21" s="330"/>
      <c r="C21" s="1512">
        <v>85</v>
      </c>
      <c r="D21" s="1513">
        <f>'7.1 Dealer area'!E45</f>
        <v>73</v>
      </c>
      <c r="E21" s="1516">
        <f t="shared" si="53"/>
        <v>29</v>
      </c>
      <c r="F21" s="1516">
        <f t="shared" si="53"/>
        <v>17</v>
      </c>
      <c r="G21" s="1516">
        <f t="shared" si="53"/>
        <v>19</v>
      </c>
      <c r="H21" s="1516">
        <f t="shared" si="53"/>
        <v>22</v>
      </c>
      <c r="I21" s="1516">
        <f t="shared" si="53"/>
        <v>20</v>
      </c>
      <c r="J21" s="1516">
        <f t="shared" si="53"/>
        <v>10</v>
      </c>
      <c r="K21" s="1516">
        <f t="shared" si="53"/>
        <v>15</v>
      </c>
      <c r="L21" s="1516">
        <f t="shared" si="53"/>
        <v>10</v>
      </c>
      <c r="M21" s="1516">
        <f t="shared" si="53"/>
        <v>15</v>
      </c>
      <c r="N21" s="1542">
        <f t="shared" si="54"/>
        <v>230</v>
      </c>
      <c r="Q21" s="1480">
        <v>85</v>
      </c>
      <c r="R21" s="1494">
        <f>('DAF Labour CPV (short)'!E11)*((1-'5.1 DAF Vehicle Parc Input'!$H$56)/(1-'Calculation (short)'!$O$1))*(1+$I$1)</f>
        <v>17.543517231829327</v>
      </c>
      <c r="S21" s="1494">
        <f>('DAF Labour CPV (short)'!F11)*((1-'5.1 DAF Vehicle Parc Input'!$H$56)/(1-'Calculation (short)'!$O$1))*(1+$I$1)</f>
        <v>22.116602519629431</v>
      </c>
      <c r="T21" s="1494">
        <f>('DAF Labour CPV (short)'!G11)*((1-'5.1 DAF Vehicle Parc Input'!$H$56)/(1-'Calculation (short)'!$O$1))*(1+$I$1)</f>
        <v>26.407019901484034</v>
      </c>
      <c r="U21" s="1494">
        <f>('DAF Labour CPV (short)'!H11)*((1-'5.1 DAF Vehicle Parc Input'!$H$56)/(1-'Calculation (short)'!$O$1))*(1+$I$1)</f>
        <v>27.070099821611372</v>
      </c>
      <c r="V21" s="1494">
        <f>('DAF Labour CPV (short)'!I11)*((1-'5.1 DAF Vehicle Parc Input'!$H$56)/(1-'Calculation (short)'!$O$1))*(1+$I$1)</f>
        <v>31.25438583951134</v>
      </c>
      <c r="W21" s="1494">
        <f>('DAF Labour CPV (short)'!J11)*((1-'5.1 DAF Vehicle Parc Input'!$H$56)/(1-'Calculation (short)'!$O$1))*(1+$I$1)</f>
        <v>34.239034380845332</v>
      </c>
      <c r="X21" s="1494">
        <f>('DAF Labour CPV (short)'!K11)*((1-'5.1 DAF Vehicle Parc Input'!$H$56)/(1-'Calculation (short)'!$O$1))*(1+$I$1)</f>
        <v>36.378974029648163</v>
      </c>
      <c r="Y21" s="1494">
        <f>('DAF Labour CPV (short)'!L11)*((1-'5.1 DAF Vehicle Parc Input'!$H$56)/(1-'Calculation (short)'!$O$1))*(1+$I$1)</f>
        <v>38.518913678451</v>
      </c>
      <c r="Z21" s="1494">
        <f>('DAF Labour CPV (short)'!M11)*((1-'5.1 DAF Vehicle Parc Input'!$H$56)/(1-'Calculation (short)'!$O$1))*(1+$I$1)</f>
        <v>40.658853327253837</v>
      </c>
      <c r="AA21" s="1494">
        <f>('DAF Labour CPV (short)'!N11)*((1-'5.1 DAF Vehicle Parc Input'!$H$56)/(1-'Calculation (short)'!$O$1))*(1+$I$1)</f>
        <v>42.79879297605666</v>
      </c>
      <c r="AB21" s="1494">
        <f>('DAF Labour CPV (short)'!O11)*((1-'5.1 DAF Vehicle Parc Input'!$H$56)/(1-'Calculation (short)'!$O$1))*(1+$I$1)</f>
        <v>41.086841257014399</v>
      </c>
      <c r="AC21" s="1494">
        <f>('DAF Labour CPV (short)'!P11)*((1-'5.1 DAF Vehicle Parc Input'!$H$56)/(1-'Calculation (short)'!$O$1))*(1+$I$1)</f>
        <v>39.37488953797213</v>
      </c>
      <c r="AD21" s="1494">
        <f>('DAF Labour CPV (short)'!Q11)*((1-'5.1 DAF Vehicle Parc Input'!$H$56)/(1-'Calculation (short)'!$O$1))*(1+$I$1)</f>
        <v>37.662937818929876</v>
      </c>
      <c r="AE21" s="1494">
        <f>('DAF Labour CPV (short)'!R11)*((1-'5.1 DAF Vehicle Parc Input'!$H$56)/(1-'Calculation (short)'!$O$1))*(1+$I$1)</f>
        <v>35.950986099887601</v>
      </c>
      <c r="AF21" s="1494">
        <f>('DAF Labour CPV (short)'!S11)*((1-'5.1 DAF Vehicle Parc Input'!$H$56)/(1-'Calculation (short)'!$O$1))*(1+$I$1)</f>
        <v>34.239034380845332</v>
      </c>
      <c r="AG21" s="1495">
        <f t="shared" si="59"/>
        <v>33.686725520064655</v>
      </c>
      <c r="AH21" s="1496">
        <f t="shared" si="60"/>
        <v>33.686725520064655</v>
      </c>
      <c r="AV21" s="1480">
        <v>85</v>
      </c>
      <c r="AW21" s="814">
        <f t="shared" si="61"/>
        <v>89968.882633456145</v>
      </c>
      <c r="AX21" s="814">
        <f t="shared" si="62"/>
        <v>31616.577555915184</v>
      </c>
      <c r="AY21" s="814">
        <f t="shared" si="63"/>
        <v>31568.301493382442</v>
      </c>
      <c r="AZ21" s="814">
        <f t="shared" si="64"/>
        <v>42830.911505305856</v>
      </c>
      <c r="BA21" s="814">
        <f t="shared" si="65"/>
        <v>56608.722918933432</v>
      </c>
      <c r="BB21" s="814">
        <f t="shared" si="66"/>
        <v>52434.397954368185</v>
      </c>
      <c r="BC21" s="814">
        <f t="shared" si="67"/>
        <v>27855.773913258097</v>
      </c>
      <c r="BD21" s="814">
        <f t="shared" si="68"/>
        <v>44241.523273998166</v>
      </c>
      <c r="BE21" s="814">
        <f t="shared" si="69"/>
        <v>31132.923785406114</v>
      </c>
      <c r="BF21" s="814">
        <f t="shared" si="70"/>
        <v>49157.248082220191</v>
      </c>
      <c r="BG21" s="1612">
        <f t="shared" si="71"/>
        <v>457415.26311624382</v>
      </c>
      <c r="BH21" s="1613">
        <f t="shared" si="72"/>
        <v>457415.26311624382</v>
      </c>
      <c r="BJ21" s="1498">
        <v>85</v>
      </c>
      <c r="BK21" s="1501">
        <f t="shared" si="73"/>
        <v>1280.6767579235409</v>
      </c>
      <c r="BL21" s="1501">
        <f t="shared" si="74"/>
        <v>641.3814730692535</v>
      </c>
      <c r="BM21" s="1501">
        <f t="shared" si="75"/>
        <v>448.91933832522858</v>
      </c>
      <c r="BN21" s="1501">
        <f t="shared" si="76"/>
        <v>514.33189661061601</v>
      </c>
      <c r="BO21" s="1501">
        <f t="shared" si="77"/>
        <v>687.59648846924949</v>
      </c>
      <c r="BP21" s="1501">
        <f t="shared" si="78"/>
        <v>684.78068761690668</v>
      </c>
      <c r="BQ21" s="1501">
        <f t="shared" si="79"/>
        <v>363.78974029648163</v>
      </c>
      <c r="BR21" s="1501">
        <f t="shared" si="80"/>
        <v>577.78370517676501</v>
      </c>
      <c r="BS21" s="1501">
        <f t="shared" si="81"/>
        <v>406.58853327253837</v>
      </c>
      <c r="BT21" s="1501">
        <f t="shared" si="82"/>
        <v>641.98189464084987</v>
      </c>
      <c r="BU21" s="1547">
        <f t="shared" si="35"/>
        <v>6247.8305154014297</v>
      </c>
      <c r="BV21" s="1548">
        <f t="shared" si="83"/>
        <v>6247.8305154014297</v>
      </c>
      <c r="BX21" s="1498">
        <v>85</v>
      </c>
      <c r="BY21" s="1505">
        <f t="shared" si="84"/>
        <v>25408.990894736842</v>
      </c>
      <c r="BZ21" s="1505">
        <f t="shared" si="85"/>
        <v>9875.1822631578962</v>
      </c>
      <c r="CA21" s="1505">
        <f t="shared" si="86"/>
        <v>4956.3907105263161</v>
      </c>
      <c r="CB21" s="1505">
        <f t="shared" si="87"/>
        <v>4602.8070000000007</v>
      </c>
      <c r="CC21" s="1505">
        <f t="shared" si="88"/>
        <v>5537.5650000000005</v>
      </c>
      <c r="CD21" s="1505">
        <f t="shared" si="89"/>
        <v>5655.9221052631583</v>
      </c>
      <c r="CE21" s="1505">
        <f t="shared" si="90"/>
        <v>3004.708618421053</v>
      </c>
      <c r="CF21" s="1505">
        <f t="shared" si="91"/>
        <v>4772.1842763157892</v>
      </c>
      <c r="CG21" s="1505">
        <f t="shared" si="92"/>
        <v>3358.2037500000001</v>
      </c>
      <c r="CH21" s="1505">
        <f t="shared" si="93"/>
        <v>5302.4269736842107</v>
      </c>
      <c r="CI21" s="1549">
        <f t="shared" si="58"/>
        <v>72474.381592105259</v>
      </c>
      <c r="CJ21" s="1550">
        <f t="shared" si="94"/>
        <v>72474.381592105259</v>
      </c>
    </row>
    <row r="22" spans="2:92" hidden="1" x14ac:dyDescent="0.3">
      <c r="B22" s="330"/>
      <c r="C22" s="1512">
        <v>95</v>
      </c>
      <c r="D22" s="1513">
        <v>0</v>
      </c>
      <c r="E22" s="1516">
        <f t="shared" si="53"/>
        <v>0</v>
      </c>
      <c r="F22" s="1516">
        <f t="shared" si="53"/>
        <v>0</v>
      </c>
      <c r="G22" s="1516">
        <f t="shared" si="53"/>
        <v>0</v>
      </c>
      <c r="H22" s="1516">
        <f t="shared" si="53"/>
        <v>0</v>
      </c>
      <c r="I22" s="1516">
        <f t="shared" si="53"/>
        <v>0</v>
      </c>
      <c r="J22" s="1516">
        <f t="shared" si="53"/>
        <v>0</v>
      </c>
      <c r="K22" s="1516">
        <f t="shared" si="53"/>
        <v>0</v>
      </c>
      <c r="L22" s="1516">
        <f t="shared" si="53"/>
        <v>0</v>
      </c>
      <c r="M22" s="1516">
        <f t="shared" si="53"/>
        <v>0</v>
      </c>
      <c r="N22" s="1542">
        <f t="shared" si="54"/>
        <v>0</v>
      </c>
      <c r="Q22" s="1480">
        <v>95</v>
      </c>
      <c r="R22" s="1494">
        <f>('DAF Labour CPV (short)'!E12)*((1-'5.1 DAF Vehicle Parc Input'!$H$56)/(1-'Calculation (short)'!$O$1))*(1+$I$1)</f>
        <v>19.460187038947712</v>
      </c>
      <c r="S22" s="1494">
        <f>('DAF Labour CPV (short)'!F12)*((1-'5.1 DAF Vehicle Parc Input'!$H$56)/(1-'Calculation (short)'!$O$1))*(1+$I$1)</f>
        <v>18.618280217321256</v>
      </c>
      <c r="T22" s="1494">
        <f>('DAF Labour CPV (short)'!G12)*((1-'5.1 DAF Vehicle Parc Input'!$H$56)/(1-'Calculation (short)'!$O$1))*(1+$I$1)</f>
        <v>27.350879496404882</v>
      </c>
      <c r="U22" s="1494">
        <f>('DAF Labour CPV (short)'!H12)*((1-'5.1 DAF Vehicle Parc Input'!$H$56)/(1-'Calculation (short)'!$O$1))*(1+$I$1)</f>
        <v>30.638748030629955</v>
      </c>
      <c r="V22" s="1494">
        <f>('DAF Labour CPV (short)'!I12)*((1-'5.1 DAF Vehicle Parc Input'!$H$56)/(1-'Calculation (short)'!$O$1))*(1+$I$1)</f>
        <v>28.90145780608626</v>
      </c>
      <c r="W22" s="1494">
        <f>('DAF Labour CPV (short)'!J12)*((1-'5.1 DAF Vehicle Parc Input'!$H$56)/(1-'Calculation (short)'!$O$1))*(1+$I$1)</f>
        <v>26.323240108820606</v>
      </c>
      <c r="X22" s="1494">
        <f>('DAF Labour CPV (short)'!K12)*((1-'5.1 DAF Vehicle Parc Input'!$H$56)/(1-'Calculation (short)'!$O$1))*(1+$I$1)</f>
        <v>27.968442615621896</v>
      </c>
      <c r="Y22" s="1494">
        <f>('DAF Labour CPV (short)'!L12)*((1-'5.1 DAF Vehicle Parc Input'!$H$56)/(1-'Calculation (short)'!$O$1))*(1+$I$1)</f>
        <v>29.613645122423183</v>
      </c>
      <c r="Z22" s="1494">
        <f>('DAF Labour CPV (short)'!M12)*((1-'5.1 DAF Vehicle Parc Input'!$H$56)/(1-'Calculation (short)'!$O$1))*(1+$I$1)</f>
        <v>31.258847629224469</v>
      </c>
      <c r="AA22" s="1494">
        <f>('DAF Labour CPV (short)'!N12)*((1-'5.1 DAF Vehicle Parc Input'!$H$56)/(1-'Calculation (short)'!$O$1))*(1+$I$1)</f>
        <v>32.904050136025752</v>
      </c>
      <c r="AB22" s="1494">
        <f>('DAF Labour CPV (short)'!O12)*((1-'5.1 DAF Vehicle Parc Input'!$H$56)/(1-'Calculation (short)'!$O$1))*(1+$I$1)</f>
        <v>31.587888130584727</v>
      </c>
      <c r="AC22" s="1494">
        <f>('DAF Labour CPV (short)'!P12)*((1-'5.1 DAF Vehicle Parc Input'!$H$56)/(1-'Calculation (short)'!$O$1))*(1+$I$1)</f>
        <v>30.271726125143697</v>
      </c>
      <c r="AD22" s="1494">
        <f>('DAF Labour CPV (short)'!Q12)*((1-'5.1 DAF Vehicle Parc Input'!$H$56)/(1-'Calculation (short)'!$O$1))*(1+$I$1)</f>
        <v>28.955564119702668</v>
      </c>
      <c r="AE22" s="1494">
        <f>('DAF Labour CPV (short)'!R12)*((1-'5.1 DAF Vehicle Parc Input'!$H$56)/(1-'Calculation (short)'!$O$1))*(1+$I$1)</f>
        <v>27.639402114261639</v>
      </c>
      <c r="AF22" s="1494">
        <f>('DAF Labour CPV (short)'!S12)*((1-'5.1 DAF Vehicle Parc Input'!$H$56)/(1-'Calculation (short)'!$O$1))*(1+$I$1)</f>
        <v>26.323240108820606</v>
      </c>
      <c r="AG22" s="1495">
        <f t="shared" si="59"/>
        <v>27.854373253334622</v>
      </c>
      <c r="AH22" s="1496">
        <f t="shared" si="60"/>
        <v>27.854373253334622</v>
      </c>
      <c r="AV22" s="1480">
        <v>95</v>
      </c>
      <c r="AW22" s="814">
        <f t="shared" si="61"/>
        <v>0</v>
      </c>
      <c r="AX22" s="814">
        <f t="shared" si="62"/>
        <v>0</v>
      </c>
      <c r="AY22" s="814">
        <f t="shared" si="63"/>
        <v>0</v>
      </c>
      <c r="AZ22" s="814">
        <f t="shared" si="64"/>
        <v>0</v>
      </c>
      <c r="BA22" s="814">
        <f t="shared" si="65"/>
        <v>0</v>
      </c>
      <c r="BB22" s="814">
        <f t="shared" si="66"/>
        <v>0</v>
      </c>
      <c r="BC22" s="814">
        <f t="shared" si="67"/>
        <v>0</v>
      </c>
      <c r="BD22" s="814">
        <f t="shared" si="68"/>
        <v>0</v>
      </c>
      <c r="BE22" s="814">
        <f t="shared" si="69"/>
        <v>0</v>
      </c>
      <c r="BF22" s="814">
        <f t="shared" si="70"/>
        <v>0</v>
      </c>
      <c r="BG22" s="1612">
        <f t="shared" si="71"/>
        <v>0</v>
      </c>
      <c r="BH22" s="1613">
        <f t="shared" si="72"/>
        <v>0</v>
      </c>
      <c r="BJ22" s="1498">
        <v>95</v>
      </c>
      <c r="BK22" s="1501">
        <f t="shared" si="73"/>
        <v>0</v>
      </c>
      <c r="BL22" s="1501">
        <f t="shared" si="74"/>
        <v>0</v>
      </c>
      <c r="BM22" s="1501">
        <f t="shared" si="75"/>
        <v>0</v>
      </c>
      <c r="BN22" s="1501">
        <f t="shared" si="76"/>
        <v>0</v>
      </c>
      <c r="BO22" s="1501">
        <f t="shared" si="77"/>
        <v>0</v>
      </c>
      <c r="BP22" s="1501">
        <f t="shared" si="78"/>
        <v>0</v>
      </c>
      <c r="BQ22" s="1501">
        <f t="shared" si="79"/>
        <v>0</v>
      </c>
      <c r="BR22" s="1501">
        <f t="shared" si="80"/>
        <v>0</v>
      </c>
      <c r="BS22" s="1501">
        <f t="shared" si="81"/>
        <v>0</v>
      </c>
      <c r="BT22" s="1501">
        <f t="shared" si="82"/>
        <v>0</v>
      </c>
      <c r="BU22" s="1547">
        <f t="shared" si="35"/>
        <v>0</v>
      </c>
      <c r="BV22" s="1548">
        <f t="shared" si="83"/>
        <v>0</v>
      </c>
      <c r="BX22" s="1498">
        <v>95</v>
      </c>
      <c r="BY22" s="1505">
        <f t="shared" si="84"/>
        <v>0</v>
      </c>
      <c r="BZ22" s="1505">
        <f t="shared" si="85"/>
        <v>0</v>
      </c>
      <c r="CA22" s="1505">
        <f t="shared" si="86"/>
        <v>0</v>
      </c>
      <c r="CB22" s="1505">
        <f t="shared" si="87"/>
        <v>0</v>
      </c>
      <c r="CC22" s="1505">
        <f t="shared" si="88"/>
        <v>0</v>
      </c>
      <c r="CD22" s="1505">
        <f t="shared" si="89"/>
        <v>0</v>
      </c>
      <c r="CE22" s="1505">
        <f t="shared" si="90"/>
        <v>0</v>
      </c>
      <c r="CF22" s="1505">
        <f t="shared" si="91"/>
        <v>0</v>
      </c>
      <c r="CG22" s="1505">
        <f t="shared" si="92"/>
        <v>0</v>
      </c>
      <c r="CH22" s="1505">
        <f t="shared" si="93"/>
        <v>0</v>
      </c>
      <c r="CI22" s="1549">
        <f t="shared" si="58"/>
        <v>0</v>
      </c>
      <c r="CJ22" s="1550">
        <f t="shared" si="94"/>
        <v>0</v>
      </c>
    </row>
    <row r="23" spans="2:92" hidden="1" x14ac:dyDescent="0.3">
      <c r="B23" s="330"/>
      <c r="C23" s="1512">
        <v>105</v>
      </c>
      <c r="D23" s="1513">
        <f>'7.1 Dealer area'!E46</f>
        <v>0</v>
      </c>
      <c r="E23" s="1516">
        <f t="shared" si="53"/>
        <v>0</v>
      </c>
      <c r="F23" s="1516">
        <f t="shared" si="53"/>
        <v>0</v>
      </c>
      <c r="G23" s="1516">
        <f t="shared" si="53"/>
        <v>0</v>
      </c>
      <c r="H23" s="1516">
        <f t="shared" si="53"/>
        <v>0</v>
      </c>
      <c r="I23" s="1516">
        <f t="shared" si="53"/>
        <v>0</v>
      </c>
      <c r="J23" s="1516">
        <f t="shared" si="53"/>
        <v>0</v>
      </c>
      <c r="K23" s="1516">
        <f t="shared" si="53"/>
        <v>0</v>
      </c>
      <c r="L23" s="1516">
        <f t="shared" si="53"/>
        <v>0</v>
      </c>
      <c r="M23" s="1516">
        <f t="shared" si="53"/>
        <v>0</v>
      </c>
      <c r="N23" s="1542">
        <f>SUM(D23:M23)</f>
        <v>0</v>
      </c>
      <c r="Q23" s="1480">
        <v>105</v>
      </c>
      <c r="R23" s="1494">
        <f>('DAF Labour CPV (short)'!E13)*((1-'5.1 DAF Vehicle Parc Input'!$H$56)/(1-'Calculation (short)'!$O$1))*(1+$I$1)</f>
        <v>24.597359853466724</v>
      </c>
      <c r="S23" s="1494">
        <f>('DAF Labour CPV (short)'!F13)*((1-'5.1 DAF Vehicle Parc Input'!$H$56)/(1-'Calculation (short)'!$O$1))*(1+$I$1)</f>
        <v>18.448268055191033</v>
      </c>
      <c r="T23" s="1494">
        <f>('DAF Labour CPV (short)'!G13)*((1-'5.1 DAF Vehicle Parc Input'!$H$56)/(1-'Calculation (short)'!$O$1))*(1+$I$1)</f>
        <v>17.479376254865887</v>
      </c>
      <c r="U23" s="1494">
        <f>('DAF Labour CPV (short)'!H13)*((1-'5.1 DAF Vehicle Parc Input'!$H$56)/(1-'Calculation (short)'!$O$1))*(1+$I$1)</f>
        <v>30.638748030629955</v>
      </c>
      <c r="V23" s="1494">
        <f>('DAF Labour CPV (short)'!I13)*((1-'5.1 DAF Vehicle Parc Input'!$H$56)/(1-'Calculation (short)'!$O$1))*(1+$I$1)</f>
        <v>28.90145780608626</v>
      </c>
      <c r="W23" s="1494">
        <f>('DAF Labour CPV (short)'!J13)*((1-'5.1 DAF Vehicle Parc Input'!$H$56)/(1-'Calculation (short)'!$O$1))*(1+$I$1)</f>
        <v>26.323240108820606</v>
      </c>
      <c r="X23" s="1494">
        <f>('DAF Labour CPV (short)'!K13)*((1-'5.1 DAF Vehicle Parc Input'!$H$56)/(1-'Calculation (short)'!$O$1))*(1+$I$1)</f>
        <v>27.968442615621896</v>
      </c>
      <c r="Y23" s="1494">
        <f>('DAF Labour CPV (short)'!L13)*((1-'5.1 DAF Vehicle Parc Input'!$H$56)/(1-'Calculation (short)'!$O$1))*(1+$I$1)</f>
        <v>29.613645122423183</v>
      </c>
      <c r="Z23" s="1494">
        <f>('DAF Labour CPV (short)'!M13)*((1-'5.1 DAF Vehicle Parc Input'!$H$56)/(1-'Calculation (short)'!$O$1))*(1+$I$1)</f>
        <v>31.258847629224469</v>
      </c>
      <c r="AA23" s="1494">
        <f>('DAF Labour CPV (short)'!N13)*((1-'5.1 DAF Vehicle Parc Input'!$H$56)/(1-'Calculation (short)'!$O$1))*(1+$I$1)</f>
        <v>32.904050136025752</v>
      </c>
      <c r="AB23" s="1494">
        <f>('DAF Labour CPV (short)'!O13)*((1-'5.1 DAF Vehicle Parc Input'!$H$56)/(1-'Calculation (short)'!$O$1))*(1+$I$1)</f>
        <v>31.587888130584727</v>
      </c>
      <c r="AC23" s="1494">
        <f>('DAF Labour CPV (short)'!P13)*((1-'5.1 DAF Vehicle Parc Input'!$H$56)/(1-'Calculation (short)'!$O$1))*(1+$I$1)</f>
        <v>30.271726125143697</v>
      </c>
      <c r="AD23" s="1494">
        <f>('DAF Labour CPV (short)'!Q13)*((1-'5.1 DAF Vehicle Parc Input'!$H$56)/(1-'Calculation (short)'!$O$1))*(1+$I$1)</f>
        <v>28.955564119702668</v>
      </c>
      <c r="AE23" s="1494">
        <f>('DAF Labour CPV (short)'!R13)*((1-'5.1 DAF Vehicle Parc Input'!$H$56)/(1-'Calculation (short)'!$O$1))*(1+$I$1)</f>
        <v>27.639402114261639</v>
      </c>
      <c r="AF23" s="1494">
        <f>('DAF Labour CPV (short)'!S13)*((1-'5.1 DAF Vehicle Parc Input'!$H$56)/(1-'Calculation (short)'!$O$1))*(1+$I$1)</f>
        <v>26.323240108820606</v>
      </c>
      <c r="AG23" s="1495">
        <f t="shared" si="59"/>
        <v>27.527417080724607</v>
      </c>
      <c r="AH23" s="1496">
        <f t="shared" si="60"/>
        <v>27.527417080724607</v>
      </c>
      <c r="AV23" s="1480">
        <v>105</v>
      </c>
      <c r="AW23" s="814">
        <f t="shared" si="61"/>
        <v>0</v>
      </c>
      <c r="AX23" s="814">
        <f t="shared" si="62"/>
        <v>0</v>
      </c>
      <c r="AY23" s="814">
        <f t="shared" si="63"/>
        <v>0</v>
      </c>
      <c r="AZ23" s="814">
        <f t="shared" si="64"/>
        <v>0</v>
      </c>
      <c r="BA23" s="814">
        <f t="shared" si="65"/>
        <v>0</v>
      </c>
      <c r="BB23" s="814">
        <f t="shared" si="66"/>
        <v>0</v>
      </c>
      <c r="BC23" s="814">
        <f t="shared" si="67"/>
        <v>0</v>
      </c>
      <c r="BD23" s="814">
        <f t="shared" si="68"/>
        <v>0</v>
      </c>
      <c r="BE23" s="814">
        <f t="shared" si="69"/>
        <v>0</v>
      </c>
      <c r="BF23" s="814">
        <f t="shared" si="70"/>
        <v>0</v>
      </c>
      <c r="BG23" s="1612">
        <f t="shared" si="71"/>
        <v>0</v>
      </c>
      <c r="BH23" s="1613">
        <f t="shared" si="72"/>
        <v>0</v>
      </c>
      <c r="BJ23" s="1498">
        <v>105</v>
      </c>
      <c r="BK23" s="1501">
        <f t="shared" si="73"/>
        <v>0</v>
      </c>
      <c r="BL23" s="1501">
        <f t="shared" si="74"/>
        <v>0</v>
      </c>
      <c r="BM23" s="1501">
        <f t="shared" si="75"/>
        <v>0</v>
      </c>
      <c r="BN23" s="1501">
        <f t="shared" si="76"/>
        <v>0</v>
      </c>
      <c r="BO23" s="1501">
        <f t="shared" si="77"/>
        <v>0</v>
      </c>
      <c r="BP23" s="1501">
        <f t="shared" si="78"/>
        <v>0</v>
      </c>
      <c r="BQ23" s="1501">
        <f t="shared" si="79"/>
        <v>0</v>
      </c>
      <c r="BR23" s="1501">
        <f t="shared" si="80"/>
        <v>0</v>
      </c>
      <c r="BS23" s="1501">
        <f t="shared" si="81"/>
        <v>0</v>
      </c>
      <c r="BT23" s="1501">
        <f t="shared" si="82"/>
        <v>0</v>
      </c>
      <c r="BU23" s="1547">
        <f t="shared" si="35"/>
        <v>0</v>
      </c>
      <c r="BV23" s="1548">
        <f t="shared" si="83"/>
        <v>0</v>
      </c>
      <c r="BX23" s="1498">
        <v>105</v>
      </c>
      <c r="BY23" s="1505">
        <f t="shared" si="84"/>
        <v>0</v>
      </c>
      <c r="BZ23" s="1505">
        <f t="shared" si="85"/>
        <v>0</v>
      </c>
      <c r="CA23" s="1505">
        <f t="shared" si="86"/>
        <v>0</v>
      </c>
      <c r="CB23" s="1505">
        <f t="shared" si="87"/>
        <v>0</v>
      </c>
      <c r="CC23" s="1505">
        <f t="shared" si="88"/>
        <v>0</v>
      </c>
      <c r="CD23" s="1505">
        <f t="shared" si="89"/>
        <v>0</v>
      </c>
      <c r="CE23" s="1505">
        <f t="shared" si="90"/>
        <v>0</v>
      </c>
      <c r="CF23" s="1505">
        <f t="shared" si="91"/>
        <v>0</v>
      </c>
      <c r="CG23" s="1505">
        <f t="shared" si="92"/>
        <v>0</v>
      </c>
      <c r="CH23" s="1505">
        <f t="shared" si="93"/>
        <v>0</v>
      </c>
      <c r="CI23" s="1549">
        <f t="shared" si="58"/>
        <v>0</v>
      </c>
      <c r="CJ23" s="1550">
        <f t="shared" si="94"/>
        <v>0</v>
      </c>
    </row>
    <row r="24" spans="2:92" hidden="1" x14ac:dyDescent="0.3">
      <c r="B24" s="330"/>
      <c r="C24" s="1540"/>
      <c r="D24" s="1541">
        <f>SUM((D17:D23))</f>
        <v>73</v>
      </c>
      <c r="E24" s="1541">
        <f t="shared" ref="E24:N24" si="95">SUM((E17:E23))</f>
        <v>29</v>
      </c>
      <c r="F24" s="1541">
        <f t="shared" si="95"/>
        <v>17</v>
      </c>
      <c r="G24" s="1541">
        <f t="shared" si="95"/>
        <v>19</v>
      </c>
      <c r="H24" s="1541">
        <f t="shared" si="95"/>
        <v>22</v>
      </c>
      <c r="I24" s="1541">
        <f t="shared" si="95"/>
        <v>20</v>
      </c>
      <c r="J24" s="1541">
        <f t="shared" si="95"/>
        <v>10</v>
      </c>
      <c r="K24" s="1541">
        <f t="shared" si="95"/>
        <v>15</v>
      </c>
      <c r="L24" s="1541">
        <f t="shared" si="95"/>
        <v>10</v>
      </c>
      <c r="M24" s="1541">
        <f t="shared" si="95"/>
        <v>15</v>
      </c>
      <c r="N24" s="1541">
        <f t="shared" si="95"/>
        <v>230</v>
      </c>
      <c r="Q24" s="1480"/>
      <c r="R24" s="814"/>
      <c r="S24" s="814"/>
      <c r="T24" s="814"/>
      <c r="U24" s="814"/>
      <c r="V24" s="814"/>
      <c r="W24" s="814"/>
      <c r="X24" s="814"/>
      <c r="Y24" s="814"/>
      <c r="Z24" s="814"/>
      <c r="AA24" s="814"/>
      <c r="AB24" s="814"/>
      <c r="AC24" s="814"/>
      <c r="AD24" s="814"/>
      <c r="AE24" s="814"/>
      <c r="AF24" s="814"/>
      <c r="AG24" s="815"/>
      <c r="AH24" s="1486">
        <f>SUM(AH17:AH23)</f>
        <v>176.65356581169911</v>
      </c>
      <c r="AV24" s="1481"/>
      <c r="AW24" s="815"/>
      <c r="AX24" s="815"/>
      <c r="AY24" s="815"/>
      <c r="AZ24" s="815"/>
      <c r="BA24" s="815"/>
      <c r="BB24" s="815"/>
      <c r="BC24" s="815"/>
      <c r="BD24" s="815"/>
      <c r="BE24" s="815"/>
      <c r="BF24" s="815"/>
      <c r="BG24" s="1612"/>
      <c r="BH24" s="1613">
        <f>SUM(BH17:BH23)</f>
        <v>457415.26311624382</v>
      </c>
      <c r="BJ24" s="1480"/>
      <c r="BK24" s="814"/>
      <c r="BL24" s="814"/>
      <c r="BM24" s="814"/>
      <c r="BN24" s="814"/>
      <c r="BO24" s="814"/>
      <c r="BP24" s="814"/>
      <c r="BQ24" s="814"/>
      <c r="BR24" s="814"/>
      <c r="BS24" s="814"/>
      <c r="BT24" s="814"/>
      <c r="BU24" s="1549"/>
      <c r="BV24" s="1550">
        <f>SUM(BV17:BV23)</f>
        <v>6247.8305154014297</v>
      </c>
      <c r="BX24" s="1506"/>
      <c r="BY24" s="1503"/>
      <c r="BZ24" s="1503"/>
      <c r="CA24" s="1503"/>
      <c r="CB24" s="1503"/>
      <c r="CC24" s="1503"/>
      <c r="CD24" s="1503"/>
      <c r="CE24" s="1503"/>
      <c r="CF24" s="1503"/>
      <c r="CG24" s="1503"/>
      <c r="CH24" s="1503"/>
      <c r="CI24" s="1549"/>
      <c r="CJ24" s="1550">
        <f>SUM(CJ17:CJ23)</f>
        <v>72474.381592105259</v>
      </c>
    </row>
    <row r="25" spans="2:92" hidden="1" x14ac:dyDescent="0.3">
      <c r="Q25" s="1480"/>
      <c r="R25" s="814"/>
      <c r="S25" s="814"/>
      <c r="T25" s="814"/>
      <c r="U25" s="814"/>
      <c r="V25" s="814"/>
      <c r="W25" s="814"/>
      <c r="X25" s="814"/>
      <c r="Y25" s="814"/>
      <c r="Z25" s="814"/>
      <c r="AA25" s="814"/>
      <c r="AB25" s="814"/>
      <c r="AC25" s="814"/>
      <c r="AD25" s="814"/>
      <c r="AE25" s="814"/>
      <c r="AF25" s="814"/>
      <c r="AG25" s="815"/>
      <c r="AH25" s="1486"/>
      <c r="AV25" s="1481"/>
      <c r="AW25" s="815"/>
      <c r="AX25" s="815"/>
      <c r="AY25" s="815"/>
      <c r="AZ25" s="815"/>
      <c r="BA25" s="815"/>
      <c r="BB25" s="815"/>
      <c r="BC25" s="815"/>
      <c r="BD25" s="815"/>
      <c r="BE25" s="815"/>
      <c r="BF25" s="815"/>
      <c r="BG25" s="1612"/>
      <c r="BH25" s="1613"/>
      <c r="BJ25" s="813"/>
      <c r="BK25" s="814"/>
      <c r="BL25" s="814"/>
      <c r="BM25" s="814"/>
      <c r="BN25" s="814"/>
      <c r="BO25" s="814"/>
      <c r="BP25" s="814"/>
      <c r="BQ25" s="814"/>
      <c r="BR25" s="814"/>
      <c r="BS25" s="814"/>
      <c r="BT25" s="814"/>
      <c r="BX25" s="1506"/>
      <c r="BY25" s="1503"/>
      <c r="BZ25" s="1503"/>
      <c r="CA25" s="1503"/>
      <c r="CB25" s="1503"/>
      <c r="CC25" s="1503"/>
      <c r="CD25" s="1503"/>
      <c r="CE25" s="1503"/>
      <c r="CF25" s="1503"/>
      <c r="CG25" s="1503"/>
      <c r="CH25" s="1503"/>
      <c r="CI25" s="1503"/>
      <c r="CJ25" s="1504"/>
    </row>
    <row r="26" spans="2:92" hidden="1" x14ac:dyDescent="0.3">
      <c r="B26" s="1507" t="s">
        <v>275</v>
      </c>
      <c r="C26" s="1508">
        <f>'Reference sheet'!C18+2</f>
        <v>2021</v>
      </c>
      <c r="D26" s="1509"/>
      <c r="E26" s="330"/>
      <c r="F26" s="330"/>
      <c r="G26" s="330"/>
      <c r="H26" s="330"/>
      <c r="I26" s="330"/>
      <c r="J26" s="330"/>
      <c r="K26" s="330"/>
      <c r="L26" s="330"/>
      <c r="M26" s="330"/>
      <c r="N26" s="330"/>
      <c r="Q26" s="1480" t="s">
        <v>1069</v>
      </c>
      <c r="R26" s="2219" t="s">
        <v>1003</v>
      </c>
      <c r="S26" s="2218"/>
      <c r="T26" s="2218"/>
      <c r="U26" s="2218"/>
      <c r="V26" s="2218"/>
      <c r="W26" s="2218"/>
      <c r="X26" s="2218"/>
      <c r="Y26" s="2218"/>
      <c r="Z26" s="2218"/>
      <c r="AA26" s="2218"/>
      <c r="AB26" s="2218"/>
      <c r="AC26" s="2218"/>
      <c r="AD26" s="2218"/>
      <c r="AE26" s="2218"/>
      <c r="AF26" s="2218"/>
      <c r="AG26" s="811"/>
      <c r="AH26" s="1483"/>
      <c r="AV26" s="1480">
        <f>AV15+1</f>
        <v>2021</v>
      </c>
      <c r="AW26" s="812" t="s">
        <v>1002</v>
      </c>
      <c r="AX26" s="811"/>
      <c r="AY26" s="811"/>
      <c r="AZ26" s="811"/>
      <c r="BA26" s="811"/>
      <c r="BB26" s="811"/>
      <c r="BC26" s="811"/>
      <c r="BD26" s="811"/>
      <c r="BE26" s="811"/>
      <c r="BF26" s="811"/>
      <c r="BG26" s="1614"/>
      <c r="BH26" s="1613"/>
      <c r="BJ26" s="1498">
        <f>AV26</f>
        <v>2021</v>
      </c>
      <c r="BK26" s="2220" t="s">
        <v>1003</v>
      </c>
      <c r="BL26" s="2221"/>
      <c r="BM26" s="2221"/>
      <c r="BN26" s="2221"/>
      <c r="BO26" s="2221"/>
      <c r="BP26" s="2221"/>
      <c r="BQ26" s="2221"/>
      <c r="BR26" s="2221"/>
      <c r="BS26" s="2221"/>
      <c r="BT26" s="2221"/>
      <c r="BU26" s="1497"/>
      <c r="BX26" s="1498" t="s">
        <v>1069</v>
      </c>
      <c r="BY26" s="2220" t="s">
        <v>1004</v>
      </c>
      <c r="BZ26" s="2221"/>
      <c r="CA26" s="2221"/>
      <c r="CB26" s="2221"/>
      <c r="CC26" s="2221"/>
      <c r="CD26" s="2221"/>
      <c r="CE26" s="2221"/>
      <c r="CF26" s="2221"/>
      <c r="CG26" s="2221"/>
      <c r="CH26" s="2221"/>
      <c r="CI26" s="2221"/>
      <c r="CJ26" s="2221"/>
      <c r="CK26" s="2221"/>
      <c r="CL26" s="2221"/>
      <c r="CM26" s="2222"/>
      <c r="CN26" s="811"/>
    </row>
    <row r="27" spans="2:92" hidden="1" x14ac:dyDescent="0.3">
      <c r="B27" s="330" t="s">
        <v>271</v>
      </c>
      <c r="C27" s="1510"/>
      <c r="D27" s="1511">
        <f>D16+1</f>
        <v>2021</v>
      </c>
      <c r="E27" s="1512">
        <f t="shared" ref="E27:M27" si="96">D27-1</f>
        <v>2020</v>
      </c>
      <c r="F27" s="1512">
        <f t="shared" si="96"/>
        <v>2019</v>
      </c>
      <c r="G27" s="1512">
        <f t="shared" si="96"/>
        <v>2018</v>
      </c>
      <c r="H27" s="1512">
        <f t="shared" si="96"/>
        <v>2017</v>
      </c>
      <c r="I27" s="1512">
        <f t="shared" si="96"/>
        <v>2016</v>
      </c>
      <c r="J27" s="1512">
        <f t="shared" si="96"/>
        <v>2015</v>
      </c>
      <c r="K27" s="1512">
        <f t="shared" si="96"/>
        <v>2014</v>
      </c>
      <c r="L27" s="1512">
        <f t="shared" si="96"/>
        <v>2013</v>
      </c>
      <c r="M27" s="1512">
        <f t="shared" si="96"/>
        <v>2012</v>
      </c>
      <c r="N27" s="1512" t="s">
        <v>276</v>
      </c>
      <c r="Q27" s="1479" t="s">
        <v>962</v>
      </c>
      <c r="R27" s="812" t="s">
        <v>965</v>
      </c>
      <c r="S27" s="812" t="s">
        <v>966</v>
      </c>
      <c r="T27" s="812" t="s">
        <v>967</v>
      </c>
      <c r="U27" s="812" t="s">
        <v>968</v>
      </c>
      <c r="V27" s="812" t="s">
        <v>969</v>
      </c>
      <c r="W27" s="812" t="s">
        <v>970</v>
      </c>
      <c r="X27" s="812" t="s">
        <v>971</v>
      </c>
      <c r="Y27" s="812" t="s">
        <v>972</v>
      </c>
      <c r="Z27" s="812" t="s">
        <v>973</v>
      </c>
      <c r="AA27" s="812" t="s">
        <v>974</v>
      </c>
      <c r="AB27" s="812" t="s">
        <v>975</v>
      </c>
      <c r="AC27" s="812" t="s">
        <v>976</v>
      </c>
      <c r="AD27" s="812" t="s">
        <v>977</v>
      </c>
      <c r="AE27" s="812" t="s">
        <v>978</v>
      </c>
      <c r="AF27" s="812" t="s">
        <v>979</v>
      </c>
      <c r="AG27" s="812"/>
      <c r="AH27" s="1483"/>
      <c r="AV27" s="1479" t="s">
        <v>962</v>
      </c>
      <c r="AW27" s="812">
        <f>AW16+1</f>
        <v>2021</v>
      </c>
      <c r="AX27" s="812">
        <f>AW27-1</f>
        <v>2020</v>
      </c>
      <c r="AY27" s="812">
        <f t="shared" ref="AY27:BF27" si="97">AX27-1</f>
        <v>2019</v>
      </c>
      <c r="AZ27" s="812">
        <f t="shared" si="97"/>
        <v>2018</v>
      </c>
      <c r="BA27" s="812">
        <f t="shared" si="97"/>
        <v>2017</v>
      </c>
      <c r="BB27" s="812">
        <f t="shared" si="97"/>
        <v>2016</v>
      </c>
      <c r="BC27" s="812">
        <f t="shared" si="97"/>
        <v>2015</v>
      </c>
      <c r="BD27" s="812">
        <f t="shared" si="97"/>
        <v>2014</v>
      </c>
      <c r="BE27" s="812">
        <f t="shared" si="97"/>
        <v>2013</v>
      </c>
      <c r="BF27" s="812">
        <f t="shared" si="97"/>
        <v>2012</v>
      </c>
      <c r="BG27" s="1615"/>
      <c r="BH27" s="1613"/>
      <c r="BJ27" s="1499" t="s">
        <v>962</v>
      </c>
      <c r="BK27" s="1499">
        <f t="shared" ref="BK27:BT27" si="98">AW27</f>
        <v>2021</v>
      </c>
      <c r="BL27" s="1499">
        <f t="shared" si="98"/>
        <v>2020</v>
      </c>
      <c r="BM27" s="1499">
        <f t="shared" si="98"/>
        <v>2019</v>
      </c>
      <c r="BN27" s="1499">
        <f t="shared" si="98"/>
        <v>2018</v>
      </c>
      <c r="BO27" s="1499">
        <f t="shared" si="98"/>
        <v>2017</v>
      </c>
      <c r="BP27" s="1499">
        <f t="shared" si="98"/>
        <v>2016</v>
      </c>
      <c r="BQ27" s="1499">
        <f t="shared" si="98"/>
        <v>2015</v>
      </c>
      <c r="BR27" s="1499">
        <f t="shared" si="98"/>
        <v>2014</v>
      </c>
      <c r="BS27" s="1499">
        <f t="shared" si="98"/>
        <v>2013</v>
      </c>
      <c r="BT27" s="1499">
        <f t="shared" si="98"/>
        <v>2012</v>
      </c>
      <c r="BU27" s="1497"/>
      <c r="BX27" s="1499" t="s">
        <v>962</v>
      </c>
      <c r="BY27" s="1499">
        <f>C26</f>
        <v>2021</v>
      </c>
      <c r="BZ27" s="1499">
        <f>BY27-1</f>
        <v>2020</v>
      </c>
      <c r="CA27" s="1499">
        <f t="shared" ref="CA27:CH27" si="99">BZ27-1</f>
        <v>2019</v>
      </c>
      <c r="CB27" s="1499">
        <f t="shared" si="99"/>
        <v>2018</v>
      </c>
      <c r="CC27" s="1499">
        <f t="shared" si="99"/>
        <v>2017</v>
      </c>
      <c r="CD27" s="1499">
        <f t="shared" si="99"/>
        <v>2016</v>
      </c>
      <c r="CE27" s="1499">
        <f t="shared" si="99"/>
        <v>2015</v>
      </c>
      <c r="CF27" s="1499">
        <f t="shared" si="99"/>
        <v>2014</v>
      </c>
      <c r="CG27" s="1499">
        <f t="shared" si="99"/>
        <v>2013</v>
      </c>
      <c r="CH27" s="1499">
        <f t="shared" si="99"/>
        <v>2012</v>
      </c>
      <c r="CI27" s="1499"/>
      <c r="CJ27" s="1497"/>
    </row>
    <row r="28" spans="2:92" hidden="1" x14ac:dyDescent="0.3">
      <c r="B28" s="330"/>
      <c r="C28" s="1512">
        <v>45</v>
      </c>
      <c r="D28" s="1513">
        <f>'7.1 Dealer area'!G39</f>
        <v>0</v>
      </c>
      <c r="E28" s="1517">
        <f t="shared" ref="E28:M28" si="100">D17</f>
        <v>0</v>
      </c>
      <c r="F28" s="1517">
        <f t="shared" si="100"/>
        <v>0</v>
      </c>
      <c r="G28" s="1517">
        <f t="shared" si="100"/>
        <v>0</v>
      </c>
      <c r="H28" s="1517">
        <f t="shared" si="100"/>
        <v>0</v>
      </c>
      <c r="I28" s="1517">
        <f t="shared" si="100"/>
        <v>0</v>
      </c>
      <c r="J28" s="1517">
        <f t="shared" si="100"/>
        <v>0</v>
      </c>
      <c r="K28" s="1517">
        <f t="shared" si="100"/>
        <v>0</v>
      </c>
      <c r="L28" s="1517">
        <f t="shared" si="100"/>
        <v>0</v>
      </c>
      <c r="M28" s="1517">
        <f t="shared" si="100"/>
        <v>0</v>
      </c>
      <c r="N28" s="1544">
        <f t="shared" ref="N28:N33" si="101">SUM(D28:M28)</f>
        <v>0</v>
      </c>
      <c r="Q28" s="1480">
        <v>45</v>
      </c>
      <c r="R28" s="816">
        <f>('5.1 DAF Vehicle Parc Input'!E27*'DAF Labour CPV (short)'!E7)*((1-'5.1 DAF Vehicle Parc Input'!$H$56)/(1-'Calculation (short)'!$O$1))*(1+$I$1)</f>
        <v>0</v>
      </c>
      <c r="S28" s="816">
        <f>('5.1 DAF Vehicle Parc Input'!F27*'DAF Labour CPV (short)'!F7)*((1-'5.1 DAF Vehicle Parc Input'!$H$56)/(1-'Calculation (short)'!$O$1))*(1+$I$1)</f>
        <v>0</v>
      </c>
      <c r="T28" s="816">
        <f>('5.1 DAF Vehicle Parc Input'!G27*'DAF Labour CPV (short)'!G7)*((1-'5.1 DAF Vehicle Parc Input'!$H$56)/(1-'Calculation (short)'!$O$1))*(1+$I$1)</f>
        <v>0</v>
      </c>
      <c r="U28" s="816">
        <f>('5.1 DAF Vehicle Parc Input'!H27*'DAF Labour CPV (short)'!H7)*((1-'5.1 DAF Vehicle Parc Input'!$H$56)/(1-'Calculation (short)'!$O$1))*(1+$I$1)</f>
        <v>0</v>
      </c>
      <c r="V28" s="816">
        <f>('5.1 DAF Vehicle Parc Input'!I27*'DAF Labour CPV (short)'!I7)*((1-'5.1 DAF Vehicle Parc Input'!$H$56)/(1-'Calculation (short)'!$O$1))*(1+$I$1)</f>
        <v>0</v>
      </c>
      <c r="W28" s="816">
        <f>('5.1 DAF Vehicle Parc Input'!J27*'DAF Labour CPV (short)'!J7)*((1-'5.1 DAF Vehicle Parc Input'!$H$56)/(1-'Calculation (short)'!$O$1))*(1+$I$1)</f>
        <v>0</v>
      </c>
      <c r="X28" s="816">
        <f>('5.1 DAF Vehicle Parc Input'!K27*'DAF Labour CPV (short)'!K7)*((1-'5.1 DAF Vehicle Parc Input'!$H$56)/(1-'Calculation (short)'!$O$1))*(1+$I$1)</f>
        <v>0</v>
      </c>
      <c r="Y28" s="816">
        <f>('5.1 DAF Vehicle Parc Input'!L27*'DAF Labour CPV (short)'!L7)*((1-'5.1 DAF Vehicle Parc Input'!$H$56)/(1-'Calculation (short)'!$O$1))*(1+$I$1)</f>
        <v>0</v>
      </c>
      <c r="Z28" s="816">
        <f>('5.1 DAF Vehicle Parc Input'!M27*'DAF Labour CPV (short)'!M7)*((1-'5.1 DAF Vehicle Parc Input'!$H$56)/(1-'Calculation (short)'!$O$1))*(1+$I$1)</f>
        <v>0</v>
      </c>
      <c r="AA28" s="816">
        <f>('5.1 DAF Vehicle Parc Input'!N27*'DAF Labour CPV (short)'!N7)*((1-'5.1 DAF Vehicle Parc Input'!$H$56)/(1-'Calculation (short)'!$O$1))*(1+$I$1)</f>
        <v>0</v>
      </c>
      <c r="AB28" s="816">
        <f>('5.1 DAF Vehicle Parc Input'!O27*'DAF Labour CPV (short)'!O7)*((1-'5.1 DAF Vehicle Parc Input'!$H$56)/(1-'Calculation (short)'!$O$1))*(1+$I$1)</f>
        <v>0</v>
      </c>
      <c r="AC28" s="816">
        <f>('5.1 DAF Vehicle Parc Input'!P27*'DAF Labour CPV (short)'!P7)*((1-'5.1 DAF Vehicle Parc Input'!$H$56)/(1-'Calculation (short)'!$O$1))*(1+$I$1)</f>
        <v>0</v>
      </c>
      <c r="AD28" s="816">
        <f>('5.1 DAF Vehicle Parc Input'!Q27*'DAF Labour CPV (short)'!Q7)*((1-'5.1 DAF Vehicle Parc Input'!$H$56)/(1-'Calculation (short)'!$O$1))*(1+$I$1)</f>
        <v>0</v>
      </c>
      <c r="AE28" s="816">
        <f>('5.1 DAF Vehicle Parc Input'!R27*'DAF Labour CPV (short)'!R7)*((1-'5.1 DAF Vehicle Parc Input'!$H$56)/(1-'Calculation (short)'!$O$1))*(1+$I$1)</f>
        <v>0</v>
      </c>
      <c r="AF28" s="816">
        <f>('5.1 DAF Vehicle Parc Input'!S27*'DAF Labour CPV (short)'!S7)*((1-'5.1 DAF Vehicle Parc Input'!$H$56)/(1-'Calculation (short)'!$O$1))*(1+$I$1)</f>
        <v>0</v>
      </c>
      <c r="AG28" s="817">
        <f t="shared" ref="AG28:AG34" si="102">SUM(R28:AF28)</f>
        <v>0</v>
      </c>
      <c r="AH28" s="1486">
        <f>AG28</f>
        <v>0</v>
      </c>
      <c r="AV28" s="1480">
        <v>45</v>
      </c>
      <c r="AW28" s="814">
        <f>D28*R7*AK7</f>
        <v>0</v>
      </c>
      <c r="AX28" s="814">
        <f t="shared" ref="AX28:BF34" si="103">E28*S7*AL7</f>
        <v>0</v>
      </c>
      <c r="AY28" s="814">
        <f t="shared" si="103"/>
        <v>0</v>
      </c>
      <c r="AZ28" s="814">
        <f t="shared" si="103"/>
        <v>0</v>
      </c>
      <c r="BA28" s="814">
        <f t="shared" si="103"/>
        <v>0</v>
      </c>
      <c r="BB28" s="814">
        <f t="shared" si="103"/>
        <v>0</v>
      </c>
      <c r="BC28" s="814">
        <f t="shared" si="103"/>
        <v>0</v>
      </c>
      <c r="BD28" s="814">
        <f t="shared" si="103"/>
        <v>0</v>
      </c>
      <c r="BE28" s="814">
        <f t="shared" si="103"/>
        <v>0</v>
      </c>
      <c r="BF28" s="814">
        <f t="shared" si="103"/>
        <v>0</v>
      </c>
      <c r="BG28" s="1612">
        <f>SUM(AW28:BF28)</f>
        <v>0</v>
      </c>
      <c r="BH28" s="1613">
        <f>BG28</f>
        <v>0</v>
      </c>
      <c r="BJ28" s="1498">
        <v>45</v>
      </c>
      <c r="BK28" s="1501">
        <f>R17*D28*AK7</f>
        <v>0</v>
      </c>
      <c r="BL28" s="1501">
        <f t="shared" ref="BL28:BS28" si="104">S17*E28*AL7</f>
        <v>0</v>
      </c>
      <c r="BM28" s="1501">
        <f t="shared" si="104"/>
        <v>0</v>
      </c>
      <c r="BN28" s="1501">
        <f t="shared" si="104"/>
        <v>0</v>
      </c>
      <c r="BO28" s="1501">
        <f t="shared" si="104"/>
        <v>0</v>
      </c>
      <c r="BP28" s="1501">
        <f t="shared" si="104"/>
        <v>0</v>
      </c>
      <c r="BQ28" s="1501">
        <f t="shared" si="104"/>
        <v>0</v>
      </c>
      <c r="BR28" s="1501">
        <f t="shared" si="104"/>
        <v>0</v>
      </c>
      <c r="BS28" s="1501">
        <f t="shared" si="104"/>
        <v>0</v>
      </c>
      <c r="BT28" s="1501">
        <f>AA17*M28*AT7</f>
        <v>0</v>
      </c>
      <c r="BU28" s="1547">
        <f t="shared" si="35"/>
        <v>0</v>
      </c>
      <c r="BV28" s="1548">
        <f>BU28</f>
        <v>0</v>
      </c>
      <c r="BX28" s="1498">
        <v>45</v>
      </c>
      <c r="BY28" s="1505">
        <f>D28*R38*AK7</f>
        <v>0</v>
      </c>
      <c r="BZ28" s="1505">
        <f t="shared" ref="BZ28:CH28" si="105">E28*S38*AL7</f>
        <v>0</v>
      </c>
      <c r="CA28" s="1505">
        <f t="shared" si="105"/>
        <v>0</v>
      </c>
      <c r="CB28" s="1505">
        <f t="shared" si="105"/>
        <v>0</v>
      </c>
      <c r="CC28" s="1505">
        <f t="shared" si="105"/>
        <v>0</v>
      </c>
      <c r="CD28" s="1505">
        <f t="shared" si="105"/>
        <v>0</v>
      </c>
      <c r="CE28" s="1505">
        <f t="shared" si="105"/>
        <v>0</v>
      </c>
      <c r="CF28" s="1505">
        <f t="shared" si="105"/>
        <v>0</v>
      </c>
      <c r="CG28" s="1505">
        <f t="shared" si="105"/>
        <v>0</v>
      </c>
      <c r="CH28" s="1505">
        <f t="shared" si="105"/>
        <v>0</v>
      </c>
      <c r="CI28" s="1549">
        <f t="shared" ref="CI28:CI34" si="106">SUM(BY28:CH28)</f>
        <v>0</v>
      </c>
      <c r="CJ28" s="1550">
        <f>CI28</f>
        <v>0</v>
      </c>
    </row>
    <row r="29" spans="2:92" hidden="1" x14ac:dyDescent="0.3">
      <c r="B29" s="330"/>
      <c r="C29" s="1512">
        <v>55</v>
      </c>
      <c r="D29" s="1513">
        <f>'7.1 Dealer area'!G40</f>
        <v>0</v>
      </c>
      <c r="E29" s="1517">
        <f t="shared" ref="E29:M29" si="107">D18</f>
        <v>0</v>
      </c>
      <c r="F29" s="1517">
        <f t="shared" si="107"/>
        <v>0</v>
      </c>
      <c r="G29" s="1517">
        <f t="shared" si="107"/>
        <v>0</v>
      </c>
      <c r="H29" s="1517">
        <f t="shared" si="107"/>
        <v>0</v>
      </c>
      <c r="I29" s="1517">
        <f t="shared" si="107"/>
        <v>0</v>
      </c>
      <c r="J29" s="1517">
        <f t="shared" si="107"/>
        <v>0</v>
      </c>
      <c r="K29" s="1517">
        <f t="shared" si="107"/>
        <v>0</v>
      </c>
      <c r="L29" s="1517">
        <f t="shared" si="107"/>
        <v>0</v>
      </c>
      <c r="M29" s="1517">
        <f t="shared" si="107"/>
        <v>0</v>
      </c>
      <c r="N29" s="1544">
        <f t="shared" si="101"/>
        <v>0</v>
      </c>
      <c r="Q29" s="1480">
        <v>55</v>
      </c>
      <c r="R29" s="816">
        <f>('5.1 DAF Vehicle Parc Input'!E28*'DAF Labour CPV (short)'!E8)*((1-'5.1 DAF Vehicle Parc Input'!$H$56)/(1-'Calculation (short)'!$O$1))*(1+$I$1)</f>
        <v>0</v>
      </c>
      <c r="S29" s="816">
        <f>('5.1 DAF Vehicle Parc Input'!F28*'DAF Labour CPV (short)'!F8)*((1-'5.1 DAF Vehicle Parc Input'!$H$56)/(1-'Calculation (short)'!$O$1))*(1+$I$1)</f>
        <v>0</v>
      </c>
      <c r="T29" s="816">
        <f>('5.1 DAF Vehicle Parc Input'!G28*'DAF Labour CPV (short)'!G8)*((1-'5.1 DAF Vehicle Parc Input'!$H$56)/(1-'Calculation (short)'!$O$1))*(1+$I$1)</f>
        <v>0</v>
      </c>
      <c r="U29" s="816">
        <f>('5.1 DAF Vehicle Parc Input'!H28*'DAF Labour CPV (short)'!H8)*((1-'5.1 DAF Vehicle Parc Input'!$H$56)/(1-'Calculation (short)'!$O$1))*(1+$I$1)</f>
        <v>0</v>
      </c>
      <c r="V29" s="816">
        <f>('5.1 DAF Vehicle Parc Input'!I28*'DAF Labour CPV (short)'!I8)*((1-'5.1 DAF Vehicle Parc Input'!$H$56)/(1-'Calculation (short)'!$O$1))*(1+$I$1)</f>
        <v>0</v>
      </c>
      <c r="W29" s="816">
        <f>('5.1 DAF Vehicle Parc Input'!J28*'DAF Labour CPV (short)'!J8)*((1-'5.1 DAF Vehicle Parc Input'!$H$56)/(1-'Calculation (short)'!$O$1))*(1+$I$1)</f>
        <v>0</v>
      </c>
      <c r="X29" s="816">
        <f>('5.1 DAF Vehicle Parc Input'!K28*'DAF Labour CPV (short)'!K8)*((1-'5.1 DAF Vehicle Parc Input'!$H$56)/(1-'Calculation (short)'!$O$1))*(1+$I$1)</f>
        <v>0</v>
      </c>
      <c r="Y29" s="816">
        <f>('5.1 DAF Vehicle Parc Input'!L28*'DAF Labour CPV (short)'!L8)*((1-'5.1 DAF Vehicle Parc Input'!$H$56)/(1-'Calculation (short)'!$O$1))*(1+$I$1)</f>
        <v>0</v>
      </c>
      <c r="Z29" s="816">
        <f>('5.1 DAF Vehicle Parc Input'!M28*'DAF Labour CPV (short)'!M8)*((1-'5.1 DAF Vehicle Parc Input'!$H$56)/(1-'Calculation (short)'!$O$1))*(1+$I$1)</f>
        <v>0</v>
      </c>
      <c r="AA29" s="816">
        <f>('5.1 DAF Vehicle Parc Input'!N28*'DAF Labour CPV (short)'!N8)*((1-'5.1 DAF Vehicle Parc Input'!$H$56)/(1-'Calculation (short)'!$O$1))*(1+$I$1)</f>
        <v>0</v>
      </c>
      <c r="AB29" s="816">
        <f>('5.1 DAF Vehicle Parc Input'!O28*'DAF Labour CPV (short)'!O8)*((1-'5.1 DAF Vehicle Parc Input'!$H$56)/(1-'Calculation (short)'!$O$1))*(1+$I$1)</f>
        <v>0</v>
      </c>
      <c r="AC29" s="816">
        <f>('5.1 DAF Vehicle Parc Input'!P28*'DAF Labour CPV (short)'!P8)*((1-'5.1 DAF Vehicle Parc Input'!$H$56)/(1-'Calculation (short)'!$O$1))*(1+$I$1)</f>
        <v>0</v>
      </c>
      <c r="AD29" s="816">
        <f>('5.1 DAF Vehicle Parc Input'!Q28*'DAF Labour CPV (short)'!Q8)*((1-'5.1 DAF Vehicle Parc Input'!$H$56)/(1-'Calculation (short)'!$O$1))*(1+$I$1)</f>
        <v>0</v>
      </c>
      <c r="AE29" s="816">
        <f>('5.1 DAF Vehicle Parc Input'!R28*'DAF Labour CPV (short)'!R8)*((1-'5.1 DAF Vehicle Parc Input'!$H$56)/(1-'Calculation (short)'!$O$1))*(1+$I$1)</f>
        <v>0</v>
      </c>
      <c r="AF29" s="816">
        <f>('5.1 DAF Vehicle Parc Input'!S28*'DAF Labour CPV (short)'!S8)*((1-'5.1 DAF Vehicle Parc Input'!$H$56)/(1-'Calculation (short)'!$O$1))*(1+$I$1)</f>
        <v>0</v>
      </c>
      <c r="AG29" s="817">
        <f t="shared" si="102"/>
        <v>0</v>
      </c>
      <c r="AH29" s="1486">
        <f t="shared" ref="AH29:AH34" si="108">AG29</f>
        <v>0</v>
      </c>
      <c r="AV29" s="1480">
        <v>55</v>
      </c>
      <c r="AW29" s="814">
        <f t="shared" ref="AW29:AW34" si="109">D29*R8*AK8</f>
        <v>0</v>
      </c>
      <c r="AX29" s="814">
        <f t="shared" si="103"/>
        <v>0</v>
      </c>
      <c r="AY29" s="814">
        <f t="shared" si="103"/>
        <v>0</v>
      </c>
      <c r="AZ29" s="814">
        <f t="shared" si="103"/>
        <v>0</v>
      </c>
      <c r="BA29" s="814">
        <f t="shared" si="103"/>
        <v>0</v>
      </c>
      <c r="BB29" s="814">
        <f t="shared" si="103"/>
        <v>0</v>
      </c>
      <c r="BC29" s="814">
        <f t="shared" si="103"/>
        <v>0</v>
      </c>
      <c r="BD29" s="814">
        <f t="shared" si="103"/>
        <v>0</v>
      </c>
      <c r="BE29" s="814">
        <f t="shared" si="103"/>
        <v>0</v>
      </c>
      <c r="BF29" s="814">
        <f t="shared" si="103"/>
        <v>0</v>
      </c>
      <c r="BG29" s="1612">
        <f t="shared" ref="BG29:BG34" si="110">SUM(AW29:BF29)</f>
        <v>0</v>
      </c>
      <c r="BH29" s="1613">
        <f t="shared" ref="BH29:BH34" si="111">BG29</f>
        <v>0</v>
      </c>
      <c r="BJ29" s="1498">
        <v>55</v>
      </c>
      <c r="BK29" s="1501">
        <f t="shared" ref="BK29:BK34" si="112">R18*D29*AK8</f>
        <v>0</v>
      </c>
      <c r="BL29" s="1501">
        <f t="shared" ref="BL29:BL34" si="113">S18*E29*AL8</f>
        <v>0</v>
      </c>
      <c r="BM29" s="1501">
        <f t="shared" ref="BM29:BM34" si="114">T18*F29*AM8</f>
        <v>0</v>
      </c>
      <c r="BN29" s="1501">
        <f t="shared" ref="BN29:BN34" si="115">U18*G29*AN8</f>
        <v>0</v>
      </c>
      <c r="BO29" s="1501">
        <f t="shared" ref="BO29:BO34" si="116">V18*H29*AO8</f>
        <v>0</v>
      </c>
      <c r="BP29" s="1501">
        <f t="shared" ref="BP29:BP34" si="117">W18*I29*AP8</f>
        <v>0</v>
      </c>
      <c r="BQ29" s="1501">
        <f t="shared" ref="BQ29:BQ34" si="118">X18*J29*AQ8</f>
        <v>0</v>
      </c>
      <c r="BR29" s="1501">
        <f t="shared" ref="BR29:BR34" si="119">Y18*K29*AR8</f>
        <v>0</v>
      </c>
      <c r="BS29" s="1501">
        <f t="shared" ref="BS29:BT34" si="120">Z18*L29*AS8</f>
        <v>0</v>
      </c>
      <c r="BT29" s="1501">
        <f t="shared" si="120"/>
        <v>0</v>
      </c>
      <c r="BU29" s="1547">
        <f t="shared" si="35"/>
        <v>0</v>
      </c>
      <c r="BV29" s="1548">
        <f t="shared" ref="BV29:BV34" si="121">BU29</f>
        <v>0</v>
      </c>
      <c r="BX29" s="1498">
        <v>55</v>
      </c>
      <c r="BY29" s="1505">
        <f t="shared" ref="BY29:BY34" si="122">D29*R39*AK8</f>
        <v>0</v>
      </c>
      <c r="BZ29" s="1505">
        <f t="shared" ref="BZ29:BZ34" si="123">E29*S39*AL8</f>
        <v>0</v>
      </c>
      <c r="CA29" s="1505">
        <f t="shared" ref="CA29:CA34" si="124">F29*T39*AM8</f>
        <v>0</v>
      </c>
      <c r="CB29" s="1505">
        <f t="shared" ref="CB29:CB34" si="125">G29*U39*AN8</f>
        <v>0</v>
      </c>
      <c r="CC29" s="1505">
        <f t="shared" ref="CC29:CC34" si="126">H29*V39*AO8</f>
        <v>0</v>
      </c>
      <c r="CD29" s="1505">
        <f t="shared" ref="CD29:CD34" si="127">I29*W39*AP8</f>
        <v>0</v>
      </c>
      <c r="CE29" s="1505">
        <f t="shared" ref="CE29:CE34" si="128">J29*X39*AQ8</f>
        <v>0</v>
      </c>
      <c r="CF29" s="1505">
        <f t="shared" ref="CF29:CF34" si="129">K29*Y39*AR8</f>
        <v>0</v>
      </c>
      <c r="CG29" s="1505">
        <f t="shared" ref="CG29:CG34" si="130">L29*Z39*AS8</f>
        <v>0</v>
      </c>
      <c r="CH29" s="1505">
        <f t="shared" ref="CH29:CH34" si="131">M29*AA39*AT8</f>
        <v>0</v>
      </c>
      <c r="CI29" s="1549">
        <f t="shared" si="106"/>
        <v>0</v>
      </c>
      <c r="CJ29" s="1550">
        <f t="shared" ref="CJ29:CJ34" si="132">CI29</f>
        <v>0</v>
      </c>
    </row>
    <row r="30" spans="2:92" hidden="1" x14ac:dyDescent="0.3">
      <c r="B30" s="330"/>
      <c r="C30" s="1512">
        <v>65</v>
      </c>
      <c r="D30" s="1513">
        <f>'7.1 Dealer area'!G43</f>
        <v>0</v>
      </c>
      <c r="E30" s="1517">
        <f t="shared" ref="E30:M30" si="133">D19</f>
        <v>0</v>
      </c>
      <c r="F30" s="1517">
        <f t="shared" si="133"/>
        <v>0</v>
      </c>
      <c r="G30" s="1517">
        <f t="shared" si="133"/>
        <v>0</v>
      </c>
      <c r="H30" s="1517">
        <f t="shared" si="133"/>
        <v>0</v>
      </c>
      <c r="I30" s="1517">
        <f t="shared" si="133"/>
        <v>0</v>
      </c>
      <c r="J30" s="1517">
        <f t="shared" si="133"/>
        <v>0</v>
      </c>
      <c r="K30" s="1517">
        <f t="shared" si="133"/>
        <v>0</v>
      </c>
      <c r="L30" s="1517">
        <f t="shared" si="133"/>
        <v>0</v>
      </c>
      <c r="M30" s="1517">
        <f t="shared" si="133"/>
        <v>0</v>
      </c>
      <c r="N30" s="1544">
        <f t="shared" si="101"/>
        <v>0</v>
      </c>
      <c r="Q30" s="1480">
        <v>65</v>
      </c>
      <c r="R30" s="816">
        <f>('5.1 DAF Vehicle Parc Input'!E29*'DAF Labour CPV (short)'!E9)*((1-'5.1 DAF Vehicle Parc Input'!$H$56)/(1-'Calculation (short)'!$O$1))*(1+$I$1)</f>
        <v>0</v>
      </c>
      <c r="S30" s="816">
        <f>('5.1 DAF Vehicle Parc Input'!F29*'DAF Labour CPV (short)'!F9)*((1-'5.1 DAF Vehicle Parc Input'!$H$56)/(1-'Calculation (short)'!$O$1))*(1+$I$1)</f>
        <v>0</v>
      </c>
      <c r="T30" s="816">
        <f>('5.1 DAF Vehicle Parc Input'!G29*'DAF Labour CPV (short)'!G9)*((1-'5.1 DAF Vehicle Parc Input'!$H$56)/(1-'Calculation (short)'!$O$1))*(1+$I$1)</f>
        <v>0</v>
      </c>
      <c r="U30" s="816">
        <f>('5.1 DAF Vehicle Parc Input'!H29*'DAF Labour CPV (short)'!H9)*((1-'5.1 DAF Vehicle Parc Input'!$H$56)/(1-'Calculation (short)'!$O$1))*(1+$I$1)</f>
        <v>0</v>
      </c>
      <c r="V30" s="816">
        <f>('5.1 DAF Vehicle Parc Input'!I29*'DAF Labour CPV (short)'!I9)*((1-'5.1 DAF Vehicle Parc Input'!$H$56)/(1-'Calculation (short)'!$O$1))*(1+$I$1)</f>
        <v>0</v>
      </c>
      <c r="W30" s="816">
        <f>('5.1 DAF Vehicle Parc Input'!J29*'DAF Labour CPV (short)'!J9)*((1-'5.1 DAF Vehicle Parc Input'!$H$56)/(1-'Calculation (short)'!$O$1))*(1+$I$1)</f>
        <v>0</v>
      </c>
      <c r="X30" s="816">
        <f>('5.1 DAF Vehicle Parc Input'!K29*'DAF Labour CPV (short)'!K9)*((1-'5.1 DAF Vehicle Parc Input'!$H$56)/(1-'Calculation (short)'!$O$1))*(1+$I$1)</f>
        <v>0</v>
      </c>
      <c r="Y30" s="816">
        <f>('5.1 DAF Vehicle Parc Input'!L29*'DAF Labour CPV (short)'!L9)*((1-'5.1 DAF Vehicle Parc Input'!$H$56)/(1-'Calculation (short)'!$O$1))*(1+$I$1)</f>
        <v>0</v>
      </c>
      <c r="Z30" s="816">
        <f>('5.1 DAF Vehicle Parc Input'!M29*'DAF Labour CPV (short)'!M9)*((1-'5.1 DAF Vehicle Parc Input'!$H$56)/(1-'Calculation (short)'!$O$1))*(1+$I$1)</f>
        <v>0</v>
      </c>
      <c r="AA30" s="816">
        <f>('5.1 DAF Vehicle Parc Input'!N29*'DAF Labour CPV (short)'!N9)*((1-'5.1 DAF Vehicle Parc Input'!$H$56)/(1-'Calculation (short)'!$O$1))*(1+$I$1)</f>
        <v>0</v>
      </c>
      <c r="AB30" s="816">
        <f>('5.1 DAF Vehicle Parc Input'!O29*'DAF Labour CPV (short)'!O9)*((1-'5.1 DAF Vehicle Parc Input'!$H$56)/(1-'Calculation (short)'!$O$1))*(1+$I$1)</f>
        <v>0</v>
      </c>
      <c r="AC30" s="816">
        <f>('5.1 DAF Vehicle Parc Input'!P29*'DAF Labour CPV (short)'!P9)*((1-'5.1 DAF Vehicle Parc Input'!$H$56)/(1-'Calculation (short)'!$O$1))*(1+$I$1)</f>
        <v>0</v>
      </c>
      <c r="AD30" s="816">
        <f>('5.1 DAF Vehicle Parc Input'!Q29*'DAF Labour CPV (short)'!Q9)*((1-'5.1 DAF Vehicle Parc Input'!$H$56)/(1-'Calculation (short)'!$O$1))*(1+$I$1)</f>
        <v>0</v>
      </c>
      <c r="AE30" s="816">
        <f>('5.1 DAF Vehicle Parc Input'!R29*'DAF Labour CPV (short)'!R9)*((1-'5.1 DAF Vehicle Parc Input'!$H$56)/(1-'Calculation (short)'!$O$1))*(1+$I$1)</f>
        <v>0</v>
      </c>
      <c r="AF30" s="816">
        <f>('5.1 DAF Vehicle Parc Input'!S29*'DAF Labour CPV (short)'!S9)*((1-'5.1 DAF Vehicle Parc Input'!$H$56)/(1-'Calculation (short)'!$O$1))*(1+$I$1)</f>
        <v>0</v>
      </c>
      <c r="AG30" s="817">
        <f t="shared" si="102"/>
        <v>0</v>
      </c>
      <c r="AH30" s="1486">
        <f t="shared" si="108"/>
        <v>0</v>
      </c>
      <c r="AV30" s="1480">
        <v>65</v>
      </c>
      <c r="AW30" s="814">
        <f t="shared" si="109"/>
        <v>0</v>
      </c>
      <c r="AX30" s="814">
        <f t="shared" si="103"/>
        <v>0</v>
      </c>
      <c r="AY30" s="814">
        <f t="shared" si="103"/>
        <v>0</v>
      </c>
      <c r="AZ30" s="814">
        <f t="shared" si="103"/>
        <v>0</v>
      </c>
      <c r="BA30" s="814">
        <f t="shared" si="103"/>
        <v>0</v>
      </c>
      <c r="BB30" s="814">
        <f t="shared" si="103"/>
        <v>0</v>
      </c>
      <c r="BC30" s="814">
        <f t="shared" si="103"/>
        <v>0</v>
      </c>
      <c r="BD30" s="814">
        <f t="shared" si="103"/>
        <v>0</v>
      </c>
      <c r="BE30" s="814">
        <f t="shared" si="103"/>
        <v>0</v>
      </c>
      <c r="BF30" s="814">
        <f t="shared" si="103"/>
        <v>0</v>
      </c>
      <c r="BG30" s="1612">
        <f t="shared" si="110"/>
        <v>0</v>
      </c>
      <c r="BH30" s="1613">
        <f t="shared" si="111"/>
        <v>0</v>
      </c>
      <c r="BJ30" s="1498">
        <v>65</v>
      </c>
      <c r="BK30" s="1501">
        <f t="shared" si="112"/>
        <v>0</v>
      </c>
      <c r="BL30" s="1501">
        <f t="shared" si="113"/>
        <v>0</v>
      </c>
      <c r="BM30" s="1501">
        <f t="shared" si="114"/>
        <v>0</v>
      </c>
      <c r="BN30" s="1501">
        <f t="shared" si="115"/>
        <v>0</v>
      </c>
      <c r="BO30" s="1501">
        <f t="shared" si="116"/>
        <v>0</v>
      </c>
      <c r="BP30" s="1501">
        <f t="shared" si="117"/>
        <v>0</v>
      </c>
      <c r="BQ30" s="1501">
        <f t="shared" si="118"/>
        <v>0</v>
      </c>
      <c r="BR30" s="1501">
        <f t="shared" si="119"/>
        <v>0</v>
      </c>
      <c r="BS30" s="1501">
        <f t="shared" si="120"/>
        <v>0</v>
      </c>
      <c r="BT30" s="1501">
        <f>AA19*M30*AT9</f>
        <v>0</v>
      </c>
      <c r="BU30" s="1547">
        <f t="shared" si="35"/>
        <v>0</v>
      </c>
      <c r="BV30" s="1548">
        <f t="shared" si="121"/>
        <v>0</v>
      </c>
      <c r="BX30" s="1498">
        <v>65</v>
      </c>
      <c r="BY30" s="1505">
        <f t="shared" si="122"/>
        <v>0</v>
      </c>
      <c r="BZ30" s="1505">
        <f t="shared" si="123"/>
        <v>0</v>
      </c>
      <c r="CA30" s="1505">
        <f t="shared" si="124"/>
        <v>0</v>
      </c>
      <c r="CB30" s="1505">
        <f t="shared" si="125"/>
        <v>0</v>
      </c>
      <c r="CC30" s="1505">
        <f t="shared" si="126"/>
        <v>0</v>
      </c>
      <c r="CD30" s="1505">
        <f t="shared" si="127"/>
        <v>0</v>
      </c>
      <c r="CE30" s="1505">
        <f t="shared" si="128"/>
        <v>0</v>
      </c>
      <c r="CF30" s="1505">
        <f t="shared" si="129"/>
        <v>0</v>
      </c>
      <c r="CG30" s="1505">
        <f t="shared" si="130"/>
        <v>0</v>
      </c>
      <c r="CH30" s="1505">
        <f t="shared" si="131"/>
        <v>0</v>
      </c>
      <c r="CI30" s="1549">
        <f t="shared" si="106"/>
        <v>0</v>
      </c>
      <c r="CJ30" s="1550">
        <f t="shared" si="132"/>
        <v>0</v>
      </c>
    </row>
    <row r="31" spans="2:92" hidden="1" x14ac:dyDescent="0.3">
      <c r="B31" s="330"/>
      <c r="C31" s="1512">
        <v>75</v>
      </c>
      <c r="D31" s="1513">
        <f>'7.1 Dealer area'!G44</f>
        <v>0</v>
      </c>
      <c r="E31" s="1517">
        <f t="shared" ref="E31:M31" si="134">D20</f>
        <v>0</v>
      </c>
      <c r="F31" s="1517">
        <f t="shared" si="134"/>
        <v>0</v>
      </c>
      <c r="G31" s="1517">
        <f t="shared" si="134"/>
        <v>0</v>
      </c>
      <c r="H31" s="1517">
        <f t="shared" si="134"/>
        <v>0</v>
      </c>
      <c r="I31" s="1517">
        <f t="shared" si="134"/>
        <v>0</v>
      </c>
      <c r="J31" s="1517">
        <f t="shared" si="134"/>
        <v>0</v>
      </c>
      <c r="K31" s="1517">
        <f t="shared" si="134"/>
        <v>0</v>
      </c>
      <c r="L31" s="1517">
        <f t="shared" si="134"/>
        <v>0</v>
      </c>
      <c r="M31" s="1517">
        <f t="shared" si="134"/>
        <v>0</v>
      </c>
      <c r="N31" s="1544">
        <f t="shared" si="101"/>
        <v>0</v>
      </c>
      <c r="Q31" s="1480">
        <v>75</v>
      </c>
      <c r="R31" s="816">
        <f>('5.1 DAF Vehicle Parc Input'!E30*'DAF Labour CPV (short)'!E10)*((1-'5.1 DAF Vehicle Parc Input'!$H$56)/(1-'Calculation (short)'!$O$1))*(1+$I$1)</f>
        <v>0</v>
      </c>
      <c r="S31" s="816">
        <f>('5.1 DAF Vehicle Parc Input'!F30*'DAF Labour CPV (short)'!F10)*((1-'5.1 DAF Vehicle Parc Input'!$H$56)/(1-'Calculation (short)'!$O$1))*(1+$I$1)</f>
        <v>0</v>
      </c>
      <c r="T31" s="816">
        <f>('5.1 DAF Vehicle Parc Input'!G30*'DAF Labour CPV (short)'!G10)*((1-'5.1 DAF Vehicle Parc Input'!$H$56)/(1-'Calculation (short)'!$O$1))*(1+$I$1)</f>
        <v>0</v>
      </c>
      <c r="U31" s="816">
        <f>('5.1 DAF Vehicle Parc Input'!H30*'DAF Labour CPV (short)'!H10)*((1-'5.1 DAF Vehicle Parc Input'!$H$56)/(1-'Calculation (short)'!$O$1))*(1+$I$1)</f>
        <v>0</v>
      </c>
      <c r="V31" s="816">
        <f>('5.1 DAF Vehicle Parc Input'!I30*'DAF Labour CPV (short)'!I10)*((1-'5.1 DAF Vehicle Parc Input'!$H$56)/(1-'Calculation (short)'!$O$1))*(1+$I$1)</f>
        <v>0</v>
      </c>
      <c r="W31" s="816">
        <f>('5.1 DAF Vehicle Parc Input'!J30*'DAF Labour CPV (short)'!J10)*((1-'5.1 DAF Vehicle Parc Input'!$H$56)/(1-'Calculation (short)'!$O$1))*(1+$I$1)</f>
        <v>0</v>
      </c>
      <c r="X31" s="816">
        <f>('5.1 DAF Vehicle Parc Input'!K30*'DAF Labour CPV (short)'!K10)*((1-'5.1 DAF Vehicle Parc Input'!$H$56)/(1-'Calculation (short)'!$O$1))*(1+$I$1)</f>
        <v>0</v>
      </c>
      <c r="Y31" s="816">
        <f>('5.1 DAF Vehicle Parc Input'!L30*'DAF Labour CPV (short)'!L10)*((1-'5.1 DAF Vehicle Parc Input'!$H$56)/(1-'Calculation (short)'!$O$1))*(1+$I$1)</f>
        <v>0</v>
      </c>
      <c r="Z31" s="816">
        <f>('5.1 DAF Vehicle Parc Input'!M30*'DAF Labour CPV (short)'!M10)*((1-'5.1 DAF Vehicle Parc Input'!$H$56)/(1-'Calculation (short)'!$O$1))*(1+$I$1)</f>
        <v>0</v>
      </c>
      <c r="AA31" s="816">
        <f>('5.1 DAF Vehicle Parc Input'!N30*'DAF Labour CPV (short)'!N10)*((1-'5.1 DAF Vehicle Parc Input'!$H$56)/(1-'Calculation (short)'!$O$1))*(1+$I$1)</f>
        <v>0</v>
      </c>
      <c r="AB31" s="816">
        <f>('5.1 DAF Vehicle Parc Input'!O30*'DAF Labour CPV (short)'!O10)*((1-'5.1 DAF Vehicle Parc Input'!$H$56)/(1-'Calculation (short)'!$O$1))*(1+$I$1)</f>
        <v>0</v>
      </c>
      <c r="AC31" s="816">
        <f>('5.1 DAF Vehicle Parc Input'!P30*'DAF Labour CPV (short)'!P10)*((1-'5.1 DAF Vehicle Parc Input'!$H$56)/(1-'Calculation (short)'!$O$1))*(1+$I$1)</f>
        <v>0</v>
      </c>
      <c r="AD31" s="816">
        <f>('5.1 DAF Vehicle Parc Input'!Q30*'DAF Labour CPV (short)'!Q10)*((1-'5.1 DAF Vehicle Parc Input'!$H$56)/(1-'Calculation (short)'!$O$1))*(1+$I$1)</f>
        <v>0</v>
      </c>
      <c r="AE31" s="816">
        <f>('5.1 DAF Vehicle Parc Input'!R30*'DAF Labour CPV (short)'!R10)*((1-'5.1 DAF Vehicle Parc Input'!$H$56)/(1-'Calculation (short)'!$O$1))*(1+$I$1)</f>
        <v>0</v>
      </c>
      <c r="AF31" s="816">
        <f>('5.1 DAF Vehicle Parc Input'!S30*'DAF Labour CPV (short)'!S10)*((1-'5.1 DAF Vehicle Parc Input'!$H$56)/(1-'Calculation (short)'!$O$1))*(1+$I$1)</f>
        <v>0</v>
      </c>
      <c r="AG31" s="817">
        <f t="shared" si="102"/>
        <v>0</v>
      </c>
      <c r="AH31" s="1486">
        <f t="shared" si="108"/>
        <v>0</v>
      </c>
      <c r="AV31" s="1480">
        <v>75</v>
      </c>
      <c r="AW31" s="814">
        <f t="shared" si="109"/>
        <v>0</v>
      </c>
      <c r="AX31" s="814">
        <f t="shared" si="103"/>
        <v>0</v>
      </c>
      <c r="AY31" s="814">
        <f t="shared" si="103"/>
        <v>0</v>
      </c>
      <c r="AZ31" s="814">
        <f t="shared" si="103"/>
        <v>0</v>
      </c>
      <c r="BA31" s="814">
        <f t="shared" si="103"/>
        <v>0</v>
      </c>
      <c r="BB31" s="814">
        <f t="shared" si="103"/>
        <v>0</v>
      </c>
      <c r="BC31" s="814">
        <f t="shared" si="103"/>
        <v>0</v>
      </c>
      <c r="BD31" s="814">
        <f t="shared" si="103"/>
        <v>0</v>
      </c>
      <c r="BE31" s="814">
        <f t="shared" si="103"/>
        <v>0</v>
      </c>
      <c r="BF31" s="814">
        <f t="shared" si="103"/>
        <v>0</v>
      </c>
      <c r="BG31" s="1612">
        <f t="shared" si="110"/>
        <v>0</v>
      </c>
      <c r="BH31" s="1613">
        <f t="shared" si="111"/>
        <v>0</v>
      </c>
      <c r="BJ31" s="1498">
        <v>75</v>
      </c>
      <c r="BK31" s="1501">
        <f t="shared" si="112"/>
        <v>0</v>
      </c>
      <c r="BL31" s="1501">
        <f t="shared" si="113"/>
        <v>0</v>
      </c>
      <c r="BM31" s="1501">
        <f t="shared" si="114"/>
        <v>0</v>
      </c>
      <c r="BN31" s="1501">
        <f t="shared" si="115"/>
        <v>0</v>
      </c>
      <c r="BO31" s="1501">
        <f t="shared" si="116"/>
        <v>0</v>
      </c>
      <c r="BP31" s="1501">
        <f t="shared" si="117"/>
        <v>0</v>
      </c>
      <c r="BQ31" s="1501">
        <f t="shared" si="118"/>
        <v>0</v>
      </c>
      <c r="BR31" s="1501">
        <f t="shared" si="119"/>
        <v>0</v>
      </c>
      <c r="BS31" s="1501">
        <f t="shared" si="120"/>
        <v>0</v>
      </c>
      <c r="BT31" s="1501">
        <f>AA20*M31*AT10</f>
        <v>0</v>
      </c>
      <c r="BU31" s="1547">
        <f t="shared" si="35"/>
        <v>0</v>
      </c>
      <c r="BV31" s="1548">
        <f t="shared" si="121"/>
        <v>0</v>
      </c>
      <c r="BX31" s="1498">
        <v>75</v>
      </c>
      <c r="BY31" s="1505">
        <f t="shared" si="122"/>
        <v>0</v>
      </c>
      <c r="BZ31" s="1505">
        <f t="shared" si="123"/>
        <v>0</v>
      </c>
      <c r="CA31" s="1505">
        <f t="shared" si="124"/>
        <v>0</v>
      </c>
      <c r="CB31" s="1505">
        <f t="shared" si="125"/>
        <v>0</v>
      </c>
      <c r="CC31" s="1505">
        <f t="shared" si="126"/>
        <v>0</v>
      </c>
      <c r="CD31" s="1505">
        <f t="shared" si="127"/>
        <v>0</v>
      </c>
      <c r="CE31" s="1505">
        <f t="shared" si="128"/>
        <v>0</v>
      </c>
      <c r="CF31" s="1505">
        <f t="shared" si="129"/>
        <v>0</v>
      </c>
      <c r="CG31" s="1505">
        <f t="shared" si="130"/>
        <v>0</v>
      </c>
      <c r="CH31" s="1505">
        <f t="shared" si="131"/>
        <v>0</v>
      </c>
      <c r="CI31" s="1549">
        <f t="shared" si="106"/>
        <v>0</v>
      </c>
      <c r="CJ31" s="1550">
        <f t="shared" si="132"/>
        <v>0</v>
      </c>
    </row>
    <row r="32" spans="2:92" hidden="1" x14ac:dyDescent="0.3">
      <c r="B32" s="330"/>
      <c r="C32" s="1512">
        <v>85</v>
      </c>
      <c r="D32" s="1513">
        <f>'7.1 Dealer area'!G45</f>
        <v>125</v>
      </c>
      <c r="E32" s="1517">
        <f t="shared" ref="E32:M32" si="135">D21</f>
        <v>73</v>
      </c>
      <c r="F32" s="1517">
        <f t="shared" si="135"/>
        <v>29</v>
      </c>
      <c r="G32" s="1517">
        <f t="shared" si="135"/>
        <v>17</v>
      </c>
      <c r="H32" s="1517">
        <f t="shared" si="135"/>
        <v>19</v>
      </c>
      <c r="I32" s="1517">
        <f t="shared" si="135"/>
        <v>22</v>
      </c>
      <c r="J32" s="1517">
        <f t="shared" si="135"/>
        <v>20</v>
      </c>
      <c r="K32" s="1517">
        <f t="shared" si="135"/>
        <v>10</v>
      </c>
      <c r="L32" s="1517">
        <f t="shared" si="135"/>
        <v>15</v>
      </c>
      <c r="M32" s="1517">
        <f t="shared" si="135"/>
        <v>10</v>
      </c>
      <c r="N32" s="1544">
        <f t="shared" si="101"/>
        <v>340</v>
      </c>
      <c r="Q32" s="1480">
        <v>85</v>
      </c>
      <c r="R32" s="816">
        <f>('5.1 DAF Vehicle Parc Input'!E31*'DAF Labour CPV (short)'!E11)*((1-'5.1 DAF Vehicle Parc Input'!$H$56)/(1-'Calculation (short)'!$O$1))*(1+$I$1)</f>
        <v>298.23979294109859</v>
      </c>
      <c r="S32" s="816">
        <f>('5.1 DAF Vehicle Parc Input'!F31*'DAF Labour CPV (short)'!F11)*((1-'5.1 DAF Vehicle Parc Input'!$H$56)/(1-'Calculation (short)'!$O$1))*(1+$I$1)</f>
        <v>420.21544787295926</v>
      </c>
      <c r="T32" s="816">
        <f>('5.1 DAF Vehicle Parc Input'!G31*'DAF Labour CPV (short)'!G11)*((1-'5.1 DAF Vehicle Parc Input'!$H$56)/(1-'Calculation (short)'!$O$1))*(1+$I$1)</f>
        <v>580.95443783264875</v>
      </c>
      <c r="U32" s="816">
        <f>('5.1 DAF Vehicle Parc Input'!H31*'DAF Labour CPV (short)'!H11)*((1-'5.1 DAF Vehicle Parc Input'!$H$56)/(1-'Calculation (short)'!$O$1))*(1+$I$1)</f>
        <v>541.40199643222741</v>
      </c>
      <c r="V32" s="816">
        <f>('5.1 DAF Vehicle Parc Input'!I31*'DAF Labour CPV (short)'!I11)*((1-'5.1 DAF Vehicle Parc Input'!$H$56)/(1-'Calculation (short)'!$O$1))*(1+$I$1)</f>
        <v>312.54385839511349</v>
      </c>
      <c r="W32" s="816">
        <f>('5.1 DAF Vehicle Parc Input'!J31*'DAF Labour CPV (short)'!J11)*((1-'5.1 DAF Vehicle Parc Input'!$H$56)/(1-'Calculation (short)'!$O$1))*(1+$I$1)</f>
        <v>513.58551571268003</v>
      </c>
      <c r="X32" s="816">
        <f>('5.1 DAF Vehicle Parc Input'!K31*'DAF Labour CPV (short)'!K11)*((1-'5.1 DAF Vehicle Parc Input'!$H$56)/(1-'Calculation (short)'!$O$1))*(1+$I$1)</f>
        <v>363.78974029648163</v>
      </c>
      <c r="Y32" s="816">
        <f>('5.1 DAF Vehicle Parc Input'!L31*'DAF Labour CPV (short)'!L11)*((1-'5.1 DAF Vehicle Parc Input'!$H$56)/(1-'Calculation (short)'!$O$1))*(1+$I$1)</f>
        <v>577.78370517676501</v>
      </c>
      <c r="Z32" s="816">
        <f>('5.1 DAF Vehicle Parc Input'!M31*'DAF Labour CPV (short)'!M11)*((1-'5.1 DAF Vehicle Parc Input'!$H$56)/(1-'Calculation (short)'!$O$1))*(1+$I$1)</f>
        <v>406.58853327253831</v>
      </c>
      <c r="AA32" s="816">
        <f>('5.1 DAF Vehicle Parc Input'!N31*'DAF Labour CPV (short)'!N11)*((1-'5.1 DAF Vehicle Parc Input'!$H$56)/(1-'Calculation (short)'!$O$1))*(1+$I$1)</f>
        <v>641.98189464084999</v>
      </c>
      <c r="AB32" s="816">
        <f>('5.1 DAF Vehicle Parc Input'!O31*'DAF Labour CPV (short)'!O11)*((1-'5.1 DAF Vehicle Parc Input'!$H$56)/(1-'Calculation (short)'!$O$1))*(1+$I$1)</f>
        <v>410.86841257014402</v>
      </c>
      <c r="AC32" s="816">
        <f>('5.1 DAF Vehicle Parc Input'!P31*'DAF Labour CPV (short)'!P11)*((1-'5.1 DAF Vehicle Parc Input'!$H$56)/(1-'Calculation (short)'!$O$1))*(1+$I$1)</f>
        <v>590.62334306958189</v>
      </c>
      <c r="AD32" s="816">
        <f>('5.1 DAF Vehicle Parc Input'!Q31*'DAF Labour CPV (short)'!Q11)*((1-'5.1 DAF Vehicle Parc Input'!$H$56)/(1-'Calculation (short)'!$O$1))*(1+$I$1)</f>
        <v>376.62937818929868</v>
      </c>
      <c r="AE32" s="816">
        <f>('5.1 DAF Vehicle Parc Input'!R31*'DAF Labour CPV (short)'!R11)*((1-'5.1 DAF Vehicle Parc Input'!$H$56)/(1-'Calculation (short)'!$O$1))*(1+$I$1)</f>
        <v>539.26479149831403</v>
      </c>
      <c r="AF32" s="816">
        <f>('5.1 DAF Vehicle Parc Input'!S31*'DAF Labour CPV (short)'!S11)*((1-'5.1 DAF Vehicle Parc Input'!$H$56)/(1-'Calculation (short)'!$O$1))*(1+$I$1)</f>
        <v>342.39034380845334</v>
      </c>
      <c r="AG32" s="817">
        <f t="shared" si="102"/>
        <v>6916.8611917091539</v>
      </c>
      <c r="AH32" s="1486">
        <f t="shared" si="108"/>
        <v>6916.8611917091539</v>
      </c>
      <c r="AV32" s="1480">
        <v>85</v>
      </c>
      <c r="AW32" s="814">
        <f t="shared" si="109"/>
        <v>154056.30587920573</v>
      </c>
      <c r="AX32" s="814">
        <f t="shared" si="103"/>
        <v>79586.557295924431</v>
      </c>
      <c r="AY32" s="814">
        <f t="shared" si="103"/>
        <v>53851.808429887693</v>
      </c>
      <c r="AZ32" s="814">
        <f t="shared" si="103"/>
        <v>38322.394504747346</v>
      </c>
      <c r="BA32" s="814">
        <f t="shared" si="103"/>
        <v>48889.351611806145</v>
      </c>
      <c r="BB32" s="814">
        <f t="shared" si="103"/>
        <v>57677.837749805003</v>
      </c>
      <c r="BC32" s="814">
        <f t="shared" si="103"/>
        <v>55711.547826516195</v>
      </c>
      <c r="BD32" s="814">
        <f t="shared" si="103"/>
        <v>29494.348849332109</v>
      </c>
      <c r="BE32" s="814">
        <f t="shared" si="103"/>
        <v>46699.385678109174</v>
      </c>
      <c r="BF32" s="814">
        <f t="shared" si="103"/>
        <v>32771.498721480122</v>
      </c>
      <c r="BG32" s="1612">
        <f t="shared" si="110"/>
        <v>597061.03654681402</v>
      </c>
      <c r="BH32" s="1613">
        <f t="shared" si="111"/>
        <v>597061.03654681402</v>
      </c>
      <c r="BJ32" s="1498">
        <v>85</v>
      </c>
      <c r="BK32" s="1501">
        <f t="shared" si="112"/>
        <v>2192.9396539786658</v>
      </c>
      <c r="BL32" s="1501">
        <f t="shared" si="113"/>
        <v>1614.5119839329484</v>
      </c>
      <c r="BM32" s="1501">
        <f t="shared" si="114"/>
        <v>765.80357714303705</v>
      </c>
      <c r="BN32" s="1501">
        <f t="shared" si="115"/>
        <v>460.19169696739334</v>
      </c>
      <c r="BO32" s="1501">
        <f t="shared" si="116"/>
        <v>593.83333095071544</v>
      </c>
      <c r="BP32" s="1501">
        <f t="shared" si="117"/>
        <v>753.25875637859735</v>
      </c>
      <c r="BQ32" s="1501">
        <f t="shared" si="118"/>
        <v>727.57948059296325</v>
      </c>
      <c r="BR32" s="1501">
        <f t="shared" si="119"/>
        <v>385.18913678450997</v>
      </c>
      <c r="BS32" s="1501">
        <f t="shared" si="120"/>
        <v>609.88279990880756</v>
      </c>
      <c r="BT32" s="1501">
        <f>AA21*M32*AT11</f>
        <v>427.9879297605666</v>
      </c>
      <c r="BU32" s="1547">
        <f t="shared" si="35"/>
        <v>8531.1783463982028</v>
      </c>
      <c r="BV32" s="1548">
        <f t="shared" si="121"/>
        <v>8531.1783463982028</v>
      </c>
      <c r="BX32" s="1498">
        <v>85</v>
      </c>
      <c r="BY32" s="1505">
        <f t="shared" si="122"/>
        <v>43508.54605263158</v>
      </c>
      <c r="BZ32" s="1505">
        <f t="shared" si="123"/>
        <v>24858.217421052635</v>
      </c>
      <c r="CA32" s="1505">
        <f t="shared" si="124"/>
        <v>8455.0194473684223</v>
      </c>
      <c r="CB32" s="1505">
        <f t="shared" si="125"/>
        <v>4118.3010000000004</v>
      </c>
      <c r="CC32" s="1505">
        <f t="shared" si="126"/>
        <v>4782.442500000001</v>
      </c>
      <c r="CD32" s="1505">
        <f t="shared" si="127"/>
        <v>6221.5143157894745</v>
      </c>
      <c r="CE32" s="1505">
        <f t="shared" si="128"/>
        <v>6009.4172368421059</v>
      </c>
      <c r="CF32" s="1505">
        <f t="shared" si="129"/>
        <v>3181.4561842105263</v>
      </c>
      <c r="CG32" s="1505">
        <f t="shared" si="130"/>
        <v>5037.305625</v>
      </c>
      <c r="CH32" s="1505">
        <f t="shared" si="131"/>
        <v>3534.9513157894739</v>
      </c>
      <c r="CI32" s="1549">
        <f t="shared" si="106"/>
        <v>109707.17109868424</v>
      </c>
      <c r="CJ32" s="1550">
        <f t="shared" si="132"/>
        <v>109707.17109868424</v>
      </c>
    </row>
    <row r="33" spans="2:92" hidden="1" x14ac:dyDescent="0.3">
      <c r="B33" s="330"/>
      <c r="C33" s="1512">
        <v>95</v>
      </c>
      <c r="D33" s="1513">
        <v>0</v>
      </c>
      <c r="E33" s="1517">
        <f t="shared" ref="E33:M33" si="136">D22</f>
        <v>0</v>
      </c>
      <c r="F33" s="1517">
        <f t="shared" si="136"/>
        <v>0</v>
      </c>
      <c r="G33" s="1517">
        <f t="shared" si="136"/>
        <v>0</v>
      </c>
      <c r="H33" s="1517">
        <f t="shared" si="136"/>
        <v>0</v>
      </c>
      <c r="I33" s="1517">
        <f t="shared" si="136"/>
        <v>0</v>
      </c>
      <c r="J33" s="1517">
        <f t="shared" si="136"/>
        <v>0</v>
      </c>
      <c r="K33" s="1517">
        <f t="shared" si="136"/>
        <v>0</v>
      </c>
      <c r="L33" s="1517">
        <f t="shared" si="136"/>
        <v>0</v>
      </c>
      <c r="M33" s="1517">
        <f t="shared" si="136"/>
        <v>0</v>
      </c>
      <c r="N33" s="1544">
        <f t="shared" si="101"/>
        <v>0</v>
      </c>
      <c r="Q33" s="1480">
        <v>95</v>
      </c>
      <c r="R33" s="816">
        <f>('5.1 DAF Vehicle Parc Input'!E32*'DAF Labour CPV (short)'!E12)*((1-'5.1 DAF Vehicle Parc Input'!$H$56)/(1-'Calculation (short)'!$O$1))*(1+$I$1)</f>
        <v>0</v>
      </c>
      <c r="S33" s="816">
        <f>('5.1 DAF Vehicle Parc Input'!F32*'DAF Labour CPV (short)'!F12)*((1-'5.1 DAF Vehicle Parc Input'!$H$56)/(1-'Calculation (short)'!$O$1))*(1+$I$1)</f>
        <v>0</v>
      </c>
      <c r="T33" s="816">
        <f>('5.1 DAF Vehicle Parc Input'!G32*'DAF Labour CPV (short)'!G12)*((1-'5.1 DAF Vehicle Parc Input'!$H$56)/(1-'Calculation (short)'!$O$1))*(1+$I$1)</f>
        <v>0</v>
      </c>
      <c r="U33" s="816">
        <f>('5.1 DAF Vehicle Parc Input'!H32*'DAF Labour CPV (short)'!H12)*((1-'5.1 DAF Vehicle Parc Input'!$H$56)/(1-'Calculation (short)'!$O$1))*(1+$I$1)</f>
        <v>0</v>
      </c>
      <c r="V33" s="816">
        <f>('5.1 DAF Vehicle Parc Input'!I32*'DAF Labour CPV (short)'!I12)*((1-'5.1 DAF Vehicle Parc Input'!$H$56)/(1-'Calculation (short)'!$O$1))*(1+$I$1)</f>
        <v>0</v>
      </c>
      <c r="W33" s="816">
        <f>('5.1 DAF Vehicle Parc Input'!J32*'DAF Labour CPV (short)'!J12)*((1-'5.1 DAF Vehicle Parc Input'!$H$56)/(1-'Calculation (short)'!$O$1))*(1+$I$1)</f>
        <v>0</v>
      </c>
      <c r="X33" s="816">
        <f>('5.1 DAF Vehicle Parc Input'!K32*'DAF Labour CPV (short)'!K12)*((1-'5.1 DAF Vehicle Parc Input'!$H$56)/(1-'Calculation (short)'!$O$1))*(1+$I$1)</f>
        <v>0</v>
      </c>
      <c r="Y33" s="816">
        <f>('5.1 DAF Vehicle Parc Input'!L32*'DAF Labour CPV (short)'!L12)*((1-'5.1 DAF Vehicle Parc Input'!$H$56)/(1-'Calculation (short)'!$O$1))*(1+$I$1)</f>
        <v>0</v>
      </c>
      <c r="Z33" s="816">
        <f>('5.1 DAF Vehicle Parc Input'!M32*'DAF Labour CPV (short)'!M12)*((1-'5.1 DAF Vehicle Parc Input'!$H$56)/(1-'Calculation (short)'!$O$1))*(1+$I$1)</f>
        <v>0</v>
      </c>
      <c r="AA33" s="816">
        <f>('5.1 DAF Vehicle Parc Input'!N32*'DAF Labour CPV (short)'!N12)*((1-'5.1 DAF Vehicle Parc Input'!$H$56)/(1-'Calculation (short)'!$O$1))*(1+$I$1)</f>
        <v>0</v>
      </c>
      <c r="AB33" s="816">
        <f>('5.1 DAF Vehicle Parc Input'!O32*'DAF Labour CPV (short)'!O12)*((1-'5.1 DAF Vehicle Parc Input'!$H$56)/(1-'Calculation (short)'!$O$1))*(1+$I$1)</f>
        <v>0</v>
      </c>
      <c r="AC33" s="816">
        <f>('5.1 DAF Vehicle Parc Input'!P32*'DAF Labour CPV (short)'!P12)*((1-'5.1 DAF Vehicle Parc Input'!$H$56)/(1-'Calculation (short)'!$O$1))*(1+$I$1)</f>
        <v>0</v>
      </c>
      <c r="AD33" s="816">
        <f>('5.1 DAF Vehicle Parc Input'!Q32*'DAF Labour CPV (short)'!Q12)*((1-'5.1 DAF Vehicle Parc Input'!$H$56)/(1-'Calculation (short)'!$O$1))*(1+$I$1)</f>
        <v>0</v>
      </c>
      <c r="AE33" s="816">
        <f>('5.1 DAF Vehicle Parc Input'!R32*'DAF Labour CPV (short)'!R12)*((1-'5.1 DAF Vehicle Parc Input'!$H$56)/(1-'Calculation (short)'!$O$1))*(1+$I$1)</f>
        <v>0</v>
      </c>
      <c r="AF33" s="816">
        <f>('5.1 DAF Vehicle Parc Input'!S32*'DAF Labour CPV (short)'!S12)*((1-'5.1 DAF Vehicle Parc Input'!$H$56)/(1-'Calculation (short)'!$O$1))*(1+$I$1)</f>
        <v>0</v>
      </c>
      <c r="AG33" s="817">
        <f t="shared" si="102"/>
        <v>0</v>
      </c>
      <c r="AH33" s="1486">
        <f t="shared" si="108"/>
        <v>0</v>
      </c>
      <c r="AV33" s="1480">
        <v>95</v>
      </c>
      <c r="AW33" s="814">
        <f t="shared" si="109"/>
        <v>0</v>
      </c>
      <c r="AX33" s="814">
        <f t="shared" si="103"/>
        <v>0</v>
      </c>
      <c r="AY33" s="814">
        <f t="shared" si="103"/>
        <v>0</v>
      </c>
      <c r="AZ33" s="814">
        <f t="shared" si="103"/>
        <v>0</v>
      </c>
      <c r="BA33" s="814">
        <f t="shared" si="103"/>
        <v>0</v>
      </c>
      <c r="BB33" s="814">
        <f t="shared" si="103"/>
        <v>0</v>
      </c>
      <c r="BC33" s="814">
        <f t="shared" si="103"/>
        <v>0</v>
      </c>
      <c r="BD33" s="814">
        <f t="shared" si="103"/>
        <v>0</v>
      </c>
      <c r="BE33" s="814">
        <f t="shared" si="103"/>
        <v>0</v>
      </c>
      <c r="BF33" s="814">
        <f t="shared" si="103"/>
        <v>0</v>
      </c>
      <c r="BG33" s="1612">
        <f t="shared" si="110"/>
        <v>0</v>
      </c>
      <c r="BH33" s="1613">
        <f t="shared" si="111"/>
        <v>0</v>
      </c>
      <c r="BJ33" s="1498">
        <v>95</v>
      </c>
      <c r="BK33" s="1501">
        <f t="shared" si="112"/>
        <v>0</v>
      </c>
      <c r="BL33" s="1501">
        <f t="shared" si="113"/>
        <v>0</v>
      </c>
      <c r="BM33" s="1501">
        <f t="shared" si="114"/>
        <v>0</v>
      </c>
      <c r="BN33" s="1501">
        <f t="shared" si="115"/>
        <v>0</v>
      </c>
      <c r="BO33" s="1501">
        <f t="shared" si="116"/>
        <v>0</v>
      </c>
      <c r="BP33" s="1501">
        <f t="shared" si="117"/>
        <v>0</v>
      </c>
      <c r="BQ33" s="1501">
        <f t="shared" si="118"/>
        <v>0</v>
      </c>
      <c r="BR33" s="1501">
        <f t="shared" si="119"/>
        <v>0</v>
      </c>
      <c r="BS33" s="1501">
        <f t="shared" si="120"/>
        <v>0</v>
      </c>
      <c r="BT33" s="1501">
        <f>AA22*M33*AT12</f>
        <v>0</v>
      </c>
      <c r="BU33" s="1547">
        <f t="shared" si="35"/>
        <v>0</v>
      </c>
      <c r="BV33" s="1548">
        <f t="shared" si="121"/>
        <v>0</v>
      </c>
      <c r="BX33" s="1498">
        <v>95</v>
      </c>
      <c r="BY33" s="1505">
        <f t="shared" si="122"/>
        <v>0</v>
      </c>
      <c r="BZ33" s="1505">
        <f t="shared" si="123"/>
        <v>0</v>
      </c>
      <c r="CA33" s="1505">
        <f t="shared" si="124"/>
        <v>0</v>
      </c>
      <c r="CB33" s="1505">
        <f t="shared" si="125"/>
        <v>0</v>
      </c>
      <c r="CC33" s="1505">
        <f t="shared" si="126"/>
        <v>0</v>
      </c>
      <c r="CD33" s="1505">
        <f t="shared" si="127"/>
        <v>0</v>
      </c>
      <c r="CE33" s="1505">
        <f t="shared" si="128"/>
        <v>0</v>
      </c>
      <c r="CF33" s="1505">
        <f t="shared" si="129"/>
        <v>0</v>
      </c>
      <c r="CG33" s="1505">
        <f t="shared" si="130"/>
        <v>0</v>
      </c>
      <c r="CH33" s="1505">
        <f t="shared" si="131"/>
        <v>0</v>
      </c>
      <c r="CI33" s="1549">
        <f t="shared" si="106"/>
        <v>0</v>
      </c>
      <c r="CJ33" s="1550">
        <f t="shared" si="132"/>
        <v>0</v>
      </c>
    </row>
    <row r="34" spans="2:92" hidden="1" x14ac:dyDescent="0.3">
      <c r="B34" s="330"/>
      <c r="C34" s="1512">
        <v>105</v>
      </c>
      <c r="D34" s="1513">
        <f>'7.1 Dealer area'!G46</f>
        <v>0</v>
      </c>
      <c r="E34" s="1517">
        <f t="shared" ref="E34:M34" si="137">D23</f>
        <v>0</v>
      </c>
      <c r="F34" s="1517">
        <f t="shared" si="137"/>
        <v>0</v>
      </c>
      <c r="G34" s="1517">
        <f t="shared" si="137"/>
        <v>0</v>
      </c>
      <c r="H34" s="1517">
        <f t="shared" si="137"/>
        <v>0</v>
      </c>
      <c r="I34" s="1517">
        <f t="shared" si="137"/>
        <v>0</v>
      </c>
      <c r="J34" s="1517">
        <f t="shared" si="137"/>
        <v>0</v>
      </c>
      <c r="K34" s="1517">
        <f t="shared" si="137"/>
        <v>0</v>
      </c>
      <c r="L34" s="1517">
        <f t="shared" si="137"/>
        <v>0</v>
      </c>
      <c r="M34" s="1517">
        <f t="shared" si="137"/>
        <v>0</v>
      </c>
      <c r="N34" s="1544">
        <f>SUM(D34:M34)</f>
        <v>0</v>
      </c>
      <c r="Q34" s="1480">
        <v>105</v>
      </c>
      <c r="R34" s="816">
        <f>('5.1 DAF Vehicle Parc Input'!E33*'DAF Labour CPV (short)'!E13)*((1-'5.1 DAF Vehicle Parc Input'!$H$56)/(1-'Calculation (short)'!$O$1))*(1+$I$1)</f>
        <v>0</v>
      </c>
      <c r="S34" s="816">
        <f>('5.1 DAF Vehicle Parc Input'!F33*'DAF Labour CPV (short)'!F13)*((1-'5.1 DAF Vehicle Parc Input'!$H$56)/(1-'Calculation (short)'!$O$1))*(1+$I$1)</f>
        <v>0</v>
      </c>
      <c r="T34" s="816">
        <f>('5.1 DAF Vehicle Parc Input'!G33*'DAF Labour CPV (short)'!G13)*((1-'5.1 DAF Vehicle Parc Input'!$H$56)/(1-'Calculation (short)'!$O$1))*(1+$I$1)</f>
        <v>0</v>
      </c>
      <c r="U34" s="816">
        <f>('5.1 DAF Vehicle Parc Input'!H33*'DAF Labour CPV (short)'!H13)*((1-'5.1 DAF Vehicle Parc Input'!$H$56)/(1-'Calculation (short)'!$O$1))*(1+$I$1)</f>
        <v>0</v>
      </c>
      <c r="V34" s="816">
        <f>('5.1 DAF Vehicle Parc Input'!I33*'DAF Labour CPV (short)'!I13)*((1-'5.1 DAF Vehicle Parc Input'!$H$56)/(1-'Calculation (short)'!$O$1))*(1+$I$1)</f>
        <v>0</v>
      </c>
      <c r="W34" s="816">
        <f>('5.1 DAF Vehicle Parc Input'!J33*'DAF Labour CPV (short)'!J13)*((1-'5.1 DAF Vehicle Parc Input'!$H$56)/(1-'Calculation (short)'!$O$1))*(1+$I$1)</f>
        <v>0</v>
      </c>
      <c r="X34" s="816">
        <f>('5.1 DAF Vehicle Parc Input'!K33*'DAF Labour CPV (short)'!K13)*((1-'5.1 DAF Vehicle Parc Input'!$H$56)/(1-'Calculation (short)'!$O$1))*(1+$I$1)</f>
        <v>0</v>
      </c>
      <c r="Y34" s="816">
        <f>('5.1 DAF Vehicle Parc Input'!L33*'DAF Labour CPV (short)'!L13)*((1-'5.1 DAF Vehicle Parc Input'!$H$56)/(1-'Calculation (short)'!$O$1))*(1+$I$1)</f>
        <v>0</v>
      </c>
      <c r="Z34" s="816">
        <f>('5.1 DAF Vehicle Parc Input'!M33*'DAF Labour CPV (short)'!M13)*((1-'5.1 DAF Vehicle Parc Input'!$H$56)/(1-'Calculation (short)'!$O$1))*(1+$I$1)</f>
        <v>0</v>
      </c>
      <c r="AA34" s="816">
        <f>('5.1 DAF Vehicle Parc Input'!N33*'DAF Labour CPV (short)'!N13)*((1-'5.1 DAF Vehicle Parc Input'!$H$56)/(1-'Calculation (short)'!$O$1))*(1+$I$1)</f>
        <v>0</v>
      </c>
      <c r="AB34" s="816">
        <f>('5.1 DAF Vehicle Parc Input'!O33*'DAF Labour CPV (short)'!O13)*((1-'5.1 DAF Vehicle Parc Input'!$H$56)/(1-'Calculation (short)'!$O$1))*(1+$I$1)</f>
        <v>0</v>
      </c>
      <c r="AC34" s="816">
        <f>('5.1 DAF Vehicle Parc Input'!P33*'DAF Labour CPV (short)'!P13)*((1-'5.1 DAF Vehicle Parc Input'!$H$56)/(1-'Calculation (short)'!$O$1))*(1+$I$1)</f>
        <v>0</v>
      </c>
      <c r="AD34" s="816">
        <f>('5.1 DAF Vehicle Parc Input'!Q33*'DAF Labour CPV (short)'!Q13)*((1-'5.1 DAF Vehicle Parc Input'!$H$56)/(1-'Calculation (short)'!$O$1))*(1+$I$1)</f>
        <v>0</v>
      </c>
      <c r="AE34" s="816">
        <f>('5.1 DAF Vehicle Parc Input'!R33*'DAF Labour CPV (short)'!R13)*((1-'5.1 DAF Vehicle Parc Input'!$H$56)/(1-'Calculation (short)'!$O$1))*(1+$I$1)</f>
        <v>0</v>
      </c>
      <c r="AF34" s="816">
        <f>('5.1 DAF Vehicle Parc Input'!S33*'DAF Labour CPV (short)'!S13)*((1-'5.1 DAF Vehicle Parc Input'!$H$56)/(1-'Calculation (short)'!$O$1))*(1+$I$1)</f>
        <v>0</v>
      </c>
      <c r="AG34" s="817">
        <f t="shared" si="102"/>
        <v>0</v>
      </c>
      <c r="AH34" s="1486">
        <f t="shared" si="108"/>
        <v>0</v>
      </c>
      <c r="AV34" s="1480">
        <v>105</v>
      </c>
      <c r="AW34" s="814">
        <f t="shared" si="109"/>
        <v>0</v>
      </c>
      <c r="AX34" s="814">
        <f t="shared" si="103"/>
        <v>0</v>
      </c>
      <c r="AY34" s="814">
        <f t="shared" si="103"/>
        <v>0</v>
      </c>
      <c r="AZ34" s="814">
        <f t="shared" si="103"/>
        <v>0</v>
      </c>
      <c r="BA34" s="814">
        <f t="shared" si="103"/>
        <v>0</v>
      </c>
      <c r="BB34" s="814">
        <f t="shared" si="103"/>
        <v>0</v>
      </c>
      <c r="BC34" s="814">
        <f t="shared" si="103"/>
        <v>0</v>
      </c>
      <c r="BD34" s="814">
        <f t="shared" si="103"/>
        <v>0</v>
      </c>
      <c r="BE34" s="814">
        <f t="shared" si="103"/>
        <v>0</v>
      </c>
      <c r="BF34" s="814">
        <f t="shared" si="103"/>
        <v>0</v>
      </c>
      <c r="BG34" s="1612">
        <f t="shared" si="110"/>
        <v>0</v>
      </c>
      <c r="BH34" s="1613">
        <f t="shared" si="111"/>
        <v>0</v>
      </c>
      <c r="BJ34" s="1498">
        <v>105</v>
      </c>
      <c r="BK34" s="1501">
        <f t="shared" si="112"/>
        <v>0</v>
      </c>
      <c r="BL34" s="1501">
        <f t="shared" si="113"/>
        <v>0</v>
      </c>
      <c r="BM34" s="1501">
        <f t="shared" si="114"/>
        <v>0</v>
      </c>
      <c r="BN34" s="1501">
        <f t="shared" si="115"/>
        <v>0</v>
      </c>
      <c r="BO34" s="1501">
        <f t="shared" si="116"/>
        <v>0</v>
      </c>
      <c r="BP34" s="1501">
        <f t="shared" si="117"/>
        <v>0</v>
      </c>
      <c r="BQ34" s="1501">
        <f t="shared" si="118"/>
        <v>0</v>
      </c>
      <c r="BR34" s="1501">
        <f t="shared" si="119"/>
        <v>0</v>
      </c>
      <c r="BS34" s="1501">
        <f t="shared" si="120"/>
        <v>0</v>
      </c>
      <c r="BT34" s="1501">
        <f>AA23*M34*AT13</f>
        <v>0</v>
      </c>
      <c r="BU34" s="1547">
        <f t="shared" si="35"/>
        <v>0</v>
      </c>
      <c r="BV34" s="1548">
        <f t="shared" si="121"/>
        <v>0</v>
      </c>
      <c r="BX34" s="1498">
        <v>105</v>
      </c>
      <c r="BY34" s="1505">
        <f t="shared" si="122"/>
        <v>0</v>
      </c>
      <c r="BZ34" s="1505">
        <f t="shared" si="123"/>
        <v>0</v>
      </c>
      <c r="CA34" s="1505">
        <f t="shared" si="124"/>
        <v>0</v>
      </c>
      <c r="CB34" s="1505">
        <f t="shared" si="125"/>
        <v>0</v>
      </c>
      <c r="CC34" s="1505">
        <f t="shared" si="126"/>
        <v>0</v>
      </c>
      <c r="CD34" s="1505">
        <f t="shared" si="127"/>
        <v>0</v>
      </c>
      <c r="CE34" s="1505">
        <f t="shared" si="128"/>
        <v>0</v>
      </c>
      <c r="CF34" s="1505">
        <f t="shared" si="129"/>
        <v>0</v>
      </c>
      <c r="CG34" s="1505">
        <f t="shared" si="130"/>
        <v>0</v>
      </c>
      <c r="CH34" s="1505">
        <f t="shared" si="131"/>
        <v>0</v>
      </c>
      <c r="CI34" s="1549">
        <f t="shared" si="106"/>
        <v>0</v>
      </c>
      <c r="CJ34" s="1550">
        <f t="shared" si="132"/>
        <v>0</v>
      </c>
    </row>
    <row r="35" spans="2:92" hidden="1" x14ac:dyDescent="0.3">
      <c r="B35" s="809"/>
      <c r="C35" s="1545"/>
      <c r="D35" s="1546">
        <f>SUM(D28:D34)</f>
        <v>125</v>
      </c>
      <c r="E35" s="1546">
        <f t="shared" ref="E35:N35" si="138">SUM(E28:E34)</f>
        <v>73</v>
      </c>
      <c r="F35" s="1546">
        <f t="shared" si="138"/>
        <v>29</v>
      </c>
      <c r="G35" s="1546">
        <f t="shared" si="138"/>
        <v>17</v>
      </c>
      <c r="H35" s="1546">
        <f t="shared" si="138"/>
        <v>19</v>
      </c>
      <c r="I35" s="1546">
        <f t="shared" si="138"/>
        <v>22</v>
      </c>
      <c r="J35" s="1546">
        <f t="shared" si="138"/>
        <v>20</v>
      </c>
      <c r="K35" s="1546">
        <f t="shared" si="138"/>
        <v>10</v>
      </c>
      <c r="L35" s="1546">
        <f t="shared" si="138"/>
        <v>15</v>
      </c>
      <c r="M35" s="1546">
        <f t="shared" si="138"/>
        <v>10</v>
      </c>
      <c r="N35" s="1546">
        <f t="shared" si="138"/>
        <v>340</v>
      </c>
      <c r="Q35" s="1481"/>
      <c r="R35" s="815"/>
      <c r="S35" s="815"/>
      <c r="T35" s="815"/>
      <c r="U35" s="815"/>
      <c r="V35" s="815"/>
      <c r="W35" s="815"/>
      <c r="X35" s="815"/>
      <c r="Y35" s="815"/>
      <c r="Z35" s="815"/>
      <c r="AA35" s="815"/>
      <c r="AB35" s="815"/>
      <c r="AC35" s="815"/>
      <c r="AD35" s="815"/>
      <c r="AE35" s="815"/>
      <c r="AF35" s="815"/>
      <c r="AG35" s="815"/>
      <c r="AH35" s="1486">
        <f>SUM(AH28:AH34)</f>
        <v>6916.8611917091539</v>
      </c>
      <c r="AV35" s="1481"/>
      <c r="AW35" s="815"/>
      <c r="AX35" s="815"/>
      <c r="AY35" s="815"/>
      <c r="AZ35" s="815"/>
      <c r="BA35" s="815"/>
      <c r="BB35" s="815"/>
      <c r="BC35" s="815"/>
      <c r="BD35" s="815"/>
      <c r="BE35" s="815"/>
      <c r="BF35" s="815"/>
      <c r="BG35" s="1612"/>
      <c r="BH35" s="1613">
        <f>SUM(BH28:BH34)</f>
        <v>597061.03654681402</v>
      </c>
      <c r="BJ35" s="1480"/>
      <c r="BK35" s="814"/>
      <c r="BL35" s="814"/>
      <c r="BM35" s="814"/>
      <c r="BN35" s="814"/>
      <c r="BO35" s="814"/>
      <c r="BP35" s="814"/>
      <c r="BQ35" s="814"/>
      <c r="BR35" s="814"/>
      <c r="BS35" s="814"/>
      <c r="BT35" s="814"/>
      <c r="BU35" s="1549"/>
      <c r="BV35" s="1550">
        <f>SUM(BV28:BV34)</f>
        <v>8531.1783463982028</v>
      </c>
      <c r="BX35" s="1506"/>
      <c r="BY35" s="1503"/>
      <c r="BZ35" s="1503"/>
      <c r="CA35" s="1503"/>
      <c r="CB35" s="1503"/>
      <c r="CC35" s="1503"/>
      <c r="CD35" s="1503"/>
      <c r="CE35" s="1503"/>
      <c r="CF35" s="1503"/>
      <c r="CG35" s="1503"/>
      <c r="CH35" s="1503"/>
      <c r="CI35" s="1549"/>
      <c r="CJ35" s="1550">
        <f>SUM(CJ28:CJ34)</f>
        <v>109707.17109868424</v>
      </c>
    </row>
    <row r="36" spans="2:92" hidden="1" x14ac:dyDescent="0.3">
      <c r="B36" s="1507" t="s">
        <v>277</v>
      </c>
      <c r="C36" s="1515">
        <f>'Reference sheet'!C18+3</f>
        <v>2022</v>
      </c>
      <c r="D36" s="1509"/>
      <c r="E36" s="330"/>
      <c r="F36" s="330"/>
      <c r="G36" s="330"/>
      <c r="H36" s="330"/>
      <c r="I36" s="330"/>
      <c r="J36" s="330"/>
      <c r="K36" s="330"/>
      <c r="L36" s="330"/>
      <c r="M36" s="330"/>
      <c r="N36" s="330"/>
      <c r="Q36" s="1480" t="s">
        <v>1069</v>
      </c>
      <c r="R36" s="2219" t="s">
        <v>1004</v>
      </c>
      <c r="S36" s="2218"/>
      <c r="T36" s="2218"/>
      <c r="U36" s="2218"/>
      <c r="V36" s="2218"/>
      <c r="W36" s="2218"/>
      <c r="X36" s="2218"/>
      <c r="Y36" s="2218"/>
      <c r="Z36" s="2218"/>
      <c r="AA36" s="2218"/>
      <c r="AB36" s="2218"/>
      <c r="AC36" s="2218"/>
      <c r="AD36" s="2218"/>
      <c r="AE36" s="2218"/>
      <c r="AF36" s="2218"/>
      <c r="AG36" s="811"/>
      <c r="AH36" s="1483"/>
      <c r="AV36" s="1480">
        <f>AV26+1</f>
        <v>2022</v>
      </c>
      <c r="AW36" s="812" t="s">
        <v>1002</v>
      </c>
      <c r="AX36" s="811"/>
      <c r="AY36" s="811"/>
      <c r="AZ36" s="811"/>
      <c r="BA36" s="811"/>
      <c r="BB36" s="811"/>
      <c r="BC36" s="811"/>
      <c r="BD36" s="811"/>
      <c r="BE36" s="811"/>
      <c r="BF36" s="811"/>
      <c r="BG36" s="1614"/>
      <c r="BH36" s="1613"/>
      <c r="BJ36" s="1498">
        <f>AV36</f>
        <v>2022</v>
      </c>
      <c r="BK36" s="2220" t="s">
        <v>1003</v>
      </c>
      <c r="BL36" s="2221"/>
      <c r="BM36" s="2221"/>
      <c r="BN36" s="2221"/>
      <c r="BO36" s="2221"/>
      <c r="BP36" s="2221"/>
      <c r="BQ36" s="2221"/>
      <c r="BR36" s="2221"/>
      <c r="BS36" s="2221"/>
      <c r="BT36" s="2221"/>
      <c r="BU36" s="809">
        <f t="shared" si="35"/>
        <v>0</v>
      </c>
      <c r="BX36" s="1498" t="s">
        <v>1069</v>
      </c>
      <c r="BY36" s="2220" t="s">
        <v>1004</v>
      </c>
      <c r="BZ36" s="2221"/>
      <c r="CA36" s="2221"/>
      <c r="CB36" s="2221"/>
      <c r="CC36" s="2221"/>
      <c r="CD36" s="2221"/>
      <c r="CE36" s="2221"/>
      <c r="CF36" s="2221"/>
      <c r="CG36" s="2221"/>
      <c r="CH36" s="2221"/>
      <c r="CI36" s="2221"/>
      <c r="CJ36" s="2221"/>
      <c r="CK36" s="2223"/>
      <c r="CL36" s="2223"/>
      <c r="CM36" s="2224"/>
      <c r="CN36" s="811"/>
    </row>
    <row r="37" spans="2:92" hidden="1" x14ac:dyDescent="0.3">
      <c r="B37" s="330" t="s">
        <v>271</v>
      </c>
      <c r="C37" s="1510"/>
      <c r="D37" s="1511">
        <f>D27+1</f>
        <v>2022</v>
      </c>
      <c r="E37" s="1512">
        <f t="shared" ref="E37:M37" si="139">D37-1</f>
        <v>2021</v>
      </c>
      <c r="F37" s="1512">
        <f t="shared" si="139"/>
        <v>2020</v>
      </c>
      <c r="G37" s="1512">
        <f t="shared" si="139"/>
        <v>2019</v>
      </c>
      <c r="H37" s="1512">
        <f t="shared" si="139"/>
        <v>2018</v>
      </c>
      <c r="I37" s="1512">
        <f t="shared" si="139"/>
        <v>2017</v>
      </c>
      <c r="J37" s="1512">
        <f t="shared" si="139"/>
        <v>2016</v>
      </c>
      <c r="K37" s="1512">
        <f t="shared" si="139"/>
        <v>2015</v>
      </c>
      <c r="L37" s="1512">
        <f t="shared" si="139"/>
        <v>2014</v>
      </c>
      <c r="M37" s="1512">
        <f t="shared" si="139"/>
        <v>2013</v>
      </c>
      <c r="N37" s="1512" t="s">
        <v>276</v>
      </c>
      <c r="Q37" s="1479" t="s">
        <v>962</v>
      </c>
      <c r="R37" s="812" t="s">
        <v>965</v>
      </c>
      <c r="S37" s="812" t="s">
        <v>966</v>
      </c>
      <c r="T37" s="812" t="s">
        <v>967</v>
      </c>
      <c r="U37" s="812" t="s">
        <v>968</v>
      </c>
      <c r="V37" s="812" t="s">
        <v>969</v>
      </c>
      <c r="W37" s="812" t="s">
        <v>970</v>
      </c>
      <c r="X37" s="812" t="s">
        <v>971</v>
      </c>
      <c r="Y37" s="812" t="s">
        <v>972</v>
      </c>
      <c r="Z37" s="812" t="s">
        <v>973</v>
      </c>
      <c r="AA37" s="812" t="s">
        <v>974</v>
      </c>
      <c r="AB37" s="812" t="s">
        <v>975</v>
      </c>
      <c r="AC37" s="812" t="s">
        <v>976</v>
      </c>
      <c r="AD37" s="812" t="s">
        <v>977</v>
      </c>
      <c r="AE37" s="812" t="s">
        <v>978</v>
      </c>
      <c r="AF37" s="812" t="s">
        <v>979</v>
      </c>
      <c r="AG37" s="812"/>
      <c r="AH37" s="1483"/>
      <c r="AV37" s="1479" t="s">
        <v>962</v>
      </c>
      <c r="AW37" s="812">
        <f>AW27+1</f>
        <v>2022</v>
      </c>
      <c r="AX37" s="812">
        <f>AW37-1</f>
        <v>2021</v>
      </c>
      <c r="AY37" s="812">
        <f t="shared" ref="AY37:BF37" si="140">AX37-1</f>
        <v>2020</v>
      </c>
      <c r="AZ37" s="812">
        <f t="shared" si="140"/>
        <v>2019</v>
      </c>
      <c r="BA37" s="812">
        <f t="shared" si="140"/>
        <v>2018</v>
      </c>
      <c r="BB37" s="812">
        <f t="shared" si="140"/>
        <v>2017</v>
      </c>
      <c r="BC37" s="812">
        <f t="shared" si="140"/>
        <v>2016</v>
      </c>
      <c r="BD37" s="812">
        <f t="shared" si="140"/>
        <v>2015</v>
      </c>
      <c r="BE37" s="812">
        <f t="shared" si="140"/>
        <v>2014</v>
      </c>
      <c r="BF37" s="812">
        <f t="shared" si="140"/>
        <v>2013</v>
      </c>
      <c r="BG37" s="1615"/>
      <c r="BH37" s="1613"/>
      <c r="BJ37" s="1499" t="s">
        <v>962</v>
      </c>
      <c r="BK37" s="1499">
        <f t="shared" ref="BK37:BT37" si="141">AW37</f>
        <v>2022</v>
      </c>
      <c r="BL37" s="1499">
        <f t="shared" si="141"/>
        <v>2021</v>
      </c>
      <c r="BM37" s="1499">
        <f t="shared" si="141"/>
        <v>2020</v>
      </c>
      <c r="BN37" s="1499">
        <f t="shared" si="141"/>
        <v>2019</v>
      </c>
      <c r="BO37" s="1499">
        <f t="shared" si="141"/>
        <v>2018</v>
      </c>
      <c r="BP37" s="1499">
        <f t="shared" si="141"/>
        <v>2017</v>
      </c>
      <c r="BQ37" s="1499">
        <f t="shared" si="141"/>
        <v>2016</v>
      </c>
      <c r="BR37" s="1499">
        <f t="shared" si="141"/>
        <v>2015</v>
      </c>
      <c r="BS37" s="1499">
        <f t="shared" si="141"/>
        <v>2014</v>
      </c>
      <c r="BT37" s="1499">
        <f t="shared" si="141"/>
        <v>2013</v>
      </c>
      <c r="BX37" s="1499" t="s">
        <v>962</v>
      </c>
      <c r="BY37" s="1499">
        <f>D37</f>
        <v>2022</v>
      </c>
      <c r="BZ37" s="1499">
        <f>BY37-1</f>
        <v>2021</v>
      </c>
      <c r="CA37" s="1499">
        <f t="shared" ref="CA37:CH37" si="142">BZ37-1</f>
        <v>2020</v>
      </c>
      <c r="CB37" s="1499">
        <f t="shared" si="142"/>
        <v>2019</v>
      </c>
      <c r="CC37" s="1499">
        <f t="shared" si="142"/>
        <v>2018</v>
      </c>
      <c r="CD37" s="1499">
        <f t="shared" si="142"/>
        <v>2017</v>
      </c>
      <c r="CE37" s="1499">
        <f t="shared" si="142"/>
        <v>2016</v>
      </c>
      <c r="CF37" s="1499">
        <f t="shared" si="142"/>
        <v>2015</v>
      </c>
      <c r="CG37" s="1499">
        <f t="shared" si="142"/>
        <v>2014</v>
      </c>
      <c r="CH37" s="1499">
        <f t="shared" si="142"/>
        <v>2013</v>
      </c>
      <c r="CI37" s="1499"/>
      <c r="CJ37" s="1502"/>
      <c r="CK37" s="812"/>
      <c r="CL37" s="812"/>
      <c r="CM37" s="812"/>
      <c r="CN37" s="812"/>
    </row>
    <row r="38" spans="2:92" hidden="1" x14ac:dyDescent="0.3">
      <c r="B38" s="330"/>
      <c r="C38" s="1512">
        <v>45</v>
      </c>
      <c r="D38" s="1513">
        <f>'7.1 Dealer area'!I39</f>
        <v>0</v>
      </c>
      <c r="E38" s="1517">
        <f t="shared" ref="E38:M38" si="143">D28</f>
        <v>0</v>
      </c>
      <c r="F38" s="1517">
        <f t="shared" si="143"/>
        <v>0</v>
      </c>
      <c r="G38" s="1517">
        <f t="shared" si="143"/>
        <v>0</v>
      </c>
      <c r="H38" s="1517">
        <f t="shared" si="143"/>
        <v>0</v>
      </c>
      <c r="I38" s="1517">
        <f t="shared" si="143"/>
        <v>0</v>
      </c>
      <c r="J38" s="1517">
        <f t="shared" si="143"/>
        <v>0</v>
      </c>
      <c r="K38" s="1517">
        <f t="shared" si="143"/>
        <v>0</v>
      </c>
      <c r="L38" s="1517">
        <f t="shared" si="143"/>
        <v>0</v>
      </c>
      <c r="M38" s="1517">
        <f t="shared" si="143"/>
        <v>0</v>
      </c>
      <c r="N38" s="1544">
        <f t="shared" ref="N38:N44" si="144">SUM(D38:M38)</f>
        <v>0</v>
      </c>
      <c r="Q38" s="1480">
        <v>45</v>
      </c>
      <c r="R38" s="814">
        <f>('DAF Oil CPV (short)'!E7)/(1)*((1-'5.1 DAF Vehicle Parc Input'!$H$56)/(1-'Calculation (short)'!$O$1))*(1+$I$1)</f>
        <v>85.296315789473695</v>
      </c>
      <c r="S38" s="814">
        <f>('DAF Oil CPV (short)'!F7)/(1)*((1-'5.1 DAF Vehicle Parc Input'!$H$56)/(1-'Calculation (short)'!$O$1))*(1+$I$1)</f>
        <v>125.59452631578949</v>
      </c>
      <c r="T38" s="814">
        <f>('DAF Oil CPV (short)'!G7)/(1)*((1-'5.1 DAF Vehicle Parc Input'!$H$56)/(1-'Calculation (short)'!$O$1))*(1+$I$1)</f>
        <v>107.40978947368421</v>
      </c>
      <c r="U38" s="814">
        <f>('DAF Oil CPV (short)'!H7)/(1)*((1-'5.1 DAF Vehicle Parc Input'!$H$56)/(1-'Calculation (short)'!$O$1))*(1+$I$1)</f>
        <v>121.86378947368424</v>
      </c>
      <c r="V38" s="814">
        <f>('DAF Oil CPV (short)'!I7)/(1)*((1-'5.1 DAF Vehicle Parc Input'!$H$56)/(1-'Calculation (short)'!$O$1))*(1+$I$1)</f>
        <v>120.71747368421055</v>
      </c>
      <c r="W38" s="814">
        <f>('DAF Oil CPV (short)'!J7)/(1)*((1-'5.1 DAF Vehicle Parc Input'!$H$56)/(1-'Calculation (short)'!$O$1))*(1+$I$1)</f>
        <v>108.27473684210527</v>
      </c>
      <c r="X38" s="814">
        <f>('DAF Oil CPV (short)'!K7)/(1)*((1-'5.1 DAF Vehicle Parc Input'!$H$56)/(1-'Calculation (short)'!$O$1))*(1+$I$1)</f>
        <v>115.04190789473684</v>
      </c>
      <c r="Y38" s="814">
        <f>('DAF Oil CPV (short)'!L7)/(1)*((1-'5.1 DAF Vehicle Parc Input'!$H$56)/(1-'Calculation (short)'!$O$1))*(1+$I$1)</f>
        <v>121.80907894736843</v>
      </c>
      <c r="Z38" s="814">
        <f>('DAF Oil CPV (short)'!M7)/(1)*((1-'5.1 DAF Vehicle Parc Input'!$H$56)/(1-'Calculation (short)'!$O$1))*(1+$I$1)</f>
        <v>128.57625000000002</v>
      </c>
      <c r="AA38" s="814">
        <f>('DAF Oil CPV (short)'!N7)/(1)*((1-'5.1 DAF Vehicle Parc Input'!$H$56)/(1-'Calculation (short)'!$O$1))*(1+$I$1)</f>
        <v>135.34342105263158</v>
      </c>
      <c r="AB38" s="814">
        <f>('DAF Oil CPV (short)'!O7)/(1)*((1-'5.1 DAF Vehicle Parc Input'!$H$56)/(1-'Calculation (short)'!$O$1))*(1+$I$1)</f>
        <v>129.92968421052635</v>
      </c>
      <c r="AC38" s="814">
        <f>('DAF Oil CPV (short)'!P7)/(1)*((1-'5.1 DAF Vehicle Parc Input'!$H$56)/(1-'Calculation (short)'!$O$1))*(1+$I$1)</f>
        <v>124.51594736842107</v>
      </c>
      <c r="AD38" s="814">
        <f>('DAF Oil CPV (short)'!Q7)/(1)*((1-'5.1 DAF Vehicle Parc Input'!$H$56)/(1-'Calculation (short)'!$O$1))*(1+$I$1)</f>
        <v>119.10221052631582</v>
      </c>
      <c r="AE38" s="814">
        <f>('DAF Oil CPV (short)'!R7)/(1)*((1-'5.1 DAF Vehicle Parc Input'!$H$56)/(1-'Calculation (short)'!$O$1))*(1+$I$1)</f>
        <v>113.68847368421055</v>
      </c>
      <c r="AF38" s="814">
        <f>('DAF Oil CPV (short)'!S7)/(1)*((1-'5.1 DAF Vehicle Parc Input'!$H$56)/(1-'Calculation (short)'!$O$1))*(1+$I$1)</f>
        <v>108.27473684210527</v>
      </c>
      <c r="AG38" s="815">
        <f t="shared" ref="AG38:AG44" si="145">SUM(R38:AF38)</f>
        <v>1765.4383421052635</v>
      </c>
      <c r="AH38" s="1486">
        <f>AG38</f>
        <v>1765.4383421052635</v>
      </c>
      <c r="AV38" s="1480">
        <v>45</v>
      </c>
      <c r="AW38" s="814">
        <f>D38*R7*AK7</f>
        <v>0</v>
      </c>
      <c r="AX38" s="814">
        <f t="shared" ref="AX38:BF38" si="146">E38*S7*AL7</f>
        <v>0</v>
      </c>
      <c r="AY38" s="814">
        <f t="shared" si="146"/>
        <v>0</v>
      </c>
      <c r="AZ38" s="814">
        <f t="shared" si="146"/>
        <v>0</v>
      </c>
      <c r="BA38" s="814">
        <f t="shared" si="146"/>
        <v>0</v>
      </c>
      <c r="BB38" s="814">
        <f t="shared" si="146"/>
        <v>0</v>
      </c>
      <c r="BC38" s="814">
        <f t="shared" si="146"/>
        <v>0</v>
      </c>
      <c r="BD38" s="814">
        <f t="shared" si="146"/>
        <v>0</v>
      </c>
      <c r="BE38" s="814">
        <f t="shared" si="146"/>
        <v>0</v>
      </c>
      <c r="BF38" s="814">
        <f t="shared" si="146"/>
        <v>0</v>
      </c>
      <c r="BG38" s="1612">
        <f>SUM(AW38:BF38)</f>
        <v>0</v>
      </c>
      <c r="BH38" s="1613">
        <f>BG38</f>
        <v>0</v>
      </c>
      <c r="BJ38" s="1498">
        <v>45</v>
      </c>
      <c r="BK38" s="1501">
        <f>R17*D38*AK7</f>
        <v>0</v>
      </c>
      <c r="BL38" s="1501">
        <f t="shared" ref="BL38:BT38" si="147">S17*E38*AL7</f>
        <v>0</v>
      </c>
      <c r="BM38" s="1501">
        <f t="shared" si="147"/>
        <v>0</v>
      </c>
      <c r="BN38" s="1501">
        <f t="shared" si="147"/>
        <v>0</v>
      </c>
      <c r="BO38" s="1501">
        <f t="shared" si="147"/>
        <v>0</v>
      </c>
      <c r="BP38" s="1501">
        <f t="shared" si="147"/>
        <v>0</v>
      </c>
      <c r="BQ38" s="1501">
        <f t="shared" si="147"/>
        <v>0</v>
      </c>
      <c r="BR38" s="1501">
        <f t="shared" si="147"/>
        <v>0</v>
      </c>
      <c r="BS38" s="1501">
        <f t="shared" si="147"/>
        <v>0</v>
      </c>
      <c r="BT38" s="1501">
        <f t="shared" si="147"/>
        <v>0</v>
      </c>
      <c r="BU38" s="1547">
        <f t="shared" si="35"/>
        <v>0</v>
      </c>
      <c r="BV38" s="1548">
        <f>BU38</f>
        <v>0</v>
      </c>
      <c r="BX38" s="1498">
        <v>45</v>
      </c>
      <c r="BY38" s="1505">
        <f>D38*R38*AK7</f>
        <v>0</v>
      </c>
      <c r="BZ38" s="1505">
        <f t="shared" ref="BZ38:CH38" si="148">E38*S38*AL7</f>
        <v>0</v>
      </c>
      <c r="CA38" s="1505">
        <f t="shared" si="148"/>
        <v>0</v>
      </c>
      <c r="CB38" s="1505">
        <f t="shared" si="148"/>
        <v>0</v>
      </c>
      <c r="CC38" s="1505">
        <f t="shared" si="148"/>
        <v>0</v>
      </c>
      <c r="CD38" s="1505">
        <f t="shared" si="148"/>
        <v>0</v>
      </c>
      <c r="CE38" s="1505">
        <f t="shared" si="148"/>
        <v>0</v>
      </c>
      <c r="CF38" s="1505">
        <f t="shared" si="148"/>
        <v>0</v>
      </c>
      <c r="CG38" s="1505">
        <f t="shared" si="148"/>
        <v>0</v>
      </c>
      <c r="CH38" s="1505">
        <f t="shared" si="148"/>
        <v>0</v>
      </c>
      <c r="CI38" s="1549">
        <f t="shared" ref="CI38:CI44" si="149">SUM(BY38:CH38)</f>
        <v>0</v>
      </c>
      <c r="CJ38" s="1550">
        <f>CI38</f>
        <v>0</v>
      </c>
    </row>
    <row r="39" spans="2:92" hidden="1" x14ac:dyDescent="0.3">
      <c r="B39" s="330"/>
      <c r="C39" s="1512">
        <v>55</v>
      </c>
      <c r="D39" s="1513">
        <f>'7.1 Dealer area'!I40</f>
        <v>0</v>
      </c>
      <c r="E39" s="1517">
        <f t="shared" ref="E39:M39" si="150">D29</f>
        <v>0</v>
      </c>
      <c r="F39" s="1517">
        <f t="shared" si="150"/>
        <v>0</v>
      </c>
      <c r="G39" s="1517">
        <f t="shared" si="150"/>
        <v>0</v>
      </c>
      <c r="H39" s="1517">
        <f t="shared" si="150"/>
        <v>0</v>
      </c>
      <c r="I39" s="1517">
        <f t="shared" si="150"/>
        <v>0</v>
      </c>
      <c r="J39" s="1517">
        <f t="shared" si="150"/>
        <v>0</v>
      </c>
      <c r="K39" s="1517">
        <f t="shared" si="150"/>
        <v>0</v>
      </c>
      <c r="L39" s="1517">
        <f t="shared" si="150"/>
        <v>0</v>
      </c>
      <c r="M39" s="1517">
        <f t="shared" si="150"/>
        <v>0</v>
      </c>
      <c r="N39" s="1544">
        <f t="shared" si="144"/>
        <v>0</v>
      </c>
      <c r="Q39" s="1480">
        <v>55</v>
      </c>
      <c r="R39" s="814">
        <f>('DAF Oil CPV (short)'!E8)/(1)*((1-'5.1 DAF Vehicle Parc Input'!$H$56)/(1-'Calculation (short)'!$O$1))*(1+$I$1)</f>
        <v>105.61036739935324</v>
      </c>
      <c r="S39" s="814">
        <f>('DAF Oil CPV (short)'!F8)/(1)*((1-'5.1 DAF Vehicle Parc Input'!$H$56)/(1-'Calculation (short)'!$O$1))*(1+$I$1)</f>
        <v>142.04916432488167</v>
      </c>
      <c r="T39" s="814">
        <f>('DAF Oil CPV (short)'!G8)/(1)*((1-'5.1 DAF Vehicle Parc Input'!$H$56)/(1-'Calculation (short)'!$O$1))*(1+$I$1)</f>
        <v>131.28135859774105</v>
      </c>
      <c r="U39" s="814">
        <f>('DAF Oil CPV (short)'!H8)/(1)*((1-'5.1 DAF Vehicle Parc Input'!$H$56)/(1-'Calculation (short)'!$O$1))*(1+$I$1)</f>
        <v>135.23595671368983</v>
      </c>
      <c r="V39" s="814">
        <f>('DAF Oil CPV (short)'!I8)/(1)*((1-'5.1 DAF Vehicle Parc Input'!$H$56)/(1-'Calculation (short)'!$O$1))*(1+$I$1)</f>
        <v>112.01681634719036</v>
      </c>
      <c r="W39" s="814">
        <f>('DAF Oil CPV (short)'!J8)/(1)*((1-'5.1 DAF Vehicle Parc Input'!$H$56)/(1-'Calculation (short)'!$O$1))*(1+$I$1)</f>
        <v>134.30945086938183</v>
      </c>
      <c r="X39" s="814">
        <f>('DAF Oil CPV (short)'!K8)/(1)*((1-'5.1 DAF Vehicle Parc Input'!$H$56)/(1-'Calculation (short)'!$O$1))*(1+$I$1)</f>
        <v>142.70379154871824</v>
      </c>
      <c r="Y39" s="814">
        <f>('DAF Oil CPV (short)'!L8)/(1)*((1-'5.1 DAF Vehicle Parc Input'!$H$56)/(1-'Calculation (short)'!$O$1))*(1+$I$1)</f>
        <v>151.0981322280546</v>
      </c>
      <c r="Z39" s="814">
        <f>('DAF Oil CPV (short)'!M8)/(1)*((1-'5.1 DAF Vehicle Parc Input'!$H$56)/(1-'Calculation (short)'!$O$1))*(1+$I$1)</f>
        <v>159.49247290739095</v>
      </c>
      <c r="AA39" s="814">
        <f>('DAF Oil CPV (short)'!N8)/(1)*((1-'5.1 DAF Vehicle Parc Input'!$H$56)/(1-'Calculation (short)'!$O$1))*(1+$I$1)</f>
        <v>167.88681358672733</v>
      </c>
      <c r="AB39" s="814">
        <f>('DAF Oil CPV (short)'!O8)/(1)*((1-'5.1 DAF Vehicle Parc Input'!$H$56)/(1-'Calculation (short)'!$O$1))*(1+$I$1)</f>
        <v>161.17134104325825</v>
      </c>
      <c r="AC39" s="814">
        <f>('DAF Oil CPV (short)'!P8)/(1)*((1-'5.1 DAF Vehicle Parc Input'!$H$56)/(1-'Calculation (short)'!$O$1))*(1+$I$1)</f>
        <v>154.45586849978912</v>
      </c>
      <c r="AD39" s="814">
        <f>('DAF Oil CPV (short)'!Q8)/(1)*((1-'5.1 DAF Vehicle Parc Input'!$H$56)/(1-'Calculation (short)'!$O$1))*(1+$I$1)</f>
        <v>147.74039595632007</v>
      </c>
      <c r="AE39" s="814">
        <f>('DAF Oil CPV (short)'!R8)/(1)*((1-'5.1 DAF Vehicle Parc Input'!$H$56)/(1-'Calculation (short)'!$O$1))*(1+$I$1)</f>
        <v>141.02492341285097</v>
      </c>
      <c r="AF39" s="814">
        <f>('DAF Oil CPV (short)'!S8)/(1)*((1-'5.1 DAF Vehicle Parc Input'!$H$56)/(1-'Calculation (short)'!$O$1))*(1+$I$1)</f>
        <v>134.30945086938183</v>
      </c>
      <c r="AG39" s="815">
        <f t="shared" si="145"/>
        <v>2120.3863043047295</v>
      </c>
      <c r="AH39" s="1486">
        <f t="shared" ref="AH39:AH44" si="151">AG39</f>
        <v>2120.3863043047295</v>
      </c>
      <c r="AV39" s="1480">
        <v>55</v>
      </c>
      <c r="AW39" s="814">
        <f t="shared" ref="AW39:AW44" si="152">D39*R8*AK8</f>
        <v>0</v>
      </c>
      <c r="AX39" s="814">
        <f t="shared" ref="AX39:AX44" si="153">E39*S8*AL8</f>
        <v>0</v>
      </c>
      <c r="AY39" s="814">
        <f t="shared" ref="AY39:AY44" si="154">F39*T8*AM8</f>
        <v>0</v>
      </c>
      <c r="AZ39" s="814">
        <f t="shared" ref="AZ39:AZ44" si="155">G39*U8*AN8</f>
        <v>0</v>
      </c>
      <c r="BA39" s="814">
        <f t="shared" ref="BA39:BA44" si="156">H39*V8*AO8</f>
        <v>0</v>
      </c>
      <c r="BB39" s="814">
        <f t="shared" ref="BB39:BB44" si="157">I39*W8*AP8</f>
        <v>0</v>
      </c>
      <c r="BC39" s="814">
        <f t="shared" ref="BC39:BC44" si="158">J39*X8*AQ8</f>
        <v>0</v>
      </c>
      <c r="BD39" s="814">
        <f t="shared" ref="BD39:BD44" si="159">K39*Y8*AR8</f>
        <v>0</v>
      </c>
      <c r="BE39" s="814">
        <f t="shared" ref="BE39:BE44" si="160">L39*Z8*AS8</f>
        <v>0</v>
      </c>
      <c r="BF39" s="814">
        <f t="shared" ref="BF39:BF44" si="161">M39*AA8*AT8</f>
        <v>0</v>
      </c>
      <c r="BG39" s="1612">
        <f t="shared" ref="BG39:BG44" si="162">SUM(AW39:BF39)</f>
        <v>0</v>
      </c>
      <c r="BH39" s="1613">
        <f t="shared" ref="BH39:BH44" si="163">BG39</f>
        <v>0</v>
      </c>
      <c r="BJ39" s="1498">
        <v>55</v>
      </c>
      <c r="BK39" s="1501">
        <f t="shared" ref="BK39:BK44" si="164">R18*D39*AK8</f>
        <v>0</v>
      </c>
      <c r="BL39" s="1501">
        <f t="shared" ref="BL39:BL44" si="165">S18*E39*AL8</f>
        <v>0</v>
      </c>
      <c r="BM39" s="1501">
        <f t="shared" ref="BM39:BM44" si="166">T18*F39*AM8</f>
        <v>0</v>
      </c>
      <c r="BN39" s="1501">
        <f t="shared" ref="BN39:BN44" si="167">U18*G39*AN8</f>
        <v>0</v>
      </c>
      <c r="BO39" s="1501">
        <f t="shared" ref="BO39:BO44" si="168">V18*H39*AO8</f>
        <v>0</v>
      </c>
      <c r="BP39" s="1501">
        <f t="shared" ref="BP39:BP44" si="169">W18*I39*AP8</f>
        <v>0</v>
      </c>
      <c r="BQ39" s="1501">
        <f t="shared" ref="BQ39:BQ44" si="170">X18*J39*AQ8</f>
        <v>0</v>
      </c>
      <c r="BR39" s="1501">
        <f t="shared" ref="BR39:BR44" si="171">Y18*K39*AR8</f>
        <v>0</v>
      </c>
      <c r="BS39" s="1501">
        <f t="shared" ref="BS39:BS44" si="172">Z18*L39*AS8</f>
        <v>0</v>
      </c>
      <c r="BT39" s="1501">
        <f t="shared" ref="BT39:BT44" si="173">AA18*M39*AT8</f>
        <v>0</v>
      </c>
      <c r="BU39" s="1547">
        <f t="shared" si="35"/>
        <v>0</v>
      </c>
      <c r="BV39" s="1548">
        <f t="shared" ref="BV39:BV44" si="174">BU39</f>
        <v>0</v>
      </c>
      <c r="BX39" s="1498">
        <v>55</v>
      </c>
      <c r="BY39" s="1505">
        <f t="shared" ref="BY39:BY44" si="175">D39*R39*AK8</f>
        <v>0</v>
      </c>
      <c r="BZ39" s="1505">
        <f t="shared" ref="BZ39:BZ44" si="176">E39*S39*AL8</f>
        <v>0</v>
      </c>
      <c r="CA39" s="1505">
        <f t="shared" ref="CA39:CA44" si="177">F39*T39*AM8</f>
        <v>0</v>
      </c>
      <c r="CB39" s="1505">
        <f t="shared" ref="CB39:CB44" si="178">G39*U39*AN8</f>
        <v>0</v>
      </c>
      <c r="CC39" s="1505">
        <f t="shared" ref="CC39:CC44" si="179">H39*V39*AO8</f>
        <v>0</v>
      </c>
      <c r="CD39" s="1505">
        <f t="shared" ref="CD39:CD44" si="180">I39*W39*AP8</f>
        <v>0</v>
      </c>
      <c r="CE39" s="1505">
        <f t="shared" ref="CE39:CE44" si="181">J39*X39*AQ8</f>
        <v>0</v>
      </c>
      <c r="CF39" s="1505">
        <f t="shared" ref="CF39:CF44" si="182">K39*Y39*AR8</f>
        <v>0</v>
      </c>
      <c r="CG39" s="1505">
        <f t="shared" ref="CG39:CG44" si="183">L39*Z39*AS8</f>
        <v>0</v>
      </c>
      <c r="CH39" s="1505">
        <f t="shared" ref="CH39:CH44" si="184">M39*AA39*AT8</f>
        <v>0</v>
      </c>
      <c r="CI39" s="1549">
        <f t="shared" si="149"/>
        <v>0</v>
      </c>
      <c r="CJ39" s="1550">
        <f t="shared" ref="CJ39:CJ44" si="185">CI39</f>
        <v>0</v>
      </c>
    </row>
    <row r="40" spans="2:92" hidden="1" x14ac:dyDescent="0.3">
      <c r="B40" s="330"/>
      <c r="C40" s="1512">
        <v>65</v>
      </c>
      <c r="D40" s="1513">
        <f>'7.1 Dealer area'!I43</f>
        <v>0</v>
      </c>
      <c r="E40" s="1517">
        <f t="shared" ref="E40:M40" si="186">D30</f>
        <v>0</v>
      </c>
      <c r="F40" s="1517">
        <f t="shared" si="186"/>
        <v>0</v>
      </c>
      <c r="G40" s="1517">
        <f t="shared" si="186"/>
        <v>0</v>
      </c>
      <c r="H40" s="1517">
        <f t="shared" si="186"/>
        <v>0</v>
      </c>
      <c r="I40" s="1517">
        <f t="shared" si="186"/>
        <v>0</v>
      </c>
      <c r="J40" s="1517">
        <f t="shared" si="186"/>
        <v>0</v>
      </c>
      <c r="K40" s="1517">
        <f t="shared" si="186"/>
        <v>0</v>
      </c>
      <c r="L40" s="1517">
        <f t="shared" si="186"/>
        <v>0</v>
      </c>
      <c r="M40" s="1517">
        <f t="shared" si="186"/>
        <v>0</v>
      </c>
      <c r="N40" s="1544">
        <f t="shared" si="144"/>
        <v>0</v>
      </c>
      <c r="Q40" s="1480">
        <v>65</v>
      </c>
      <c r="R40" s="814">
        <f>('DAF Oil CPV (short)'!E9)/(1)*((1-'5.1 DAF Vehicle Parc Input'!$H$56)/(1-'Calculation (short)'!$O$1))*(1+$I$1)</f>
        <v>161.05651423641069</v>
      </c>
      <c r="S40" s="814">
        <f>('DAF Oil CPV (short)'!F9)/(1)*((1-'5.1 DAF Vehicle Parc Input'!$H$56)/(1-'Calculation (short)'!$O$1))*(1+$I$1)</f>
        <v>200.53564165733488</v>
      </c>
      <c r="T40" s="814">
        <f>('DAF Oil CPV (short)'!G9)/(1)*((1-'5.1 DAF Vehicle Parc Input'!$H$56)/(1-'Calculation (short)'!$O$1))*(1+$I$1)</f>
        <v>191.44534566145097</v>
      </c>
      <c r="U40" s="814">
        <f>('DAF Oil CPV (short)'!H9)/(1)*((1-'5.1 DAF Vehicle Parc Input'!$H$56)/(1-'Calculation (short)'!$O$1))*(1+$I$1)</f>
        <v>193.9744285714286</v>
      </c>
      <c r="V40" s="814">
        <f>('DAF Oil CPV (short)'!I9)/(1)*((1-'5.1 DAF Vehicle Parc Input'!$H$56)/(1-'Calculation (short)'!$O$1))*(1+$I$1)</f>
        <v>222.40476624522199</v>
      </c>
      <c r="W40" s="814">
        <f>('DAF Oil CPV (short)'!J9)/(1)*((1-'5.1 DAF Vehicle Parc Input'!$H$56)/(1-'Calculation (short)'!$O$1))*(1+$I$1)</f>
        <v>259.2168414711478</v>
      </c>
      <c r="X40" s="814">
        <f>('DAF Oil CPV (short)'!K9)/(1)*((1-'5.1 DAF Vehicle Parc Input'!$H$56)/(1-'Calculation (short)'!$O$1))*(1+$I$1)</f>
        <v>275.41789406309448</v>
      </c>
      <c r="Y40" s="814">
        <f>('DAF Oil CPV (short)'!L9)/(1)*((1-'5.1 DAF Vehicle Parc Input'!$H$56)/(1-'Calculation (short)'!$O$1))*(1+$I$1)</f>
        <v>291.61894665504121</v>
      </c>
      <c r="Z40" s="814">
        <f>('DAF Oil CPV (short)'!M9)/(1)*((1-'5.1 DAF Vehicle Parc Input'!$H$56)/(1-'Calculation (short)'!$O$1))*(1+$I$1)</f>
        <v>307.819999246988</v>
      </c>
      <c r="AA40" s="814">
        <f>('DAF Oil CPV (short)'!N9)/(1)*((1-'5.1 DAF Vehicle Parc Input'!$H$56)/(1-'Calculation (short)'!$O$1))*(1+$I$1)</f>
        <v>324.02105183893468</v>
      </c>
      <c r="AB40" s="814">
        <f>('DAF Oil CPV (short)'!O9)/(1)*((1-'5.1 DAF Vehicle Parc Input'!$H$56)/(1-'Calculation (short)'!$O$1))*(1+$I$1)</f>
        <v>311.06020976537729</v>
      </c>
      <c r="AC40" s="814">
        <f>('DAF Oil CPV (short)'!P9)/(1)*((1-'5.1 DAF Vehicle Parc Input'!$H$56)/(1-'Calculation (short)'!$O$1))*(1+$I$1)</f>
        <v>298.09936769181991</v>
      </c>
      <c r="AD40" s="814">
        <f>('DAF Oil CPV (short)'!Q9)/(1)*((1-'5.1 DAF Vehicle Parc Input'!$H$56)/(1-'Calculation (short)'!$O$1))*(1+$I$1)</f>
        <v>285.13852561826252</v>
      </c>
      <c r="AE40" s="814">
        <f>('DAF Oil CPV (short)'!R9)/(1)*((1-'5.1 DAF Vehicle Parc Input'!$H$56)/(1-'Calculation (short)'!$O$1))*(1+$I$1)</f>
        <v>272.17768354470519</v>
      </c>
      <c r="AF40" s="814">
        <f>('DAF Oil CPV (short)'!S9)/(1)*((1-'5.1 DAF Vehicle Parc Input'!$H$56)/(1-'Calculation (short)'!$O$1))*(1+$I$1)</f>
        <v>259.2168414711478</v>
      </c>
      <c r="AG40" s="815">
        <f t="shared" si="145"/>
        <v>3853.2040577383664</v>
      </c>
      <c r="AH40" s="1486">
        <f t="shared" si="151"/>
        <v>3853.2040577383664</v>
      </c>
      <c r="AV40" s="1480">
        <v>65</v>
      </c>
      <c r="AW40" s="814">
        <f t="shared" si="152"/>
        <v>0</v>
      </c>
      <c r="AX40" s="814">
        <f t="shared" si="153"/>
        <v>0</v>
      </c>
      <c r="AY40" s="814">
        <f t="shared" si="154"/>
        <v>0</v>
      </c>
      <c r="AZ40" s="814">
        <f t="shared" si="155"/>
        <v>0</v>
      </c>
      <c r="BA40" s="814">
        <f t="shared" si="156"/>
        <v>0</v>
      </c>
      <c r="BB40" s="814">
        <f t="shared" si="157"/>
        <v>0</v>
      </c>
      <c r="BC40" s="814">
        <f t="shared" si="158"/>
        <v>0</v>
      </c>
      <c r="BD40" s="814">
        <f t="shared" si="159"/>
        <v>0</v>
      </c>
      <c r="BE40" s="814">
        <f t="shared" si="160"/>
        <v>0</v>
      </c>
      <c r="BF40" s="814">
        <f t="shared" si="161"/>
        <v>0</v>
      </c>
      <c r="BG40" s="1612">
        <f t="shared" si="162"/>
        <v>0</v>
      </c>
      <c r="BH40" s="1613">
        <f t="shared" si="163"/>
        <v>0</v>
      </c>
      <c r="BJ40" s="1498">
        <v>65</v>
      </c>
      <c r="BK40" s="1501">
        <f t="shared" si="164"/>
        <v>0</v>
      </c>
      <c r="BL40" s="1501">
        <f t="shared" si="165"/>
        <v>0</v>
      </c>
      <c r="BM40" s="1501">
        <f t="shared" si="166"/>
        <v>0</v>
      </c>
      <c r="BN40" s="1501">
        <f t="shared" si="167"/>
        <v>0</v>
      </c>
      <c r="BO40" s="1501">
        <f t="shared" si="168"/>
        <v>0</v>
      </c>
      <c r="BP40" s="1501">
        <f t="shared" si="169"/>
        <v>0</v>
      </c>
      <c r="BQ40" s="1501">
        <f t="shared" si="170"/>
        <v>0</v>
      </c>
      <c r="BR40" s="1501">
        <f t="shared" si="171"/>
        <v>0</v>
      </c>
      <c r="BS40" s="1501">
        <f t="shared" si="172"/>
        <v>0</v>
      </c>
      <c r="BT40" s="1501">
        <f t="shared" si="173"/>
        <v>0</v>
      </c>
      <c r="BU40" s="1547">
        <f t="shared" si="35"/>
        <v>0</v>
      </c>
      <c r="BV40" s="1548">
        <f t="shared" si="174"/>
        <v>0</v>
      </c>
      <c r="BX40" s="1498">
        <v>65</v>
      </c>
      <c r="BY40" s="1505">
        <f t="shared" si="175"/>
        <v>0</v>
      </c>
      <c r="BZ40" s="1505">
        <f t="shared" si="176"/>
        <v>0</v>
      </c>
      <c r="CA40" s="1505">
        <f t="shared" si="177"/>
        <v>0</v>
      </c>
      <c r="CB40" s="1505">
        <f t="shared" si="178"/>
        <v>0</v>
      </c>
      <c r="CC40" s="1505">
        <f t="shared" si="179"/>
        <v>0</v>
      </c>
      <c r="CD40" s="1505">
        <f t="shared" si="180"/>
        <v>0</v>
      </c>
      <c r="CE40" s="1505">
        <f t="shared" si="181"/>
        <v>0</v>
      </c>
      <c r="CF40" s="1505">
        <f t="shared" si="182"/>
        <v>0</v>
      </c>
      <c r="CG40" s="1505">
        <f t="shared" si="183"/>
        <v>0</v>
      </c>
      <c r="CH40" s="1505">
        <f t="shared" si="184"/>
        <v>0</v>
      </c>
      <c r="CI40" s="1549">
        <f t="shared" si="149"/>
        <v>0</v>
      </c>
      <c r="CJ40" s="1550">
        <f t="shared" si="185"/>
        <v>0</v>
      </c>
    </row>
    <row r="41" spans="2:92" hidden="1" x14ac:dyDescent="0.3">
      <c r="B41" s="330"/>
      <c r="C41" s="1512">
        <v>75</v>
      </c>
      <c r="D41" s="1513">
        <f>'7.1 Dealer area'!I44</f>
        <v>0</v>
      </c>
      <c r="E41" s="1517">
        <f t="shared" ref="E41:M41" si="187">D31</f>
        <v>0</v>
      </c>
      <c r="F41" s="1517">
        <f t="shared" si="187"/>
        <v>0</v>
      </c>
      <c r="G41" s="1517">
        <f t="shared" si="187"/>
        <v>0</v>
      </c>
      <c r="H41" s="1517">
        <f t="shared" si="187"/>
        <v>0</v>
      </c>
      <c r="I41" s="1517">
        <f t="shared" si="187"/>
        <v>0</v>
      </c>
      <c r="J41" s="1517">
        <f t="shared" si="187"/>
        <v>0</v>
      </c>
      <c r="K41" s="1517">
        <f t="shared" si="187"/>
        <v>0</v>
      </c>
      <c r="L41" s="1517">
        <f t="shared" si="187"/>
        <v>0</v>
      </c>
      <c r="M41" s="1517">
        <f t="shared" si="187"/>
        <v>0</v>
      </c>
      <c r="N41" s="1544">
        <f t="shared" si="144"/>
        <v>0</v>
      </c>
      <c r="Q41" s="1480">
        <v>75</v>
      </c>
      <c r="R41" s="814">
        <f>('DAF Oil CPV (short)'!E10)/(1)*((1-'5.1 DAF Vehicle Parc Input'!$H$56)/(1-'Calculation (short)'!$O$1))*(1+$I$1)</f>
        <v>236.51968421052638</v>
      </c>
      <c r="S41" s="814">
        <f>('DAF Oil CPV (short)'!F10)/(1)*((1-'5.1 DAF Vehicle Parc Input'!$H$56)/(1-'Calculation (short)'!$O$1))*(1+$I$1)</f>
        <v>223.02094736842102</v>
      </c>
      <c r="T41" s="814">
        <f>('DAF Oil CPV (short)'!G10)/(1)*((1-'5.1 DAF Vehicle Parc Input'!$H$56)/(1-'Calculation (short)'!$O$1))*(1+$I$1)</f>
        <v>232.50757894736844</v>
      </c>
      <c r="U41" s="814">
        <f>('DAF Oil CPV (short)'!H10)/(1)*((1-'5.1 DAF Vehicle Parc Input'!$H$56)/(1-'Calculation (short)'!$O$1))*(1+$I$1)</f>
        <v>239.51400000000007</v>
      </c>
      <c r="V41" s="814">
        <f>('DAF Oil CPV (short)'!I10)/(1)*((1-'5.1 DAF Vehicle Parc Input'!$H$56)/(1-'Calculation (short)'!$O$1))*(1+$I$1)</f>
        <v>262.69736842105266</v>
      </c>
      <c r="W41" s="814">
        <f>('DAF Oil CPV (short)'!J10)/(1)*((1-'5.1 DAF Vehicle Parc Input'!$H$56)/(1-'Calculation (short)'!$O$1))*(1+$I$1)</f>
        <v>294.84284210526323</v>
      </c>
      <c r="X41" s="814">
        <f>('DAF Oil CPV (short)'!K10)/(1)*((1-'5.1 DAF Vehicle Parc Input'!$H$56)/(1-'Calculation (short)'!$O$1))*(1+$I$1)</f>
        <v>313.27051973684212</v>
      </c>
      <c r="Y41" s="814">
        <f>('DAF Oil CPV (short)'!L10)/(1)*((1-'5.1 DAF Vehicle Parc Input'!$H$56)/(1-'Calculation (short)'!$O$1))*(1+$I$1)</f>
        <v>331.69819736842106</v>
      </c>
      <c r="Z41" s="814">
        <f>('DAF Oil CPV (short)'!M10)/(1)*((1-'5.1 DAF Vehicle Parc Input'!$H$56)/(1-'Calculation (short)'!$O$1))*(1+$I$1)</f>
        <v>350.12587500000001</v>
      </c>
      <c r="AA41" s="814">
        <f>('DAF Oil CPV (short)'!N10)/(1)*((1-'5.1 DAF Vehicle Parc Input'!$H$56)/(1-'Calculation (short)'!$O$1))*(1+$I$1)</f>
        <v>368.55355263157895</v>
      </c>
      <c r="AB41" s="814">
        <f>('DAF Oil CPV (short)'!O10)/(1)*((1-'5.1 DAF Vehicle Parc Input'!$H$56)/(1-'Calculation (short)'!$O$1))*(1+$I$1)</f>
        <v>353.81141052631585</v>
      </c>
      <c r="AC41" s="814">
        <f>('DAF Oil CPV (short)'!P10)/(1)*((1-'5.1 DAF Vehicle Parc Input'!$H$56)/(1-'Calculation (short)'!$O$1))*(1+$I$1)</f>
        <v>339.06926842105264</v>
      </c>
      <c r="AD41" s="814">
        <f>('DAF Oil CPV (short)'!Q10)/(1)*((1-'5.1 DAF Vehicle Parc Input'!$H$56)/(1-'Calculation (short)'!$O$1))*(1+$I$1)</f>
        <v>324.32712631578954</v>
      </c>
      <c r="AE41" s="814">
        <f>('DAF Oil CPV (short)'!R10)/(1)*((1-'5.1 DAF Vehicle Parc Input'!$H$56)/(1-'Calculation (short)'!$O$1))*(1+$I$1)</f>
        <v>309.58498421052633</v>
      </c>
      <c r="AF41" s="814">
        <f>('DAF Oil CPV (short)'!S10)/(1)*((1-'5.1 DAF Vehicle Parc Input'!$H$56)/(1-'Calculation (short)'!$O$1))*(1+$I$1)</f>
        <v>294.84284210526323</v>
      </c>
      <c r="AG41" s="815">
        <f t="shared" si="145"/>
        <v>4474.3861973684216</v>
      </c>
      <c r="AH41" s="1486">
        <f t="shared" si="151"/>
        <v>4474.3861973684216</v>
      </c>
      <c r="AV41" s="1480">
        <v>75</v>
      </c>
      <c r="AW41" s="814">
        <f t="shared" si="152"/>
        <v>0</v>
      </c>
      <c r="AX41" s="814">
        <f t="shared" si="153"/>
        <v>0</v>
      </c>
      <c r="AY41" s="814">
        <f t="shared" si="154"/>
        <v>0</v>
      </c>
      <c r="AZ41" s="814">
        <f t="shared" si="155"/>
        <v>0</v>
      </c>
      <c r="BA41" s="814">
        <f t="shared" si="156"/>
        <v>0</v>
      </c>
      <c r="BB41" s="814">
        <f t="shared" si="157"/>
        <v>0</v>
      </c>
      <c r="BC41" s="814">
        <f t="shared" si="158"/>
        <v>0</v>
      </c>
      <c r="BD41" s="814">
        <f t="shared" si="159"/>
        <v>0</v>
      </c>
      <c r="BE41" s="814">
        <f t="shared" si="160"/>
        <v>0</v>
      </c>
      <c r="BF41" s="814">
        <f t="shared" si="161"/>
        <v>0</v>
      </c>
      <c r="BG41" s="1612">
        <f t="shared" si="162"/>
        <v>0</v>
      </c>
      <c r="BH41" s="1613">
        <f t="shared" si="163"/>
        <v>0</v>
      </c>
      <c r="BJ41" s="1498">
        <v>75</v>
      </c>
      <c r="BK41" s="1501">
        <f t="shared" si="164"/>
        <v>0</v>
      </c>
      <c r="BL41" s="1501">
        <f t="shared" si="165"/>
        <v>0</v>
      </c>
      <c r="BM41" s="1501">
        <f t="shared" si="166"/>
        <v>0</v>
      </c>
      <c r="BN41" s="1501">
        <f t="shared" si="167"/>
        <v>0</v>
      </c>
      <c r="BO41" s="1501">
        <f t="shared" si="168"/>
        <v>0</v>
      </c>
      <c r="BP41" s="1501">
        <f t="shared" si="169"/>
        <v>0</v>
      </c>
      <c r="BQ41" s="1501">
        <f t="shared" si="170"/>
        <v>0</v>
      </c>
      <c r="BR41" s="1501">
        <f t="shared" si="171"/>
        <v>0</v>
      </c>
      <c r="BS41" s="1501">
        <f t="shared" si="172"/>
        <v>0</v>
      </c>
      <c r="BT41" s="1501">
        <f t="shared" si="173"/>
        <v>0</v>
      </c>
      <c r="BU41" s="1547">
        <f t="shared" si="35"/>
        <v>0</v>
      </c>
      <c r="BV41" s="1548">
        <f t="shared" si="174"/>
        <v>0</v>
      </c>
      <c r="BX41" s="1498">
        <v>75</v>
      </c>
      <c r="BY41" s="1505">
        <f t="shared" si="175"/>
        <v>0</v>
      </c>
      <c r="BZ41" s="1505">
        <f t="shared" si="176"/>
        <v>0</v>
      </c>
      <c r="CA41" s="1505">
        <f t="shared" si="177"/>
        <v>0</v>
      </c>
      <c r="CB41" s="1505">
        <f t="shared" si="178"/>
        <v>0</v>
      </c>
      <c r="CC41" s="1505">
        <f t="shared" si="179"/>
        <v>0</v>
      </c>
      <c r="CD41" s="1505">
        <f t="shared" si="180"/>
        <v>0</v>
      </c>
      <c r="CE41" s="1505">
        <f t="shared" si="181"/>
        <v>0</v>
      </c>
      <c r="CF41" s="1505">
        <f t="shared" si="182"/>
        <v>0</v>
      </c>
      <c r="CG41" s="1505">
        <f t="shared" si="183"/>
        <v>0</v>
      </c>
      <c r="CH41" s="1505">
        <f t="shared" si="184"/>
        <v>0</v>
      </c>
      <c r="CI41" s="1549">
        <f t="shared" si="149"/>
        <v>0</v>
      </c>
      <c r="CJ41" s="1550">
        <f t="shared" si="185"/>
        <v>0</v>
      </c>
    </row>
    <row r="42" spans="2:92" hidden="1" x14ac:dyDescent="0.3">
      <c r="B42" s="330"/>
      <c r="C42" s="1512">
        <v>85</v>
      </c>
      <c r="D42" s="1513">
        <f>'7.1 Dealer area'!I45</f>
        <v>154</v>
      </c>
      <c r="E42" s="1517">
        <f t="shared" ref="E42:M42" si="188">D32</f>
        <v>125</v>
      </c>
      <c r="F42" s="1517">
        <f t="shared" si="188"/>
        <v>73</v>
      </c>
      <c r="G42" s="1517">
        <f t="shared" si="188"/>
        <v>29</v>
      </c>
      <c r="H42" s="1517">
        <f t="shared" si="188"/>
        <v>17</v>
      </c>
      <c r="I42" s="1517">
        <f t="shared" si="188"/>
        <v>19</v>
      </c>
      <c r="J42" s="1517">
        <f t="shared" si="188"/>
        <v>22</v>
      </c>
      <c r="K42" s="1517">
        <f t="shared" si="188"/>
        <v>20</v>
      </c>
      <c r="L42" s="1517">
        <f t="shared" si="188"/>
        <v>10</v>
      </c>
      <c r="M42" s="1517">
        <f t="shared" si="188"/>
        <v>15</v>
      </c>
      <c r="N42" s="1544">
        <f t="shared" si="144"/>
        <v>484</v>
      </c>
      <c r="Q42" s="1480">
        <v>85</v>
      </c>
      <c r="R42" s="814">
        <f>('DAF Oil CPV (short)'!E11)/(1)*((1-'5.1 DAF Vehicle Parc Input'!$H$56)/(1-'Calculation (short)'!$O$1))*(1+$I$1)</f>
        <v>348.06836842105264</v>
      </c>
      <c r="S42" s="814">
        <f>('DAF Oil CPV (short)'!F11)/(1)*((1-'5.1 DAF Vehicle Parc Input'!$H$56)/(1-'Calculation (short)'!$O$1))*(1+$I$1)</f>
        <v>340.52352631578952</v>
      </c>
      <c r="T42" s="814">
        <f>('DAF Oil CPV (short)'!G11)/(1)*((1-'5.1 DAF Vehicle Parc Input'!$H$56)/(1-'Calculation (short)'!$O$1))*(1+$I$1)</f>
        <v>291.55239473684213</v>
      </c>
      <c r="U42" s="814">
        <f>('DAF Oil CPV (short)'!H11)/(1)*((1-'5.1 DAF Vehicle Parc Input'!$H$56)/(1-'Calculation (short)'!$O$1))*(1+$I$1)</f>
        <v>242.25300000000001</v>
      </c>
      <c r="V42" s="814">
        <f>('DAF Oil CPV (short)'!I11)/(1)*((1-'5.1 DAF Vehicle Parc Input'!$H$56)/(1-'Calculation (short)'!$O$1))*(1+$I$1)</f>
        <v>251.70750000000004</v>
      </c>
      <c r="W42" s="814">
        <f>('DAF Oil CPV (short)'!J11)/(1)*((1-'5.1 DAF Vehicle Parc Input'!$H$56)/(1-'Calculation (short)'!$O$1))*(1+$I$1)</f>
        <v>282.79610526315793</v>
      </c>
      <c r="X42" s="814">
        <f>('DAF Oil CPV (short)'!K11)/(1)*((1-'5.1 DAF Vehicle Parc Input'!$H$56)/(1-'Calculation (short)'!$O$1))*(1+$I$1)</f>
        <v>300.47086184210531</v>
      </c>
      <c r="Y42" s="814">
        <f>('DAF Oil CPV (short)'!L11)/(1)*((1-'5.1 DAF Vehicle Parc Input'!$H$56)/(1-'Calculation (short)'!$O$1))*(1+$I$1)</f>
        <v>318.14561842105263</v>
      </c>
      <c r="Z42" s="814">
        <f>('DAF Oil CPV (short)'!M11)/(1)*((1-'5.1 DAF Vehicle Parc Input'!$H$56)/(1-'Calculation (short)'!$O$1))*(1+$I$1)</f>
        <v>335.82037500000001</v>
      </c>
      <c r="AA42" s="814">
        <f>('DAF Oil CPV (short)'!N11)/(1)*((1-'5.1 DAF Vehicle Parc Input'!$H$56)/(1-'Calculation (short)'!$O$1))*(1+$I$1)</f>
        <v>353.49513157894739</v>
      </c>
      <c r="AB42" s="814">
        <f>('DAF Oil CPV (short)'!O11)/(1)*((1-'5.1 DAF Vehicle Parc Input'!$H$56)/(1-'Calculation (short)'!$O$1))*(1+$I$1)</f>
        <v>339.35532631578951</v>
      </c>
      <c r="AC42" s="814">
        <f>('DAF Oil CPV (short)'!P11)/(1)*((1-'5.1 DAF Vehicle Parc Input'!$H$56)/(1-'Calculation (short)'!$O$1))*(1+$I$1)</f>
        <v>325.21552105263157</v>
      </c>
      <c r="AD42" s="814">
        <f>('DAF Oil CPV (short)'!Q11)/(1)*((1-'5.1 DAF Vehicle Parc Input'!$H$56)/(1-'Calculation (short)'!$O$1))*(1+$I$1)</f>
        <v>311.07571578947375</v>
      </c>
      <c r="AE42" s="814">
        <f>('DAF Oil CPV (short)'!R11)/(1)*((1-'5.1 DAF Vehicle Parc Input'!$H$56)/(1-'Calculation (short)'!$O$1))*(1+$I$1)</f>
        <v>296.93591052631587</v>
      </c>
      <c r="AF42" s="814">
        <f>('DAF Oil CPV (short)'!S11)/(1)*((1-'5.1 DAF Vehicle Parc Input'!$H$56)/(1-'Calculation (short)'!$O$1))*(1+$I$1)</f>
        <v>282.79610526315793</v>
      </c>
      <c r="AG42" s="815">
        <f t="shared" si="145"/>
        <v>4620.2114605263168</v>
      </c>
      <c r="AH42" s="1486">
        <f t="shared" si="151"/>
        <v>4620.2114605263168</v>
      </c>
      <c r="AV42" s="1480">
        <v>85</v>
      </c>
      <c r="AW42" s="814">
        <f t="shared" si="152"/>
        <v>189797.36884318144</v>
      </c>
      <c r="AX42" s="814">
        <f t="shared" si="153"/>
        <v>136278.35153411719</v>
      </c>
      <c r="AY42" s="814">
        <f t="shared" si="154"/>
        <v>135558.00053040695</v>
      </c>
      <c r="AZ42" s="814">
        <f t="shared" si="155"/>
        <v>65373.496508098418</v>
      </c>
      <c r="BA42" s="814">
        <f t="shared" si="156"/>
        <v>43743.10407372129</v>
      </c>
      <c r="BB42" s="814">
        <f t="shared" si="157"/>
        <v>49812.678056649776</v>
      </c>
      <c r="BC42" s="814">
        <f t="shared" si="158"/>
        <v>61282.70260916782</v>
      </c>
      <c r="BD42" s="814">
        <f t="shared" si="159"/>
        <v>58988.697698664218</v>
      </c>
      <c r="BE42" s="814">
        <f t="shared" si="160"/>
        <v>31132.923785406114</v>
      </c>
      <c r="BF42" s="814">
        <f t="shared" si="161"/>
        <v>49157.248082220191</v>
      </c>
      <c r="BG42" s="1612">
        <f t="shared" si="162"/>
        <v>821124.57172163355</v>
      </c>
      <c r="BH42" s="1613">
        <f t="shared" si="163"/>
        <v>821124.57172163355</v>
      </c>
      <c r="BJ42" s="1498">
        <v>85</v>
      </c>
      <c r="BK42" s="1501">
        <f t="shared" si="164"/>
        <v>2701.7016537017162</v>
      </c>
      <c r="BL42" s="1501">
        <f t="shared" si="165"/>
        <v>2764.575314953679</v>
      </c>
      <c r="BM42" s="1501">
        <f t="shared" si="166"/>
        <v>1927.7124528083345</v>
      </c>
      <c r="BN42" s="1501">
        <f t="shared" si="167"/>
        <v>785.03289482672983</v>
      </c>
      <c r="BO42" s="1501">
        <f t="shared" si="168"/>
        <v>531.32455927169281</v>
      </c>
      <c r="BP42" s="1501">
        <f t="shared" si="169"/>
        <v>650.54165323606128</v>
      </c>
      <c r="BQ42" s="1501">
        <f t="shared" si="170"/>
        <v>800.33742865225963</v>
      </c>
      <c r="BR42" s="1501">
        <f t="shared" si="171"/>
        <v>770.37827356901994</v>
      </c>
      <c r="BS42" s="1501">
        <f t="shared" si="172"/>
        <v>406.58853327253837</v>
      </c>
      <c r="BT42" s="1501">
        <f t="shared" si="173"/>
        <v>641.98189464084987</v>
      </c>
      <c r="BU42" s="1547">
        <f t="shared" si="35"/>
        <v>11980.174658932881</v>
      </c>
      <c r="BV42" s="1548">
        <f t="shared" si="174"/>
        <v>11980.174658932881</v>
      </c>
      <c r="BX42" s="1498">
        <v>85</v>
      </c>
      <c r="BY42" s="1505">
        <f t="shared" si="175"/>
        <v>53602.528736842105</v>
      </c>
      <c r="BZ42" s="1505">
        <f t="shared" si="176"/>
        <v>42565.440789473694</v>
      </c>
      <c r="CA42" s="1505">
        <f t="shared" si="177"/>
        <v>21283.324815789474</v>
      </c>
      <c r="CB42" s="1505">
        <f t="shared" si="178"/>
        <v>7025.3370000000004</v>
      </c>
      <c r="CC42" s="1505">
        <f t="shared" si="179"/>
        <v>4279.0275000000011</v>
      </c>
      <c r="CD42" s="1505">
        <f t="shared" si="180"/>
        <v>5373.1260000000002</v>
      </c>
      <c r="CE42" s="1505">
        <f t="shared" si="181"/>
        <v>6610.3589605263169</v>
      </c>
      <c r="CF42" s="1505">
        <f t="shared" si="182"/>
        <v>6362.9123684210526</v>
      </c>
      <c r="CG42" s="1505">
        <f t="shared" si="183"/>
        <v>3358.2037500000001</v>
      </c>
      <c r="CH42" s="1505">
        <f t="shared" si="184"/>
        <v>5302.4269736842107</v>
      </c>
      <c r="CI42" s="1549">
        <f t="shared" si="149"/>
        <v>155762.68689473683</v>
      </c>
      <c r="CJ42" s="1550">
        <f t="shared" si="185"/>
        <v>155762.68689473683</v>
      </c>
    </row>
    <row r="43" spans="2:92" hidden="1" x14ac:dyDescent="0.3">
      <c r="B43" s="330"/>
      <c r="C43" s="1512">
        <v>95</v>
      </c>
      <c r="D43" s="1513">
        <v>0</v>
      </c>
      <c r="E43" s="1517">
        <f t="shared" ref="E43:M43" si="189">D33</f>
        <v>0</v>
      </c>
      <c r="F43" s="1517">
        <f t="shared" si="189"/>
        <v>0</v>
      </c>
      <c r="G43" s="1517">
        <f t="shared" si="189"/>
        <v>0</v>
      </c>
      <c r="H43" s="1517">
        <f t="shared" si="189"/>
        <v>0</v>
      </c>
      <c r="I43" s="1517">
        <f t="shared" si="189"/>
        <v>0</v>
      </c>
      <c r="J43" s="1517">
        <f t="shared" si="189"/>
        <v>0</v>
      </c>
      <c r="K43" s="1517">
        <f t="shared" si="189"/>
        <v>0</v>
      </c>
      <c r="L43" s="1517">
        <f t="shared" si="189"/>
        <v>0</v>
      </c>
      <c r="M43" s="1517">
        <f t="shared" si="189"/>
        <v>0</v>
      </c>
      <c r="N43" s="1544">
        <f t="shared" si="144"/>
        <v>0</v>
      </c>
      <c r="Q43" s="1480">
        <v>95</v>
      </c>
      <c r="R43" s="814">
        <f>('DAF Oil CPV (short)'!E12)/(1)*((1-'5.1 DAF Vehicle Parc Input'!$H$56)/(1-'Calculation (short)'!$O$1))*(1+$I$1)</f>
        <v>340.82313157894743</v>
      </c>
      <c r="S43" s="814">
        <f>('DAF Oil CPV (short)'!F12)/(1)*((1-'5.1 DAF Vehicle Parc Input'!$H$56)/(1-'Calculation (short)'!$O$1))*(1+$I$1)</f>
        <v>318.04271052631583</v>
      </c>
      <c r="T43" s="814">
        <f>('DAF Oil CPV (short)'!G12)/(1)*((1-'5.1 DAF Vehicle Parc Input'!$H$56)/(1-'Calculation (short)'!$O$1))*(1+$I$1)</f>
        <v>299.95697368421054</v>
      </c>
      <c r="U43" s="814">
        <f>('DAF Oil CPV (short)'!H12)/(1)*((1-'5.1 DAF Vehicle Parc Input'!$H$56)/(1-'Calculation (short)'!$O$1))*(1+$I$1)</f>
        <v>290.57802631578954</v>
      </c>
      <c r="V43" s="814">
        <f>('DAF Oil CPV (short)'!I12)/(1)*((1-'5.1 DAF Vehicle Parc Input'!$H$56)/(1-'Calculation (short)'!$O$1))*(1+$I$1)</f>
        <v>252.24301987190972</v>
      </c>
      <c r="W43" s="814">
        <f>('DAF Oil CPV (short)'!J12)/(1)*((1-'5.1 DAF Vehicle Parc Input'!$H$56)/(1-'Calculation (short)'!$O$1))*(1+$I$1)</f>
        <v>228.12249261081857</v>
      </c>
      <c r="X43" s="814">
        <f>('DAF Oil CPV (short)'!K12)/(1)*((1-'5.1 DAF Vehicle Parc Input'!$H$56)/(1-'Calculation (short)'!$O$1))*(1+$I$1)</f>
        <v>242.38014839899469</v>
      </c>
      <c r="Y43" s="814">
        <f>('DAF Oil CPV (short)'!L12)/(1)*((1-'5.1 DAF Vehicle Parc Input'!$H$56)/(1-'Calculation (short)'!$O$1))*(1+$I$1)</f>
        <v>256.63780418717084</v>
      </c>
      <c r="Z43" s="814">
        <f>('DAF Oil CPV (short)'!M12)/(1)*((1-'5.1 DAF Vehicle Parc Input'!$H$56)/(1-'Calculation (short)'!$O$1))*(1+$I$1)</f>
        <v>270.89545997534697</v>
      </c>
      <c r="AA43" s="814">
        <f>('DAF Oil CPV (short)'!N12)/(1)*((1-'5.1 DAF Vehicle Parc Input'!$H$56)/(1-'Calculation (short)'!$O$1))*(1+$I$1)</f>
        <v>285.1531157635232</v>
      </c>
      <c r="AB43" s="814">
        <f>('DAF Oil CPV (short)'!O12)/(1)*((1-'5.1 DAF Vehicle Parc Input'!$H$56)/(1-'Calculation (short)'!$O$1))*(1+$I$1)</f>
        <v>273.74699113298226</v>
      </c>
      <c r="AC43" s="814">
        <f>('DAF Oil CPV (short)'!P12)/(1)*((1-'5.1 DAF Vehicle Parc Input'!$H$56)/(1-'Calculation (short)'!$O$1))*(1+$I$1)</f>
        <v>262.34086650244126</v>
      </c>
      <c r="AD43" s="814">
        <f>('DAF Oil CPV (short)'!Q12)/(1)*((1-'5.1 DAF Vehicle Parc Input'!$H$56)/(1-'Calculation (short)'!$O$1))*(1+$I$1)</f>
        <v>250.93474187190043</v>
      </c>
      <c r="AE43" s="814">
        <f>('DAF Oil CPV (short)'!R12)/(1)*((1-'5.1 DAF Vehicle Parc Input'!$H$56)/(1-'Calculation (short)'!$O$1))*(1+$I$1)</f>
        <v>239.52861724135943</v>
      </c>
      <c r="AF43" s="814">
        <f>('DAF Oil CPV (short)'!S12)/(1)*((1-'5.1 DAF Vehicle Parc Input'!$H$56)/(1-'Calculation (short)'!$O$1))*(1+$I$1)</f>
        <v>228.12249261081857</v>
      </c>
      <c r="AG43" s="815">
        <f t="shared" si="145"/>
        <v>4039.5065922725289</v>
      </c>
      <c r="AH43" s="1486">
        <f t="shared" si="151"/>
        <v>4039.5065922725289</v>
      </c>
      <c r="AV43" s="1480">
        <v>95</v>
      </c>
      <c r="AW43" s="814">
        <f t="shared" si="152"/>
        <v>0</v>
      </c>
      <c r="AX43" s="814">
        <f t="shared" si="153"/>
        <v>0</v>
      </c>
      <c r="AY43" s="814">
        <f t="shared" si="154"/>
        <v>0</v>
      </c>
      <c r="AZ43" s="814">
        <f t="shared" si="155"/>
        <v>0</v>
      </c>
      <c r="BA43" s="814">
        <f t="shared" si="156"/>
        <v>0</v>
      </c>
      <c r="BB43" s="814">
        <f t="shared" si="157"/>
        <v>0</v>
      </c>
      <c r="BC43" s="814">
        <f t="shared" si="158"/>
        <v>0</v>
      </c>
      <c r="BD43" s="814">
        <f t="shared" si="159"/>
        <v>0</v>
      </c>
      <c r="BE43" s="814">
        <f t="shared" si="160"/>
        <v>0</v>
      </c>
      <c r="BF43" s="814">
        <f t="shared" si="161"/>
        <v>0</v>
      </c>
      <c r="BG43" s="1612">
        <f t="shared" si="162"/>
        <v>0</v>
      </c>
      <c r="BH43" s="1613">
        <f t="shared" si="163"/>
        <v>0</v>
      </c>
      <c r="BJ43" s="1498">
        <v>95</v>
      </c>
      <c r="BK43" s="1501">
        <f t="shared" si="164"/>
        <v>0</v>
      </c>
      <c r="BL43" s="1501">
        <f t="shared" si="165"/>
        <v>0</v>
      </c>
      <c r="BM43" s="1501">
        <f t="shared" si="166"/>
        <v>0</v>
      </c>
      <c r="BN43" s="1501">
        <f t="shared" si="167"/>
        <v>0</v>
      </c>
      <c r="BO43" s="1501">
        <f t="shared" si="168"/>
        <v>0</v>
      </c>
      <c r="BP43" s="1501">
        <f t="shared" si="169"/>
        <v>0</v>
      </c>
      <c r="BQ43" s="1501">
        <f t="shared" si="170"/>
        <v>0</v>
      </c>
      <c r="BR43" s="1501">
        <f t="shared" si="171"/>
        <v>0</v>
      </c>
      <c r="BS43" s="1501">
        <f t="shared" si="172"/>
        <v>0</v>
      </c>
      <c r="BT43" s="1501">
        <f t="shared" si="173"/>
        <v>0</v>
      </c>
      <c r="BU43" s="1547">
        <f t="shared" si="35"/>
        <v>0</v>
      </c>
      <c r="BV43" s="1548">
        <f t="shared" si="174"/>
        <v>0</v>
      </c>
      <c r="BX43" s="1498">
        <v>95</v>
      </c>
      <c r="BY43" s="1505">
        <f t="shared" si="175"/>
        <v>0</v>
      </c>
      <c r="BZ43" s="1505">
        <f t="shared" si="176"/>
        <v>0</v>
      </c>
      <c r="CA43" s="1505">
        <f t="shared" si="177"/>
        <v>0</v>
      </c>
      <c r="CB43" s="1505">
        <f t="shared" si="178"/>
        <v>0</v>
      </c>
      <c r="CC43" s="1505">
        <f t="shared" si="179"/>
        <v>0</v>
      </c>
      <c r="CD43" s="1505">
        <f t="shared" si="180"/>
        <v>0</v>
      </c>
      <c r="CE43" s="1505">
        <f t="shared" si="181"/>
        <v>0</v>
      </c>
      <c r="CF43" s="1505">
        <f t="shared" si="182"/>
        <v>0</v>
      </c>
      <c r="CG43" s="1505">
        <f t="shared" si="183"/>
        <v>0</v>
      </c>
      <c r="CH43" s="1505">
        <f t="shared" si="184"/>
        <v>0</v>
      </c>
      <c r="CI43" s="1549">
        <f t="shared" si="149"/>
        <v>0</v>
      </c>
      <c r="CJ43" s="1550">
        <f t="shared" si="185"/>
        <v>0</v>
      </c>
    </row>
    <row r="44" spans="2:92" hidden="1" x14ac:dyDescent="0.3">
      <c r="B44" s="330"/>
      <c r="C44" s="1512">
        <v>105</v>
      </c>
      <c r="D44" s="1513">
        <f>'7.1 Dealer area'!I46</f>
        <v>0</v>
      </c>
      <c r="E44" s="1517">
        <f>D34</f>
        <v>0</v>
      </c>
      <c r="F44" s="1517">
        <f t="shared" ref="F44:M44" si="190">E34</f>
        <v>0</v>
      </c>
      <c r="G44" s="1517">
        <f t="shared" si="190"/>
        <v>0</v>
      </c>
      <c r="H44" s="1517">
        <f t="shared" si="190"/>
        <v>0</v>
      </c>
      <c r="I44" s="1517">
        <f t="shared" si="190"/>
        <v>0</v>
      </c>
      <c r="J44" s="1517">
        <f t="shared" si="190"/>
        <v>0</v>
      </c>
      <c r="K44" s="1517">
        <f t="shared" si="190"/>
        <v>0</v>
      </c>
      <c r="L44" s="1517">
        <f t="shared" si="190"/>
        <v>0</v>
      </c>
      <c r="M44" s="1517">
        <f t="shared" si="190"/>
        <v>0</v>
      </c>
      <c r="N44" s="1544">
        <f t="shared" si="144"/>
        <v>0</v>
      </c>
      <c r="Q44" s="1480">
        <v>105</v>
      </c>
      <c r="R44" s="814">
        <f>('DAF Oil CPV (short)'!E13)/(1)*((1-'5.1 DAF Vehicle Parc Input'!$H$56)/(1-'Calculation (short)'!$O$1))*(1+$I$1)</f>
        <v>223.95102631578953</v>
      </c>
      <c r="S44" s="814">
        <f>('DAF Oil CPV (short)'!F13)/(1)*((1-'5.1 DAF Vehicle Parc Input'!$H$56)/(1-'Calculation (short)'!$O$1))*(1+$I$1)</f>
        <v>207.93386842105267</v>
      </c>
      <c r="T44" s="814">
        <f>('DAF Oil CPV (short)'!G13)/(1)*((1-'5.1 DAF Vehicle Parc Input'!$H$56)/(1-'Calculation (short)'!$O$1))*(1+$I$1)</f>
        <v>165.62766752705525</v>
      </c>
      <c r="U44" s="814">
        <f>('DAF Oil CPV (short)'!H13)/(1)*((1-'5.1 DAF Vehicle Parc Input'!$H$56)/(1-'Calculation (short)'!$O$1))*(1+$I$1)</f>
        <v>290.57802631578954</v>
      </c>
      <c r="V44" s="814">
        <f>('DAF Oil CPV (short)'!I13)/(1)*((1-'5.1 DAF Vehicle Parc Input'!$H$56)/(1-'Calculation (short)'!$O$1))*(1+$I$1)</f>
        <v>252.24301987190972</v>
      </c>
      <c r="W44" s="814">
        <f>('DAF Oil CPV (short)'!J13)/(1)*((1-'5.1 DAF Vehicle Parc Input'!$H$56)/(1-'Calculation (short)'!$O$1))*(1+$I$1)</f>
        <v>228.12249261081857</v>
      </c>
      <c r="X44" s="814">
        <f>('DAF Oil CPV (short)'!K13)/(1)*((1-'5.1 DAF Vehicle Parc Input'!$H$56)/(1-'Calculation (short)'!$O$1))*(1+$I$1)</f>
        <v>242.38014839899469</v>
      </c>
      <c r="Y44" s="814">
        <f>('DAF Oil CPV (short)'!L13)/(1)*((1-'5.1 DAF Vehicle Parc Input'!$H$56)/(1-'Calculation (short)'!$O$1))*(1+$I$1)</f>
        <v>256.63780418717084</v>
      </c>
      <c r="Z44" s="814">
        <f>('DAF Oil CPV (short)'!M13)/(1)*((1-'5.1 DAF Vehicle Parc Input'!$H$56)/(1-'Calculation (short)'!$O$1))*(1+$I$1)</f>
        <v>270.89545997534697</v>
      </c>
      <c r="AA44" s="814">
        <f>('DAF Oil CPV (short)'!N13)/(1)*((1-'5.1 DAF Vehicle Parc Input'!$H$56)/(1-'Calculation (short)'!$O$1))*(1+$I$1)</f>
        <v>285.1531157635232</v>
      </c>
      <c r="AB44" s="814">
        <f>('DAF Oil CPV (short)'!O13)/(1)*((1-'5.1 DAF Vehicle Parc Input'!$H$56)/(1-'Calculation (short)'!$O$1))*(1+$I$1)</f>
        <v>273.74699113298226</v>
      </c>
      <c r="AC44" s="814">
        <f>('DAF Oil CPV (short)'!P13)/(1)*((1-'5.1 DAF Vehicle Parc Input'!$H$56)/(1-'Calculation (short)'!$O$1))*(1+$I$1)</f>
        <v>262.34086650244126</v>
      </c>
      <c r="AD44" s="814">
        <f>('DAF Oil CPV (short)'!Q13)/(1)*((1-'5.1 DAF Vehicle Parc Input'!$H$56)/(1-'Calculation (short)'!$O$1))*(1+$I$1)</f>
        <v>250.93474187190043</v>
      </c>
      <c r="AE44" s="814">
        <f>('DAF Oil CPV (short)'!R13)/(1)*((1-'5.1 DAF Vehicle Parc Input'!$H$56)/(1-'Calculation (short)'!$O$1))*(1+$I$1)</f>
        <v>239.52861724135943</v>
      </c>
      <c r="AF44" s="814">
        <f>('DAF Oil CPV (short)'!S13)/(1)*((1-'5.1 DAF Vehicle Parc Input'!$H$56)/(1-'Calculation (short)'!$O$1))*(1+$I$1)</f>
        <v>228.12249261081857</v>
      </c>
      <c r="AG44" s="815">
        <f t="shared" si="145"/>
        <v>3678.1963387469523</v>
      </c>
      <c r="AH44" s="1486">
        <f t="shared" si="151"/>
        <v>3678.1963387469523</v>
      </c>
      <c r="AV44" s="1480">
        <v>105</v>
      </c>
      <c r="AW44" s="814">
        <f t="shared" si="152"/>
        <v>0</v>
      </c>
      <c r="AX44" s="814">
        <f t="shared" si="153"/>
        <v>0</v>
      </c>
      <c r="AY44" s="814">
        <f t="shared" si="154"/>
        <v>0</v>
      </c>
      <c r="AZ44" s="814">
        <f t="shared" si="155"/>
        <v>0</v>
      </c>
      <c r="BA44" s="814">
        <f t="shared" si="156"/>
        <v>0</v>
      </c>
      <c r="BB44" s="814">
        <f t="shared" si="157"/>
        <v>0</v>
      </c>
      <c r="BC44" s="814">
        <f t="shared" si="158"/>
        <v>0</v>
      </c>
      <c r="BD44" s="814">
        <f t="shared" si="159"/>
        <v>0</v>
      </c>
      <c r="BE44" s="814">
        <f t="shared" si="160"/>
        <v>0</v>
      </c>
      <c r="BF44" s="814">
        <f t="shared" si="161"/>
        <v>0</v>
      </c>
      <c r="BG44" s="1612">
        <f t="shared" si="162"/>
        <v>0</v>
      </c>
      <c r="BH44" s="1613">
        <f t="shared" si="163"/>
        <v>0</v>
      </c>
      <c r="BJ44" s="1498">
        <v>105</v>
      </c>
      <c r="BK44" s="1501">
        <f t="shared" si="164"/>
        <v>0</v>
      </c>
      <c r="BL44" s="1501">
        <f t="shared" si="165"/>
        <v>0</v>
      </c>
      <c r="BM44" s="1501">
        <f t="shared" si="166"/>
        <v>0</v>
      </c>
      <c r="BN44" s="1501">
        <f t="shared" si="167"/>
        <v>0</v>
      </c>
      <c r="BO44" s="1501">
        <f t="shared" si="168"/>
        <v>0</v>
      </c>
      <c r="BP44" s="1501">
        <f t="shared" si="169"/>
        <v>0</v>
      </c>
      <c r="BQ44" s="1501">
        <f t="shared" si="170"/>
        <v>0</v>
      </c>
      <c r="BR44" s="1501">
        <f t="shared" si="171"/>
        <v>0</v>
      </c>
      <c r="BS44" s="1501">
        <f t="shared" si="172"/>
        <v>0</v>
      </c>
      <c r="BT44" s="1501">
        <f t="shared" si="173"/>
        <v>0</v>
      </c>
      <c r="BU44" s="1547">
        <f t="shared" si="35"/>
        <v>0</v>
      </c>
      <c r="BV44" s="1548">
        <f t="shared" si="174"/>
        <v>0</v>
      </c>
      <c r="BX44" s="1498">
        <v>105</v>
      </c>
      <c r="BY44" s="1505">
        <f t="shared" si="175"/>
        <v>0</v>
      </c>
      <c r="BZ44" s="1505">
        <f t="shared" si="176"/>
        <v>0</v>
      </c>
      <c r="CA44" s="1505">
        <f t="shared" si="177"/>
        <v>0</v>
      </c>
      <c r="CB44" s="1505">
        <f t="shared" si="178"/>
        <v>0</v>
      </c>
      <c r="CC44" s="1505">
        <f t="shared" si="179"/>
        <v>0</v>
      </c>
      <c r="CD44" s="1505">
        <f t="shared" si="180"/>
        <v>0</v>
      </c>
      <c r="CE44" s="1505">
        <f t="shared" si="181"/>
        <v>0</v>
      </c>
      <c r="CF44" s="1505">
        <f t="shared" si="182"/>
        <v>0</v>
      </c>
      <c r="CG44" s="1505">
        <f t="shared" si="183"/>
        <v>0</v>
      </c>
      <c r="CH44" s="1505">
        <f t="shared" si="184"/>
        <v>0</v>
      </c>
      <c r="CI44" s="1549">
        <f t="shared" si="149"/>
        <v>0</v>
      </c>
      <c r="CJ44" s="1550">
        <f t="shared" si="185"/>
        <v>0</v>
      </c>
    </row>
    <row r="45" spans="2:92" hidden="1" x14ac:dyDescent="0.3">
      <c r="B45" s="1507" t="s">
        <v>278</v>
      </c>
      <c r="C45" s="1540"/>
      <c r="D45" s="1544">
        <f>SUM(D38:D44)</f>
        <v>154</v>
      </c>
      <c r="E45" s="1544">
        <f t="shared" ref="E45:N45" si="191">SUM(E38:E44)</f>
        <v>125</v>
      </c>
      <c r="F45" s="1544">
        <f t="shared" si="191"/>
        <v>73</v>
      </c>
      <c r="G45" s="1544">
        <f t="shared" si="191"/>
        <v>29</v>
      </c>
      <c r="H45" s="1544">
        <f t="shared" si="191"/>
        <v>17</v>
      </c>
      <c r="I45" s="1544">
        <f t="shared" si="191"/>
        <v>19</v>
      </c>
      <c r="J45" s="1544">
        <f t="shared" si="191"/>
        <v>22</v>
      </c>
      <c r="K45" s="1544">
        <f t="shared" si="191"/>
        <v>20</v>
      </c>
      <c r="L45" s="1544">
        <f t="shared" si="191"/>
        <v>10</v>
      </c>
      <c r="M45" s="1544">
        <f t="shared" si="191"/>
        <v>15</v>
      </c>
      <c r="N45" s="1544">
        <f t="shared" si="191"/>
        <v>484</v>
      </c>
      <c r="Q45" s="1481"/>
      <c r="R45" s="815"/>
      <c r="S45" s="815"/>
      <c r="T45" s="815"/>
      <c r="U45" s="815"/>
      <c r="V45" s="815"/>
      <c r="W45" s="815"/>
      <c r="X45" s="815"/>
      <c r="Y45" s="815"/>
      <c r="Z45" s="815"/>
      <c r="AA45" s="815"/>
      <c r="AB45" s="815"/>
      <c r="AC45" s="815"/>
      <c r="AD45" s="815"/>
      <c r="AE45" s="815"/>
      <c r="AF45" s="815"/>
      <c r="AG45" s="815"/>
      <c r="AH45" s="1486">
        <f>SUM(AH38:AH44)</f>
        <v>24551.329293062579</v>
      </c>
      <c r="AV45" s="1481"/>
      <c r="AW45" s="815"/>
      <c r="AX45" s="815"/>
      <c r="AY45" s="815"/>
      <c r="AZ45" s="815"/>
      <c r="BA45" s="815"/>
      <c r="BB45" s="815"/>
      <c r="BC45" s="815"/>
      <c r="BD45" s="815"/>
      <c r="BE45" s="815"/>
      <c r="BF45" s="815"/>
      <c r="BG45" s="1612"/>
      <c r="BH45" s="1613">
        <f>SUM(BH38:BH44)</f>
        <v>821124.57172163355</v>
      </c>
      <c r="BJ45" s="1480"/>
      <c r="BK45" s="814"/>
      <c r="BL45" s="814"/>
      <c r="BM45" s="814"/>
      <c r="BN45" s="814"/>
      <c r="BO45" s="814"/>
      <c r="BP45" s="814"/>
      <c r="BQ45" s="814"/>
      <c r="BR45" s="814"/>
      <c r="BS45" s="814"/>
      <c r="BT45" s="814"/>
      <c r="BU45" s="1549"/>
      <c r="BV45" s="1550">
        <f>SUM(BV38:BV44)</f>
        <v>11980.174658932881</v>
      </c>
      <c r="BX45" s="1506"/>
      <c r="BY45" s="1503"/>
      <c r="BZ45" s="1503"/>
      <c r="CA45" s="1503"/>
      <c r="CB45" s="1503"/>
      <c r="CC45" s="1503"/>
      <c r="CD45" s="1503"/>
      <c r="CE45" s="1503"/>
      <c r="CF45" s="1503"/>
      <c r="CG45" s="1503"/>
      <c r="CH45" s="1503"/>
      <c r="CI45" s="1549"/>
      <c r="CJ45" s="1550">
        <f>SUM(CJ38:CJ44)</f>
        <v>155762.68689473683</v>
      </c>
    </row>
    <row r="46" spans="2:92" hidden="1" x14ac:dyDescent="0.3">
      <c r="B46" s="330" t="s">
        <v>271</v>
      </c>
      <c r="C46" s="1515">
        <f>'Reference sheet'!C18+4</f>
        <v>2023</v>
      </c>
      <c r="D46" s="1509"/>
      <c r="E46" s="330"/>
      <c r="F46" s="330"/>
      <c r="G46" s="330"/>
      <c r="H46" s="330"/>
      <c r="I46" s="330"/>
      <c r="J46" s="330"/>
      <c r="K46" s="330"/>
      <c r="L46" s="330"/>
      <c r="M46" s="330"/>
      <c r="N46" s="330"/>
      <c r="Q46" s="1482"/>
      <c r="AH46" s="1483"/>
      <c r="AV46" s="1480">
        <f>AV36+1</f>
        <v>2023</v>
      </c>
      <c r="AW46" s="812" t="s">
        <v>1002</v>
      </c>
      <c r="AX46" s="811"/>
      <c r="AY46" s="811"/>
      <c r="AZ46" s="811"/>
      <c r="BA46" s="811"/>
      <c r="BB46" s="811"/>
      <c r="BC46" s="811"/>
      <c r="BD46" s="811"/>
      <c r="BE46" s="811"/>
      <c r="BF46" s="811"/>
      <c r="BG46" s="1614"/>
      <c r="BH46" s="1613"/>
      <c r="BJ46" s="1498">
        <f>AV46</f>
        <v>2023</v>
      </c>
      <c r="BK46" s="2220" t="s">
        <v>1003</v>
      </c>
      <c r="BL46" s="2221"/>
      <c r="BM46" s="2221"/>
      <c r="BN46" s="2221"/>
      <c r="BO46" s="2221"/>
      <c r="BP46" s="2221"/>
      <c r="BQ46" s="2221"/>
      <c r="BR46" s="2221"/>
      <c r="BS46" s="2221"/>
      <c r="BT46" s="2221"/>
      <c r="BU46" s="809">
        <f t="shared" si="35"/>
        <v>0</v>
      </c>
      <c r="BX46" s="1498" t="s">
        <v>1069</v>
      </c>
      <c r="BY46" s="2220" t="s">
        <v>1004</v>
      </c>
      <c r="BZ46" s="2221"/>
      <c r="CA46" s="2221"/>
      <c r="CB46" s="2221"/>
      <c r="CC46" s="2221"/>
      <c r="CD46" s="2221"/>
      <c r="CE46" s="2221"/>
      <c r="CF46" s="2221"/>
      <c r="CG46" s="2221"/>
      <c r="CH46" s="2221"/>
      <c r="CI46" s="2221"/>
      <c r="CJ46" s="2221"/>
      <c r="CK46" s="2221"/>
      <c r="CL46" s="2221"/>
      <c r="CM46" s="2222"/>
      <c r="CN46" s="811"/>
    </row>
    <row r="47" spans="2:92" hidden="1" x14ac:dyDescent="0.3">
      <c r="B47" s="330"/>
      <c r="C47" s="1510"/>
      <c r="D47" s="1511">
        <f>D37+1</f>
        <v>2023</v>
      </c>
      <c r="E47" s="1512">
        <f t="shared" ref="E47:M47" si="192">D47-1</f>
        <v>2022</v>
      </c>
      <c r="F47" s="1512">
        <f t="shared" si="192"/>
        <v>2021</v>
      </c>
      <c r="G47" s="1512">
        <f t="shared" si="192"/>
        <v>2020</v>
      </c>
      <c r="H47" s="1512">
        <f t="shared" si="192"/>
        <v>2019</v>
      </c>
      <c r="I47" s="1512">
        <f t="shared" si="192"/>
        <v>2018</v>
      </c>
      <c r="J47" s="1512">
        <f t="shared" si="192"/>
        <v>2017</v>
      </c>
      <c r="K47" s="1512">
        <f t="shared" si="192"/>
        <v>2016</v>
      </c>
      <c r="L47" s="1512">
        <f t="shared" si="192"/>
        <v>2015</v>
      </c>
      <c r="M47" s="1512">
        <f t="shared" si="192"/>
        <v>2014</v>
      </c>
      <c r="N47" s="1512" t="s">
        <v>276</v>
      </c>
      <c r="Q47" s="1480"/>
      <c r="R47" s="2219" t="s">
        <v>1005</v>
      </c>
      <c r="S47" s="2218"/>
      <c r="T47" s="2218"/>
      <c r="U47" s="2218"/>
      <c r="V47" s="2218"/>
      <c r="W47" s="2218"/>
      <c r="X47" s="2218"/>
      <c r="Y47" s="2218"/>
      <c r="Z47" s="2218"/>
      <c r="AA47" s="2218"/>
      <c r="AB47" s="2218"/>
      <c r="AC47" s="2218"/>
      <c r="AD47" s="2218"/>
      <c r="AE47" s="2218"/>
      <c r="AF47" s="2218"/>
      <c r="AG47" s="811"/>
      <c r="AH47" s="1483"/>
      <c r="AV47" s="1479" t="s">
        <v>962</v>
      </c>
      <c r="AW47" s="812">
        <f>AW37+1</f>
        <v>2023</v>
      </c>
      <c r="AX47" s="812">
        <f>AW47-1</f>
        <v>2022</v>
      </c>
      <c r="AY47" s="812">
        <f t="shared" ref="AY47:BF47" si="193">AX47-1</f>
        <v>2021</v>
      </c>
      <c r="AZ47" s="812">
        <f t="shared" si="193"/>
        <v>2020</v>
      </c>
      <c r="BA47" s="812">
        <f t="shared" si="193"/>
        <v>2019</v>
      </c>
      <c r="BB47" s="812">
        <f t="shared" si="193"/>
        <v>2018</v>
      </c>
      <c r="BC47" s="812">
        <f t="shared" si="193"/>
        <v>2017</v>
      </c>
      <c r="BD47" s="812">
        <f t="shared" si="193"/>
        <v>2016</v>
      </c>
      <c r="BE47" s="812">
        <f t="shared" si="193"/>
        <v>2015</v>
      </c>
      <c r="BF47" s="812">
        <f t="shared" si="193"/>
        <v>2014</v>
      </c>
      <c r="BG47" s="1615"/>
      <c r="BH47" s="1613"/>
      <c r="BJ47" s="1499" t="s">
        <v>962</v>
      </c>
      <c r="BK47" s="1499">
        <f t="shared" ref="BK47:BT47" si="194">AW47</f>
        <v>2023</v>
      </c>
      <c r="BL47" s="1499">
        <f t="shared" si="194"/>
        <v>2022</v>
      </c>
      <c r="BM47" s="1499">
        <f t="shared" si="194"/>
        <v>2021</v>
      </c>
      <c r="BN47" s="1499">
        <f t="shared" si="194"/>
        <v>2020</v>
      </c>
      <c r="BO47" s="1499">
        <f t="shared" si="194"/>
        <v>2019</v>
      </c>
      <c r="BP47" s="1499">
        <f t="shared" si="194"/>
        <v>2018</v>
      </c>
      <c r="BQ47" s="1499">
        <f t="shared" si="194"/>
        <v>2017</v>
      </c>
      <c r="BR47" s="1499">
        <f t="shared" si="194"/>
        <v>2016</v>
      </c>
      <c r="BS47" s="1499">
        <f t="shared" si="194"/>
        <v>2015</v>
      </c>
      <c r="BT47" s="1499">
        <f t="shared" si="194"/>
        <v>2014</v>
      </c>
      <c r="BX47" s="1499" t="s">
        <v>962</v>
      </c>
      <c r="BY47" s="1499">
        <f>D47</f>
        <v>2023</v>
      </c>
      <c r="BZ47" s="1499">
        <f>BY47-1</f>
        <v>2022</v>
      </c>
      <c r="CA47" s="1499">
        <f t="shared" ref="CA47:CH47" si="195">BZ47-1</f>
        <v>2021</v>
      </c>
      <c r="CB47" s="1499">
        <f t="shared" si="195"/>
        <v>2020</v>
      </c>
      <c r="CC47" s="1499">
        <f t="shared" si="195"/>
        <v>2019</v>
      </c>
      <c r="CD47" s="1499">
        <f t="shared" si="195"/>
        <v>2018</v>
      </c>
      <c r="CE47" s="1499">
        <f t="shared" si="195"/>
        <v>2017</v>
      </c>
      <c r="CF47" s="1499">
        <f t="shared" si="195"/>
        <v>2016</v>
      </c>
      <c r="CG47" s="1499">
        <f t="shared" si="195"/>
        <v>2015</v>
      </c>
      <c r="CH47" s="1499">
        <f t="shared" si="195"/>
        <v>2014</v>
      </c>
      <c r="CI47" s="1499"/>
      <c r="CJ47" s="1497"/>
    </row>
    <row r="48" spans="2:92" hidden="1" x14ac:dyDescent="0.3">
      <c r="B48" s="330"/>
      <c r="C48" s="1512">
        <v>45</v>
      </c>
      <c r="D48" s="1513">
        <f>'7.1 Dealer area'!K39</f>
        <v>0</v>
      </c>
      <c r="E48" s="1517">
        <f t="shared" ref="E48:M54" si="196">D38</f>
        <v>0</v>
      </c>
      <c r="F48" s="1517">
        <f t="shared" si="196"/>
        <v>0</v>
      </c>
      <c r="G48" s="1517">
        <f t="shared" si="196"/>
        <v>0</v>
      </c>
      <c r="H48" s="1517">
        <f t="shared" si="196"/>
        <v>0</v>
      </c>
      <c r="I48" s="1517">
        <f t="shared" si="196"/>
        <v>0</v>
      </c>
      <c r="J48" s="1517">
        <f t="shared" si="196"/>
        <v>0</v>
      </c>
      <c r="K48" s="1517">
        <f t="shared" si="196"/>
        <v>0</v>
      </c>
      <c r="L48" s="1517">
        <f t="shared" si="196"/>
        <v>0</v>
      </c>
      <c r="M48" s="1517">
        <f t="shared" si="196"/>
        <v>0</v>
      </c>
      <c r="N48" s="1544">
        <f t="shared" ref="N48:N54" si="197">SUM(D48:M48)</f>
        <v>0</v>
      </c>
      <c r="Q48" s="1479"/>
      <c r="R48" s="812" t="s">
        <v>965</v>
      </c>
      <c r="S48" s="812" t="s">
        <v>966</v>
      </c>
      <c r="T48" s="812" t="s">
        <v>967</v>
      </c>
      <c r="U48" s="812" t="s">
        <v>968</v>
      </c>
      <c r="V48" s="812" t="s">
        <v>969</v>
      </c>
      <c r="W48" s="812" t="s">
        <v>970</v>
      </c>
      <c r="X48" s="812" t="s">
        <v>971</v>
      </c>
      <c r="Y48" s="812" t="s">
        <v>972</v>
      </c>
      <c r="Z48" s="812" t="s">
        <v>973</v>
      </c>
      <c r="AA48" s="812" t="s">
        <v>974</v>
      </c>
      <c r="AB48" s="812" t="s">
        <v>975</v>
      </c>
      <c r="AC48" s="812" t="s">
        <v>976</v>
      </c>
      <c r="AD48" s="812" t="s">
        <v>977</v>
      </c>
      <c r="AE48" s="812" t="s">
        <v>978</v>
      </c>
      <c r="AF48" s="812" t="s">
        <v>979</v>
      </c>
      <c r="AG48" s="812"/>
      <c r="AH48" s="1483"/>
      <c r="AV48" s="1480">
        <v>45</v>
      </c>
      <c r="AW48" s="814">
        <f>D48*R7*AK7</f>
        <v>0</v>
      </c>
      <c r="AX48" s="814">
        <f t="shared" ref="AX48:BF48" si="198">E48*S7*AL7</f>
        <v>0</v>
      </c>
      <c r="AY48" s="814">
        <f t="shared" si="198"/>
        <v>0</v>
      </c>
      <c r="AZ48" s="814">
        <f t="shared" si="198"/>
        <v>0</v>
      </c>
      <c r="BA48" s="814">
        <f t="shared" si="198"/>
        <v>0</v>
      </c>
      <c r="BB48" s="814">
        <f t="shared" si="198"/>
        <v>0</v>
      </c>
      <c r="BC48" s="814">
        <f t="shared" si="198"/>
        <v>0</v>
      </c>
      <c r="BD48" s="814">
        <f t="shared" si="198"/>
        <v>0</v>
      </c>
      <c r="BE48" s="814">
        <f t="shared" si="198"/>
        <v>0</v>
      </c>
      <c r="BF48" s="814">
        <f t="shared" si="198"/>
        <v>0</v>
      </c>
      <c r="BG48" s="1612">
        <f>SUM(AW48:BF48)</f>
        <v>0</v>
      </c>
      <c r="BH48" s="1613">
        <f>BG48</f>
        <v>0</v>
      </c>
      <c r="BJ48" s="1498">
        <v>45</v>
      </c>
      <c r="BK48" s="1501">
        <f>R17*D48*AK7</f>
        <v>0</v>
      </c>
      <c r="BL48" s="1501">
        <f t="shared" ref="BL48:BT48" si="199">S17*E48*AL7</f>
        <v>0</v>
      </c>
      <c r="BM48" s="1501">
        <f t="shared" si="199"/>
        <v>0</v>
      </c>
      <c r="BN48" s="1501">
        <f t="shared" si="199"/>
        <v>0</v>
      </c>
      <c r="BO48" s="1501">
        <f t="shared" si="199"/>
        <v>0</v>
      </c>
      <c r="BP48" s="1501">
        <f t="shared" si="199"/>
        <v>0</v>
      </c>
      <c r="BQ48" s="1501">
        <f t="shared" si="199"/>
        <v>0</v>
      </c>
      <c r="BR48" s="1501">
        <f t="shared" si="199"/>
        <v>0</v>
      </c>
      <c r="BS48" s="1501">
        <f t="shared" si="199"/>
        <v>0</v>
      </c>
      <c r="BT48" s="1501">
        <f t="shared" si="199"/>
        <v>0</v>
      </c>
      <c r="BU48" s="1547">
        <f t="shared" si="35"/>
        <v>0</v>
      </c>
      <c r="BV48" s="1548">
        <f>BU48</f>
        <v>0</v>
      </c>
      <c r="BX48" s="1498">
        <v>45</v>
      </c>
      <c r="BY48" s="1505">
        <f>D48*R38*AK7</f>
        <v>0</v>
      </c>
      <c r="BZ48" s="1505">
        <f t="shared" ref="BZ48:CH48" si="200">E48*S38*AL7</f>
        <v>0</v>
      </c>
      <c r="CA48" s="1505">
        <f t="shared" si="200"/>
        <v>0</v>
      </c>
      <c r="CB48" s="1505">
        <f t="shared" si="200"/>
        <v>0</v>
      </c>
      <c r="CC48" s="1505">
        <f t="shared" si="200"/>
        <v>0</v>
      </c>
      <c r="CD48" s="1505">
        <f t="shared" si="200"/>
        <v>0</v>
      </c>
      <c r="CE48" s="1505">
        <f t="shared" si="200"/>
        <v>0</v>
      </c>
      <c r="CF48" s="1505">
        <f t="shared" si="200"/>
        <v>0</v>
      </c>
      <c r="CG48" s="1505">
        <f t="shared" si="200"/>
        <v>0</v>
      </c>
      <c r="CH48" s="1505">
        <f t="shared" si="200"/>
        <v>0</v>
      </c>
      <c r="CI48" s="1549">
        <f t="shared" ref="CI48:CI54" si="201">SUM(BY48:CH48)</f>
        <v>0</v>
      </c>
      <c r="CJ48" s="1550">
        <f>CI48</f>
        <v>0</v>
      </c>
    </row>
    <row r="49" spans="2:88" hidden="1" x14ac:dyDescent="0.3">
      <c r="B49" s="330"/>
      <c r="C49" s="1512">
        <v>55</v>
      </c>
      <c r="D49" s="1513">
        <f>'7.1 Dealer area'!K40</f>
        <v>0</v>
      </c>
      <c r="E49" s="1517">
        <f t="shared" si="196"/>
        <v>0</v>
      </c>
      <c r="F49" s="1517">
        <f t="shared" si="196"/>
        <v>0</v>
      </c>
      <c r="G49" s="1517">
        <f t="shared" si="196"/>
        <v>0</v>
      </c>
      <c r="H49" s="1517">
        <f t="shared" si="196"/>
        <v>0</v>
      </c>
      <c r="I49" s="1517">
        <f t="shared" si="196"/>
        <v>0</v>
      </c>
      <c r="J49" s="1517">
        <f t="shared" si="196"/>
        <v>0</v>
      </c>
      <c r="K49" s="1517">
        <f t="shared" si="196"/>
        <v>0</v>
      </c>
      <c r="L49" s="1517">
        <f t="shared" si="196"/>
        <v>0</v>
      </c>
      <c r="M49" s="1517">
        <f t="shared" si="196"/>
        <v>0</v>
      </c>
      <c r="N49" s="1544">
        <f t="shared" si="197"/>
        <v>0</v>
      </c>
      <c r="Q49" s="1480" t="s">
        <v>984</v>
      </c>
      <c r="R49" s="814">
        <f>(('5.1 DAF Vehicle Parc Input'!E62*'OM Parts CPV (short)'!F7)*((1-'5.1 DAF Vehicle Parc Input'!$H$56)/(1-'Calculation (short)'!$O$1)))*(1+$E$1)*(1+$I$1)</f>
        <v>0</v>
      </c>
      <c r="S49" s="814">
        <f>(('5.1 DAF Vehicle Parc Input'!F62*'OM Parts CPV (short)'!G7)*((1-'5.1 DAF Vehicle Parc Input'!$H$56)/(1-'Calculation (short)'!$O$1)))*(1+$E$1)*(1+$I$1)</f>
        <v>0</v>
      </c>
      <c r="T49" s="814">
        <f>(('5.1 DAF Vehicle Parc Input'!G62*'OM Parts CPV (short)'!H7)*((1-'5.1 DAF Vehicle Parc Input'!$H$56)/(1-'Calculation (short)'!$O$1)))*(1+$E$1)*(1+$I$1)</f>
        <v>0</v>
      </c>
      <c r="U49" s="814">
        <f>(('5.1 DAF Vehicle Parc Input'!H62*'OM Parts CPV (short)'!I7)*((1-'5.1 DAF Vehicle Parc Input'!$H$56)/(1-'Calculation (short)'!$O$1)))*(1+$E$1)*(1+$I$1)</f>
        <v>0</v>
      </c>
      <c r="V49" s="814">
        <f>(('5.1 DAF Vehicle Parc Input'!I62*'OM Parts CPV (short)'!J7)*((1-'5.1 DAF Vehicle Parc Input'!$H$56)/(1-'Calculation (short)'!$O$1)))*(1+$E$1)*(1+$I$1)</f>
        <v>0</v>
      </c>
      <c r="W49" s="814">
        <f>(('5.1 DAF Vehicle Parc Input'!J62*'OM Parts CPV (short)'!K7)*((1-'5.1 DAF Vehicle Parc Input'!$H$56)/(1-'Calculation (short)'!$O$1)))*(1+$E$1)*(1+$I$1)</f>
        <v>0</v>
      </c>
      <c r="X49" s="814">
        <f>(('5.1 DAF Vehicle Parc Input'!K62*'OM Parts CPV (short)'!L7)*((1-'5.1 DAF Vehicle Parc Input'!$H$56)/(1-'Calculation (short)'!$O$1)))*(1+$E$1)*(1+$I$1)</f>
        <v>0</v>
      </c>
      <c r="Y49" s="814">
        <f>(('5.1 DAF Vehicle Parc Input'!L62*'OM Parts CPV (short)'!M7)*((1-'5.1 DAF Vehicle Parc Input'!$H$56)/(1-'Calculation (short)'!$O$1)))*(1+$E$1)*(1+$I$1)</f>
        <v>0</v>
      </c>
      <c r="Z49" s="814">
        <f>(('5.1 DAF Vehicle Parc Input'!M62*'OM Parts CPV (short)'!N7)*((1-'5.1 DAF Vehicle Parc Input'!$H$56)/(1-'Calculation (short)'!$O$1)))*(1+$E$1)*(1+$I$1)</f>
        <v>0</v>
      </c>
      <c r="AA49" s="814">
        <f>(('5.1 DAF Vehicle Parc Input'!N62*'OM Parts CPV (short)'!O7)*((1-'5.1 DAF Vehicle Parc Input'!$H$56)/(1-'Calculation (short)'!$O$1)))*(1+$E$1)*(1+$I$1)</f>
        <v>0</v>
      </c>
      <c r="AB49" s="814">
        <f>(('5.1 DAF Vehicle Parc Input'!O62*'OM Parts CPV (short)'!P7)*((1-'5.1 DAF Vehicle Parc Input'!$H$56)/(1-'Calculation (short)'!$O$1)))*(1+$E$1)*(1+$I$1)</f>
        <v>0</v>
      </c>
      <c r="AC49" s="814">
        <f>(('5.1 DAF Vehicle Parc Input'!P62*'OM Parts CPV (short)'!Q7)*((1-'5.1 DAF Vehicle Parc Input'!$H$56)/(1-'Calculation (short)'!$O$1)))*(1+$E$1)*(1+$I$1)</f>
        <v>0</v>
      </c>
      <c r="AD49" s="814">
        <f>(('5.1 DAF Vehicle Parc Input'!Q62*'OM Parts CPV (short)'!R7)*((1-'5.1 DAF Vehicle Parc Input'!$H$56)/(1-'Calculation (short)'!$O$1)))*(1+$E$1)*(1+$I$1)</f>
        <v>0</v>
      </c>
      <c r="AE49" s="814">
        <f>(('5.1 DAF Vehicle Parc Input'!R62*'OM Parts CPV (short)'!S7)*((1-'5.1 DAF Vehicle Parc Input'!$H$56)/(1-'Calculation (short)'!$O$1)))*(1+$E$1)*(1+$I$1)</f>
        <v>0</v>
      </c>
      <c r="AF49" s="814">
        <f>(('5.1 DAF Vehicle Parc Input'!S62*'OM Parts CPV (short)'!T7)*((1-'5.1 DAF Vehicle Parc Input'!$H$56)/(1-'Calculation (short)'!$O$1)))*(1+$E$1)*(1+$I$1)</f>
        <v>0</v>
      </c>
      <c r="AG49" s="814">
        <f>(('5.1 DAF Vehicle Parc Input'!T62*'OM Parts CPV (short)'!U7)*((1-'5.1 DAF Vehicle Parc Input'!$H$56)/(1-'Calculation (short)'!$O$1)))*(1+$E$1)*(1+$I$1)</f>
        <v>0</v>
      </c>
      <c r="AH49" s="1486">
        <f>AG49</f>
        <v>0</v>
      </c>
      <c r="AV49" s="1480">
        <v>55</v>
      </c>
      <c r="AW49" s="814">
        <f t="shared" ref="AW49:AW54" si="202">D49*R8*AK8</f>
        <v>0</v>
      </c>
      <c r="AX49" s="814">
        <f t="shared" ref="AX49:AX54" si="203">E49*S8*AL8</f>
        <v>0</v>
      </c>
      <c r="AY49" s="814">
        <f t="shared" ref="AY49:AY54" si="204">F49*T8*AM8</f>
        <v>0</v>
      </c>
      <c r="AZ49" s="814">
        <f t="shared" ref="AZ49:AZ54" si="205">G49*U8*AN8</f>
        <v>0</v>
      </c>
      <c r="BA49" s="814">
        <f t="shared" ref="BA49:BA54" si="206">H49*V8*AO8</f>
        <v>0</v>
      </c>
      <c r="BB49" s="814">
        <f t="shared" ref="BB49:BB54" si="207">I49*W8*AP8</f>
        <v>0</v>
      </c>
      <c r="BC49" s="814">
        <f t="shared" ref="BC49:BC54" si="208">J49*X8*AQ8</f>
        <v>0</v>
      </c>
      <c r="BD49" s="814">
        <f t="shared" ref="BD49:BD54" si="209">K49*Y8*AR8</f>
        <v>0</v>
      </c>
      <c r="BE49" s="814">
        <f t="shared" ref="BE49:BE54" si="210">L49*Z8*AS8</f>
        <v>0</v>
      </c>
      <c r="BF49" s="814">
        <f t="shared" ref="BF49:BF54" si="211">M49*AA8*AT8</f>
        <v>0</v>
      </c>
      <c r="BG49" s="1612">
        <f t="shared" ref="BG49:BG54" si="212">SUM(AW49:BF49)</f>
        <v>0</v>
      </c>
      <c r="BH49" s="1613">
        <f t="shared" ref="BH49:BH54" si="213">BG49</f>
        <v>0</v>
      </c>
      <c r="BJ49" s="1498">
        <v>55</v>
      </c>
      <c r="BK49" s="1501">
        <f t="shared" ref="BK49:BK54" si="214">R18*D49*AK8</f>
        <v>0</v>
      </c>
      <c r="BL49" s="1501">
        <f t="shared" ref="BL49:BL54" si="215">S18*E49*AL8</f>
        <v>0</v>
      </c>
      <c r="BM49" s="1501">
        <f t="shared" ref="BM49:BM54" si="216">T18*F49*AM8</f>
        <v>0</v>
      </c>
      <c r="BN49" s="1501">
        <f t="shared" ref="BN49:BN54" si="217">U18*G49*AN8</f>
        <v>0</v>
      </c>
      <c r="BO49" s="1501">
        <f t="shared" ref="BO49:BO54" si="218">V18*H49*AO8</f>
        <v>0</v>
      </c>
      <c r="BP49" s="1501">
        <f t="shared" ref="BP49:BP54" si="219">W18*I49*AP8</f>
        <v>0</v>
      </c>
      <c r="BQ49" s="1501">
        <f t="shared" ref="BQ49:BQ54" si="220">X18*J49*AQ8</f>
        <v>0</v>
      </c>
      <c r="BR49" s="1501">
        <f t="shared" ref="BR49:BR54" si="221">Y18*K49*AR8</f>
        <v>0</v>
      </c>
      <c r="BS49" s="1501">
        <f t="shared" ref="BS49:BS54" si="222">Z18*L49*AS8</f>
        <v>0</v>
      </c>
      <c r="BT49" s="1501">
        <f t="shared" ref="BT49:BT54" si="223">AA18*M49*AT8</f>
        <v>0</v>
      </c>
      <c r="BU49" s="1547">
        <f t="shared" si="35"/>
        <v>0</v>
      </c>
      <c r="BV49" s="1548">
        <f t="shared" ref="BV49:BV54" si="224">BU49</f>
        <v>0</v>
      </c>
      <c r="BX49" s="1498">
        <v>55</v>
      </c>
      <c r="BY49" s="1505">
        <f t="shared" ref="BY49:BY54" si="225">D49*R39*AK8</f>
        <v>0</v>
      </c>
      <c r="BZ49" s="1505">
        <f t="shared" ref="BZ49:BZ54" si="226">E49*S39*AL8</f>
        <v>0</v>
      </c>
      <c r="CA49" s="1505">
        <f t="shared" ref="CA49:CA54" si="227">F49*T39*AM8</f>
        <v>0</v>
      </c>
      <c r="CB49" s="1505">
        <f t="shared" ref="CB49:CB54" si="228">G49*U39*AN8</f>
        <v>0</v>
      </c>
      <c r="CC49" s="1505">
        <f t="shared" ref="CC49:CC54" si="229">H49*V39*AO8</f>
        <v>0</v>
      </c>
      <c r="CD49" s="1505">
        <f t="shared" ref="CD49:CD54" si="230">I49*W39*AP8</f>
        <v>0</v>
      </c>
      <c r="CE49" s="1505">
        <f t="shared" ref="CE49:CE54" si="231">J49*X39*AQ8</f>
        <v>0</v>
      </c>
      <c r="CF49" s="1505">
        <f t="shared" ref="CF49:CF54" si="232">K49*Y39*AR8</f>
        <v>0</v>
      </c>
      <c r="CG49" s="1505">
        <f t="shared" ref="CG49:CG54" si="233">L49*Z39*AS8</f>
        <v>0</v>
      </c>
      <c r="CH49" s="1505">
        <f t="shared" ref="CH49:CH54" si="234">M49*AA39*AT8</f>
        <v>0</v>
      </c>
      <c r="CI49" s="1549">
        <f t="shared" si="201"/>
        <v>0</v>
      </c>
      <c r="CJ49" s="1550">
        <f t="shared" ref="CJ49:CJ54" si="235">CI49</f>
        <v>0</v>
      </c>
    </row>
    <row r="50" spans="2:88" hidden="1" x14ac:dyDescent="0.3">
      <c r="B50" s="330"/>
      <c r="C50" s="1512">
        <v>65</v>
      </c>
      <c r="D50" s="1513">
        <f>'7.1 Dealer area'!K43</f>
        <v>0</v>
      </c>
      <c r="E50" s="1517">
        <f t="shared" si="196"/>
        <v>0</v>
      </c>
      <c r="F50" s="1517">
        <f t="shared" si="196"/>
        <v>0</v>
      </c>
      <c r="G50" s="1517">
        <f t="shared" si="196"/>
        <v>0</v>
      </c>
      <c r="H50" s="1517">
        <f t="shared" si="196"/>
        <v>0</v>
      </c>
      <c r="I50" s="1517">
        <f t="shared" si="196"/>
        <v>0</v>
      </c>
      <c r="J50" s="1517">
        <f t="shared" si="196"/>
        <v>0</v>
      </c>
      <c r="K50" s="1517">
        <f t="shared" si="196"/>
        <v>0</v>
      </c>
      <c r="L50" s="1517">
        <f t="shared" si="196"/>
        <v>0</v>
      </c>
      <c r="M50" s="1517">
        <f t="shared" si="196"/>
        <v>0</v>
      </c>
      <c r="N50" s="1544">
        <f t="shared" si="197"/>
        <v>0</v>
      </c>
      <c r="Q50" s="1480" t="s">
        <v>985</v>
      </c>
      <c r="R50" s="814">
        <f>(('5.1 DAF Vehicle Parc Input'!E63*'OM Parts CPV (short)'!F8)*((1-'5.1 DAF Vehicle Parc Input'!$H$56)/(1-'Calculation (short)'!$O$1)))*(1+$E$1)*(1+$I$1)</f>
        <v>0</v>
      </c>
      <c r="S50" s="814">
        <f>(('5.1 DAF Vehicle Parc Input'!F63*'OM Parts CPV (short)'!G8)*((1-'5.1 DAF Vehicle Parc Input'!$H$56)/(1-'Calculation (short)'!$O$1)))*(1+$E$1)*(1+$I$1)</f>
        <v>0</v>
      </c>
      <c r="T50" s="814">
        <f>(('5.1 DAF Vehicle Parc Input'!G63*'OM Parts CPV (short)'!H8)*((1-'5.1 DAF Vehicle Parc Input'!$H$56)/(1-'Calculation (short)'!$O$1)))*(1+$E$1)*(1+$I$1)</f>
        <v>0</v>
      </c>
      <c r="U50" s="814">
        <f>(('5.1 DAF Vehicle Parc Input'!H63*'OM Parts CPV (short)'!I8)*((1-'5.1 DAF Vehicle Parc Input'!$H$56)/(1-'Calculation (short)'!$O$1)))*(1+$E$1)*(1+$I$1)</f>
        <v>0</v>
      </c>
      <c r="V50" s="814">
        <f>(('5.1 DAF Vehicle Parc Input'!I63*'OM Parts CPV (short)'!J8)*((1-'5.1 DAF Vehicle Parc Input'!$H$56)/(1-'Calculation (short)'!$O$1)))*(1+$E$1)*(1+$I$1)</f>
        <v>0</v>
      </c>
      <c r="W50" s="814">
        <f>(('5.1 DAF Vehicle Parc Input'!J63*'OM Parts CPV (short)'!K8)*((1-'5.1 DAF Vehicle Parc Input'!$H$56)/(1-'Calculation (short)'!$O$1)))*(1+$E$1)*(1+$I$1)</f>
        <v>0</v>
      </c>
      <c r="X50" s="814">
        <f>(('5.1 DAF Vehicle Parc Input'!K63*'OM Parts CPV (short)'!L8)*((1-'5.1 DAF Vehicle Parc Input'!$H$56)/(1-'Calculation (short)'!$O$1)))*(1+$E$1)*(1+$I$1)</f>
        <v>0</v>
      </c>
      <c r="Y50" s="814">
        <f>(('5.1 DAF Vehicle Parc Input'!L63*'OM Parts CPV (short)'!M8)*((1-'5.1 DAF Vehicle Parc Input'!$H$56)/(1-'Calculation (short)'!$O$1)))*(1+$E$1)*(1+$I$1)</f>
        <v>0</v>
      </c>
      <c r="Z50" s="814">
        <f>(('5.1 DAF Vehicle Parc Input'!M63*'OM Parts CPV (short)'!N8)*((1-'5.1 DAF Vehicle Parc Input'!$H$56)/(1-'Calculation (short)'!$O$1)))*(1+$E$1)*(1+$I$1)</f>
        <v>0</v>
      </c>
      <c r="AA50" s="814">
        <f>(('5.1 DAF Vehicle Parc Input'!N63*'OM Parts CPV (short)'!O8)*((1-'5.1 DAF Vehicle Parc Input'!$H$56)/(1-'Calculation (short)'!$O$1)))*(1+$E$1)*(1+$I$1)</f>
        <v>0</v>
      </c>
      <c r="AB50" s="814">
        <f>(('5.1 DAF Vehicle Parc Input'!O63*'OM Parts CPV (short)'!P8)*((1-'5.1 DAF Vehicle Parc Input'!$H$56)/(1-'Calculation (short)'!$O$1)))*(1+$E$1)*(1+$I$1)</f>
        <v>0</v>
      </c>
      <c r="AC50" s="814">
        <f>(('5.1 DAF Vehicle Parc Input'!P63*'OM Parts CPV (short)'!Q8)*((1-'5.1 DAF Vehicle Parc Input'!$H$56)/(1-'Calculation (short)'!$O$1)))*(1+$E$1)*(1+$I$1)</f>
        <v>0</v>
      </c>
      <c r="AD50" s="814">
        <f>(('5.1 DAF Vehicle Parc Input'!Q63*'OM Parts CPV (short)'!R8)*((1-'5.1 DAF Vehicle Parc Input'!$H$56)/(1-'Calculation (short)'!$O$1)))*(1+$E$1)*(1+$I$1)</f>
        <v>0</v>
      </c>
      <c r="AE50" s="814">
        <f>(('5.1 DAF Vehicle Parc Input'!R63*'OM Parts CPV (short)'!S8)*((1-'5.1 DAF Vehicle Parc Input'!$H$56)/(1-'Calculation (short)'!$O$1)))*(1+$E$1)*(1+$I$1)</f>
        <v>0</v>
      </c>
      <c r="AF50" s="814">
        <f>(('5.1 DAF Vehicle Parc Input'!S63*'OM Parts CPV (short)'!T8)*((1-'5.1 DAF Vehicle Parc Input'!$H$56)/(1-'Calculation (short)'!$O$1)))*(1+$E$1)*(1+$I$1)</f>
        <v>0</v>
      </c>
      <c r="AG50" s="814">
        <f>(('5.1 DAF Vehicle Parc Input'!T63*'OM Parts CPV (short)'!U8)*((1-'5.1 DAF Vehicle Parc Input'!$H$56)/(1-'Calculation (short)'!$O$1)))*(1+$E$1)*(1+$I$1)</f>
        <v>0</v>
      </c>
      <c r="AH50" s="1486">
        <f>AG50</f>
        <v>0</v>
      </c>
      <c r="AV50" s="1480">
        <v>65</v>
      </c>
      <c r="AW50" s="814">
        <f t="shared" si="202"/>
        <v>0</v>
      </c>
      <c r="AX50" s="814">
        <f t="shared" si="203"/>
        <v>0</v>
      </c>
      <c r="AY50" s="814">
        <f t="shared" si="204"/>
        <v>0</v>
      </c>
      <c r="AZ50" s="814">
        <f t="shared" si="205"/>
        <v>0</v>
      </c>
      <c r="BA50" s="814">
        <f t="shared" si="206"/>
        <v>0</v>
      </c>
      <c r="BB50" s="814">
        <f t="shared" si="207"/>
        <v>0</v>
      </c>
      <c r="BC50" s="814">
        <f t="shared" si="208"/>
        <v>0</v>
      </c>
      <c r="BD50" s="814">
        <f t="shared" si="209"/>
        <v>0</v>
      </c>
      <c r="BE50" s="814">
        <f t="shared" si="210"/>
        <v>0</v>
      </c>
      <c r="BF50" s="814">
        <f t="shared" si="211"/>
        <v>0</v>
      </c>
      <c r="BG50" s="1612">
        <f t="shared" si="212"/>
        <v>0</v>
      </c>
      <c r="BH50" s="1613">
        <f t="shared" si="213"/>
        <v>0</v>
      </c>
      <c r="BJ50" s="1498">
        <v>65</v>
      </c>
      <c r="BK50" s="1501">
        <f t="shared" si="214"/>
        <v>0</v>
      </c>
      <c r="BL50" s="1501">
        <f t="shared" si="215"/>
        <v>0</v>
      </c>
      <c r="BM50" s="1501">
        <f t="shared" si="216"/>
        <v>0</v>
      </c>
      <c r="BN50" s="1501">
        <f t="shared" si="217"/>
        <v>0</v>
      </c>
      <c r="BO50" s="1501">
        <f t="shared" si="218"/>
        <v>0</v>
      </c>
      <c r="BP50" s="1501">
        <f t="shared" si="219"/>
        <v>0</v>
      </c>
      <c r="BQ50" s="1501">
        <f t="shared" si="220"/>
        <v>0</v>
      </c>
      <c r="BR50" s="1501">
        <f t="shared" si="221"/>
        <v>0</v>
      </c>
      <c r="BS50" s="1501">
        <f t="shared" si="222"/>
        <v>0</v>
      </c>
      <c r="BT50" s="1501">
        <f t="shared" si="223"/>
        <v>0</v>
      </c>
      <c r="BU50" s="1547">
        <f t="shared" si="35"/>
        <v>0</v>
      </c>
      <c r="BV50" s="1548">
        <f t="shared" si="224"/>
        <v>0</v>
      </c>
      <c r="BX50" s="1498">
        <v>65</v>
      </c>
      <c r="BY50" s="1505">
        <f t="shared" si="225"/>
        <v>0</v>
      </c>
      <c r="BZ50" s="1505">
        <f t="shared" si="226"/>
        <v>0</v>
      </c>
      <c r="CA50" s="1505">
        <f t="shared" si="227"/>
        <v>0</v>
      </c>
      <c r="CB50" s="1505">
        <f t="shared" si="228"/>
        <v>0</v>
      </c>
      <c r="CC50" s="1505">
        <f t="shared" si="229"/>
        <v>0</v>
      </c>
      <c r="CD50" s="1505">
        <f t="shared" si="230"/>
        <v>0</v>
      </c>
      <c r="CE50" s="1505">
        <f t="shared" si="231"/>
        <v>0</v>
      </c>
      <c r="CF50" s="1505">
        <f t="shared" si="232"/>
        <v>0</v>
      </c>
      <c r="CG50" s="1505">
        <f t="shared" si="233"/>
        <v>0</v>
      </c>
      <c r="CH50" s="1505">
        <f t="shared" si="234"/>
        <v>0</v>
      </c>
      <c r="CI50" s="1549">
        <f t="shared" si="201"/>
        <v>0</v>
      </c>
      <c r="CJ50" s="1550">
        <f t="shared" si="235"/>
        <v>0</v>
      </c>
    </row>
    <row r="51" spans="2:88" hidden="1" x14ac:dyDescent="0.3">
      <c r="B51" s="330"/>
      <c r="C51" s="1512">
        <v>75</v>
      </c>
      <c r="D51" s="1513">
        <f>'7.1 Dealer area'!K44</f>
        <v>0</v>
      </c>
      <c r="E51" s="1517">
        <f t="shared" si="196"/>
        <v>0</v>
      </c>
      <c r="F51" s="1517">
        <f t="shared" si="196"/>
        <v>0</v>
      </c>
      <c r="G51" s="1517">
        <f t="shared" si="196"/>
        <v>0</v>
      </c>
      <c r="H51" s="1517">
        <f t="shared" si="196"/>
        <v>0</v>
      </c>
      <c r="I51" s="1517">
        <f t="shared" si="196"/>
        <v>0</v>
      </c>
      <c r="J51" s="1517">
        <f t="shared" si="196"/>
        <v>0</v>
      </c>
      <c r="K51" s="1517">
        <f t="shared" si="196"/>
        <v>0</v>
      </c>
      <c r="L51" s="1517">
        <f t="shared" si="196"/>
        <v>0</v>
      </c>
      <c r="M51" s="1517">
        <f t="shared" si="196"/>
        <v>0</v>
      </c>
      <c r="N51" s="1544">
        <f t="shared" si="197"/>
        <v>0</v>
      </c>
      <c r="Q51" s="1480"/>
      <c r="R51" s="815"/>
      <c r="S51" s="815"/>
      <c r="T51" s="815"/>
      <c r="U51" s="815"/>
      <c r="V51" s="815"/>
      <c r="W51" s="815"/>
      <c r="X51" s="815"/>
      <c r="Y51" s="815"/>
      <c r="Z51" s="815"/>
      <c r="AA51" s="815"/>
      <c r="AB51" s="815"/>
      <c r="AC51" s="815"/>
      <c r="AD51" s="815"/>
      <c r="AE51" s="815"/>
      <c r="AF51" s="815"/>
      <c r="AG51" s="815"/>
      <c r="AH51" s="1483">
        <f>SUM(AH49:AH50)</f>
        <v>0</v>
      </c>
      <c r="AV51" s="1480">
        <v>75</v>
      </c>
      <c r="AW51" s="814">
        <f t="shared" si="202"/>
        <v>0</v>
      </c>
      <c r="AX51" s="814">
        <f t="shared" si="203"/>
        <v>0</v>
      </c>
      <c r="AY51" s="814">
        <f t="shared" si="204"/>
        <v>0</v>
      </c>
      <c r="AZ51" s="814">
        <f t="shared" si="205"/>
        <v>0</v>
      </c>
      <c r="BA51" s="814">
        <f t="shared" si="206"/>
        <v>0</v>
      </c>
      <c r="BB51" s="814">
        <f t="shared" si="207"/>
        <v>0</v>
      </c>
      <c r="BC51" s="814">
        <f t="shared" si="208"/>
        <v>0</v>
      </c>
      <c r="BD51" s="814">
        <f t="shared" si="209"/>
        <v>0</v>
      </c>
      <c r="BE51" s="814">
        <f t="shared" si="210"/>
        <v>0</v>
      </c>
      <c r="BF51" s="814">
        <f t="shared" si="211"/>
        <v>0</v>
      </c>
      <c r="BG51" s="1612">
        <f t="shared" si="212"/>
        <v>0</v>
      </c>
      <c r="BH51" s="1613">
        <f t="shared" si="213"/>
        <v>0</v>
      </c>
      <c r="BJ51" s="1498">
        <v>75</v>
      </c>
      <c r="BK51" s="1501">
        <f t="shared" si="214"/>
        <v>0</v>
      </c>
      <c r="BL51" s="1501">
        <f t="shared" si="215"/>
        <v>0</v>
      </c>
      <c r="BM51" s="1501">
        <f t="shared" si="216"/>
        <v>0</v>
      </c>
      <c r="BN51" s="1501">
        <f t="shared" si="217"/>
        <v>0</v>
      </c>
      <c r="BO51" s="1501">
        <f t="shared" si="218"/>
        <v>0</v>
      </c>
      <c r="BP51" s="1501">
        <f t="shared" si="219"/>
        <v>0</v>
      </c>
      <c r="BQ51" s="1501">
        <f t="shared" si="220"/>
        <v>0</v>
      </c>
      <c r="BR51" s="1501">
        <f t="shared" si="221"/>
        <v>0</v>
      </c>
      <c r="BS51" s="1501">
        <f t="shared" si="222"/>
        <v>0</v>
      </c>
      <c r="BT51" s="1501">
        <f t="shared" si="223"/>
        <v>0</v>
      </c>
      <c r="BU51" s="1547">
        <f t="shared" si="35"/>
        <v>0</v>
      </c>
      <c r="BV51" s="1548">
        <f t="shared" si="224"/>
        <v>0</v>
      </c>
      <c r="BX51" s="1498">
        <v>75</v>
      </c>
      <c r="BY51" s="1505">
        <f t="shared" si="225"/>
        <v>0</v>
      </c>
      <c r="BZ51" s="1505">
        <f t="shared" si="226"/>
        <v>0</v>
      </c>
      <c r="CA51" s="1505">
        <f t="shared" si="227"/>
        <v>0</v>
      </c>
      <c r="CB51" s="1505">
        <f t="shared" si="228"/>
        <v>0</v>
      </c>
      <c r="CC51" s="1505">
        <f t="shared" si="229"/>
        <v>0</v>
      </c>
      <c r="CD51" s="1505">
        <f t="shared" si="230"/>
        <v>0</v>
      </c>
      <c r="CE51" s="1505">
        <f t="shared" si="231"/>
        <v>0</v>
      </c>
      <c r="CF51" s="1505">
        <f t="shared" si="232"/>
        <v>0</v>
      </c>
      <c r="CG51" s="1505">
        <f t="shared" si="233"/>
        <v>0</v>
      </c>
      <c r="CH51" s="1505">
        <f t="shared" si="234"/>
        <v>0</v>
      </c>
      <c r="CI51" s="1549">
        <f t="shared" si="201"/>
        <v>0</v>
      </c>
      <c r="CJ51" s="1550">
        <f t="shared" si="235"/>
        <v>0</v>
      </c>
    </row>
    <row r="52" spans="2:88" hidden="1" x14ac:dyDescent="0.3">
      <c r="B52" s="330"/>
      <c r="C52" s="1512">
        <v>85</v>
      </c>
      <c r="D52" s="1513">
        <f>'7.1 Dealer area'!K45</f>
        <v>184</v>
      </c>
      <c r="E52" s="1517">
        <f t="shared" si="196"/>
        <v>154</v>
      </c>
      <c r="F52" s="1517">
        <f t="shared" si="196"/>
        <v>125</v>
      </c>
      <c r="G52" s="1517">
        <f t="shared" si="196"/>
        <v>73</v>
      </c>
      <c r="H52" s="1517">
        <f t="shared" si="196"/>
        <v>29</v>
      </c>
      <c r="I52" s="1517">
        <f t="shared" si="196"/>
        <v>17</v>
      </c>
      <c r="J52" s="1517">
        <f t="shared" si="196"/>
        <v>19</v>
      </c>
      <c r="K52" s="1517">
        <f t="shared" si="196"/>
        <v>22</v>
      </c>
      <c r="L52" s="1517">
        <f t="shared" si="196"/>
        <v>20</v>
      </c>
      <c r="M52" s="1517">
        <f t="shared" si="196"/>
        <v>10</v>
      </c>
      <c r="N52" s="1544">
        <f t="shared" si="197"/>
        <v>653</v>
      </c>
      <c r="Q52" s="1480"/>
      <c r="R52" s="818"/>
      <c r="S52" s="818"/>
      <c r="T52" s="818"/>
      <c r="U52" s="818"/>
      <c r="V52" s="818"/>
      <c r="W52" s="818"/>
      <c r="X52" s="818"/>
      <c r="Y52" s="818"/>
      <c r="Z52" s="818"/>
      <c r="AA52" s="818"/>
      <c r="AB52" s="818"/>
      <c r="AC52" s="818"/>
      <c r="AD52" s="818"/>
      <c r="AE52" s="818"/>
      <c r="AF52" s="818"/>
      <c r="AH52" s="1483"/>
      <c r="AV52" s="1480">
        <v>85</v>
      </c>
      <c r="AW52" s="814">
        <f t="shared" si="202"/>
        <v>226770.88225419083</v>
      </c>
      <c r="AX52" s="814">
        <f t="shared" si="203"/>
        <v>167894.92909003235</v>
      </c>
      <c r="AY52" s="814">
        <f t="shared" si="204"/>
        <v>232119.86392192973</v>
      </c>
      <c r="AZ52" s="814">
        <f t="shared" si="205"/>
        <v>164560.87052038568</v>
      </c>
      <c r="BA52" s="814">
        <f t="shared" si="206"/>
        <v>74620.589302230437</v>
      </c>
      <c r="BB52" s="814">
        <f t="shared" si="207"/>
        <v>44569.238261212959</v>
      </c>
      <c r="BC52" s="814">
        <f t="shared" si="208"/>
        <v>52925.970435190386</v>
      </c>
      <c r="BD52" s="814">
        <f t="shared" si="209"/>
        <v>64887.567468530644</v>
      </c>
      <c r="BE52" s="814">
        <f t="shared" si="210"/>
        <v>62265.847570812228</v>
      </c>
      <c r="BF52" s="814">
        <f t="shared" si="211"/>
        <v>32771.498721480122</v>
      </c>
      <c r="BG52" s="1612">
        <f t="shared" si="212"/>
        <v>1123387.2575459953</v>
      </c>
      <c r="BH52" s="1613">
        <f t="shared" si="213"/>
        <v>1123387.2575459953</v>
      </c>
      <c r="BJ52" s="1498">
        <v>85</v>
      </c>
      <c r="BK52" s="1501">
        <f t="shared" si="214"/>
        <v>3228.0071706565959</v>
      </c>
      <c r="BL52" s="1501">
        <f t="shared" si="215"/>
        <v>3405.9567880229324</v>
      </c>
      <c r="BM52" s="1501">
        <f t="shared" si="216"/>
        <v>3300.8774876855041</v>
      </c>
      <c r="BN52" s="1501">
        <f t="shared" si="217"/>
        <v>1976.1172869776301</v>
      </c>
      <c r="BO52" s="1501">
        <f t="shared" si="218"/>
        <v>906.37718934582881</v>
      </c>
      <c r="BP52" s="1501">
        <f t="shared" si="219"/>
        <v>582.0635844743706</v>
      </c>
      <c r="BQ52" s="1501">
        <f t="shared" si="220"/>
        <v>691.20050656331512</v>
      </c>
      <c r="BR52" s="1501">
        <f t="shared" si="221"/>
        <v>847.41610092592202</v>
      </c>
      <c r="BS52" s="1501">
        <f t="shared" si="222"/>
        <v>813.17706654507674</v>
      </c>
      <c r="BT52" s="1501">
        <f t="shared" si="223"/>
        <v>427.9879297605666</v>
      </c>
      <c r="BU52" s="1547">
        <f t="shared" si="35"/>
        <v>16179.181110957743</v>
      </c>
      <c r="BV52" s="1548">
        <f t="shared" si="224"/>
        <v>16179.181110957743</v>
      </c>
      <c r="BX52" s="1498">
        <v>85</v>
      </c>
      <c r="BY52" s="1505">
        <f t="shared" si="225"/>
        <v>64044.579789473682</v>
      </c>
      <c r="BZ52" s="1505">
        <f t="shared" si="226"/>
        <v>52440.623052631585</v>
      </c>
      <c r="CA52" s="1505">
        <f t="shared" si="227"/>
        <v>36444.049342105267</v>
      </c>
      <c r="CB52" s="1505">
        <f t="shared" si="228"/>
        <v>17684.469000000001</v>
      </c>
      <c r="CC52" s="1505">
        <f t="shared" si="229"/>
        <v>7299.5175000000008</v>
      </c>
      <c r="CD52" s="1505">
        <f t="shared" si="230"/>
        <v>4807.5337894736849</v>
      </c>
      <c r="CE52" s="1505">
        <f t="shared" si="231"/>
        <v>5708.9463750000004</v>
      </c>
      <c r="CF52" s="1505">
        <f t="shared" si="232"/>
        <v>6999.2036052631574</v>
      </c>
      <c r="CG52" s="1505">
        <f t="shared" si="233"/>
        <v>6716.4075000000003</v>
      </c>
      <c r="CH52" s="1505">
        <f t="shared" si="234"/>
        <v>3534.9513157894739</v>
      </c>
      <c r="CI52" s="1549">
        <f t="shared" si="201"/>
        <v>205680.28126973682</v>
      </c>
      <c r="CJ52" s="1550">
        <f t="shared" si="235"/>
        <v>205680.28126973682</v>
      </c>
    </row>
    <row r="53" spans="2:88" hidden="1" x14ac:dyDescent="0.3">
      <c r="B53" s="809"/>
      <c r="C53" s="1512">
        <v>95</v>
      </c>
      <c r="D53" s="1513">
        <v>0</v>
      </c>
      <c r="E53" s="1517">
        <f t="shared" si="196"/>
        <v>0</v>
      </c>
      <c r="F53" s="1517">
        <f>E43</f>
        <v>0</v>
      </c>
      <c r="G53" s="1517">
        <f t="shared" si="196"/>
        <v>0</v>
      </c>
      <c r="H53" s="1517">
        <f t="shared" si="196"/>
        <v>0</v>
      </c>
      <c r="I53" s="1517">
        <f t="shared" si="196"/>
        <v>0</v>
      </c>
      <c r="J53" s="1517">
        <f t="shared" si="196"/>
        <v>0</v>
      </c>
      <c r="K53" s="1517">
        <f t="shared" si="196"/>
        <v>0</v>
      </c>
      <c r="L53" s="1517">
        <f t="shared" si="196"/>
        <v>0</v>
      </c>
      <c r="M53" s="1517">
        <f t="shared" si="196"/>
        <v>0</v>
      </c>
      <c r="N53" s="1544">
        <f t="shared" si="197"/>
        <v>0</v>
      </c>
      <c r="Q53" s="1480"/>
      <c r="R53" s="818"/>
      <c r="S53" s="818"/>
      <c r="T53" s="818"/>
      <c r="U53" s="818"/>
      <c r="V53" s="818"/>
      <c r="W53" s="818"/>
      <c r="X53" s="818"/>
      <c r="Y53" s="818"/>
      <c r="Z53" s="818"/>
      <c r="AA53" s="818"/>
      <c r="AB53" s="818"/>
      <c r="AC53" s="818"/>
      <c r="AD53" s="818"/>
      <c r="AE53" s="818"/>
      <c r="AF53" s="818"/>
      <c r="AH53" s="1483"/>
      <c r="AV53" s="1480">
        <v>95</v>
      </c>
      <c r="AW53" s="814">
        <f t="shared" si="202"/>
        <v>0</v>
      </c>
      <c r="AX53" s="814">
        <f t="shared" si="203"/>
        <v>0</v>
      </c>
      <c r="AY53" s="814">
        <f t="shared" si="204"/>
        <v>0</v>
      </c>
      <c r="AZ53" s="814">
        <f t="shared" si="205"/>
        <v>0</v>
      </c>
      <c r="BA53" s="814">
        <f t="shared" si="206"/>
        <v>0</v>
      </c>
      <c r="BB53" s="814">
        <f t="shared" si="207"/>
        <v>0</v>
      </c>
      <c r="BC53" s="814">
        <f t="shared" si="208"/>
        <v>0</v>
      </c>
      <c r="BD53" s="814">
        <f t="shared" si="209"/>
        <v>0</v>
      </c>
      <c r="BE53" s="814">
        <f t="shared" si="210"/>
        <v>0</v>
      </c>
      <c r="BF53" s="814">
        <f t="shared" si="211"/>
        <v>0</v>
      </c>
      <c r="BG53" s="1612">
        <f t="shared" si="212"/>
        <v>0</v>
      </c>
      <c r="BH53" s="1613">
        <f t="shared" si="213"/>
        <v>0</v>
      </c>
      <c r="BJ53" s="1498">
        <v>95</v>
      </c>
      <c r="BK53" s="1501">
        <f t="shared" si="214"/>
        <v>0</v>
      </c>
      <c r="BL53" s="1501">
        <f t="shared" si="215"/>
        <v>0</v>
      </c>
      <c r="BM53" s="1501">
        <f t="shared" si="216"/>
        <v>0</v>
      </c>
      <c r="BN53" s="1501">
        <f t="shared" si="217"/>
        <v>0</v>
      </c>
      <c r="BO53" s="1501">
        <f t="shared" si="218"/>
        <v>0</v>
      </c>
      <c r="BP53" s="1501">
        <f t="shared" si="219"/>
        <v>0</v>
      </c>
      <c r="BQ53" s="1501">
        <f t="shared" si="220"/>
        <v>0</v>
      </c>
      <c r="BR53" s="1501">
        <f t="shared" si="221"/>
        <v>0</v>
      </c>
      <c r="BS53" s="1501">
        <f t="shared" si="222"/>
        <v>0</v>
      </c>
      <c r="BT53" s="1501">
        <f t="shared" si="223"/>
        <v>0</v>
      </c>
      <c r="BU53" s="1547">
        <f t="shared" si="35"/>
        <v>0</v>
      </c>
      <c r="BV53" s="1548">
        <f t="shared" si="224"/>
        <v>0</v>
      </c>
      <c r="BX53" s="1498">
        <v>95</v>
      </c>
      <c r="BY53" s="1505">
        <f t="shared" si="225"/>
        <v>0</v>
      </c>
      <c r="BZ53" s="1505">
        <f t="shared" si="226"/>
        <v>0</v>
      </c>
      <c r="CA53" s="1505">
        <f t="shared" si="227"/>
        <v>0</v>
      </c>
      <c r="CB53" s="1505">
        <f t="shared" si="228"/>
        <v>0</v>
      </c>
      <c r="CC53" s="1505">
        <f t="shared" si="229"/>
        <v>0</v>
      </c>
      <c r="CD53" s="1505">
        <f t="shared" si="230"/>
        <v>0</v>
      </c>
      <c r="CE53" s="1505">
        <f t="shared" si="231"/>
        <v>0</v>
      </c>
      <c r="CF53" s="1505">
        <f t="shared" si="232"/>
        <v>0</v>
      </c>
      <c r="CG53" s="1505">
        <f t="shared" si="233"/>
        <v>0</v>
      </c>
      <c r="CH53" s="1505">
        <f t="shared" si="234"/>
        <v>0</v>
      </c>
      <c r="CI53" s="1549">
        <f t="shared" si="201"/>
        <v>0</v>
      </c>
      <c r="CJ53" s="1550">
        <f t="shared" si="235"/>
        <v>0</v>
      </c>
    </row>
    <row r="54" spans="2:88" hidden="1" x14ac:dyDescent="0.3">
      <c r="B54" s="809"/>
      <c r="C54" s="1512">
        <v>105</v>
      </c>
      <c r="D54" s="1513">
        <f>'7.1 Dealer area'!K46</f>
        <v>0</v>
      </c>
      <c r="E54" s="1517">
        <f t="shared" si="196"/>
        <v>0</v>
      </c>
      <c r="F54" s="1517">
        <f t="shared" ref="F54:M54" si="236">E44</f>
        <v>0</v>
      </c>
      <c r="G54" s="1517">
        <f t="shared" si="236"/>
        <v>0</v>
      </c>
      <c r="H54" s="1517">
        <f t="shared" si="236"/>
        <v>0</v>
      </c>
      <c r="I54" s="1517">
        <f t="shared" si="236"/>
        <v>0</v>
      </c>
      <c r="J54" s="1517">
        <f t="shared" si="236"/>
        <v>0</v>
      </c>
      <c r="K54" s="1517">
        <f t="shared" si="236"/>
        <v>0</v>
      </c>
      <c r="L54" s="1517">
        <f t="shared" si="236"/>
        <v>0</v>
      </c>
      <c r="M54" s="1517">
        <f t="shared" si="236"/>
        <v>0</v>
      </c>
      <c r="N54" s="1544">
        <f t="shared" si="197"/>
        <v>0</v>
      </c>
      <c r="Q54" s="1480"/>
      <c r="R54" s="2219" t="s">
        <v>1006</v>
      </c>
      <c r="S54" s="2218"/>
      <c r="T54" s="2218"/>
      <c r="U54" s="2218"/>
      <c r="V54" s="2218"/>
      <c r="W54" s="2218"/>
      <c r="X54" s="2218"/>
      <c r="Y54" s="2218"/>
      <c r="Z54" s="2218"/>
      <c r="AA54" s="2218"/>
      <c r="AB54" s="2218"/>
      <c r="AC54" s="2218"/>
      <c r="AD54" s="2218"/>
      <c r="AE54" s="2218"/>
      <c r="AF54" s="2218"/>
      <c r="AG54" s="815"/>
      <c r="AH54" s="1483"/>
      <c r="AV54" s="1480">
        <v>105</v>
      </c>
      <c r="AW54" s="814">
        <f t="shared" si="202"/>
        <v>0</v>
      </c>
      <c r="AX54" s="814">
        <f t="shared" si="203"/>
        <v>0</v>
      </c>
      <c r="AY54" s="814">
        <f t="shared" si="204"/>
        <v>0</v>
      </c>
      <c r="AZ54" s="814">
        <f t="shared" si="205"/>
        <v>0</v>
      </c>
      <c r="BA54" s="814">
        <f t="shared" si="206"/>
        <v>0</v>
      </c>
      <c r="BB54" s="814">
        <f t="shared" si="207"/>
        <v>0</v>
      </c>
      <c r="BC54" s="814">
        <f t="shared" si="208"/>
        <v>0</v>
      </c>
      <c r="BD54" s="814">
        <f t="shared" si="209"/>
        <v>0</v>
      </c>
      <c r="BE54" s="814">
        <f t="shared" si="210"/>
        <v>0</v>
      </c>
      <c r="BF54" s="814">
        <f t="shared" si="211"/>
        <v>0</v>
      </c>
      <c r="BG54" s="1612">
        <f t="shared" si="212"/>
        <v>0</v>
      </c>
      <c r="BH54" s="1613">
        <f t="shared" si="213"/>
        <v>0</v>
      </c>
      <c r="BJ54" s="1498">
        <v>105</v>
      </c>
      <c r="BK54" s="1501">
        <f t="shared" si="214"/>
        <v>0</v>
      </c>
      <c r="BL54" s="1501">
        <f t="shared" si="215"/>
        <v>0</v>
      </c>
      <c r="BM54" s="1501">
        <f t="shared" si="216"/>
        <v>0</v>
      </c>
      <c r="BN54" s="1501">
        <f t="shared" si="217"/>
        <v>0</v>
      </c>
      <c r="BO54" s="1501">
        <f t="shared" si="218"/>
        <v>0</v>
      </c>
      <c r="BP54" s="1501">
        <f t="shared" si="219"/>
        <v>0</v>
      </c>
      <c r="BQ54" s="1501">
        <f t="shared" si="220"/>
        <v>0</v>
      </c>
      <c r="BR54" s="1501">
        <f t="shared" si="221"/>
        <v>0</v>
      </c>
      <c r="BS54" s="1501">
        <f t="shared" si="222"/>
        <v>0</v>
      </c>
      <c r="BT54" s="1501">
        <f t="shared" si="223"/>
        <v>0</v>
      </c>
      <c r="BU54" s="1547">
        <f t="shared" si="35"/>
        <v>0</v>
      </c>
      <c r="BV54" s="1548">
        <f t="shared" si="224"/>
        <v>0</v>
      </c>
      <c r="BX54" s="1498">
        <v>105</v>
      </c>
      <c r="BY54" s="1505">
        <f t="shared" si="225"/>
        <v>0</v>
      </c>
      <c r="BZ54" s="1505">
        <f t="shared" si="226"/>
        <v>0</v>
      </c>
      <c r="CA54" s="1505">
        <f t="shared" si="227"/>
        <v>0</v>
      </c>
      <c r="CB54" s="1505">
        <f t="shared" si="228"/>
        <v>0</v>
      </c>
      <c r="CC54" s="1505">
        <f t="shared" si="229"/>
        <v>0</v>
      </c>
      <c r="CD54" s="1505">
        <f t="shared" si="230"/>
        <v>0</v>
      </c>
      <c r="CE54" s="1505">
        <f t="shared" si="231"/>
        <v>0</v>
      </c>
      <c r="CF54" s="1505">
        <f t="shared" si="232"/>
        <v>0</v>
      </c>
      <c r="CG54" s="1505">
        <f t="shared" si="233"/>
        <v>0</v>
      </c>
      <c r="CH54" s="1505">
        <f t="shared" si="234"/>
        <v>0</v>
      </c>
      <c r="CI54" s="1549">
        <f t="shared" si="201"/>
        <v>0</v>
      </c>
      <c r="CJ54" s="1550">
        <f t="shared" si="235"/>
        <v>0</v>
      </c>
    </row>
    <row r="55" spans="2:88" hidden="1" x14ac:dyDescent="0.3">
      <c r="B55" s="809"/>
      <c r="C55" s="1545"/>
      <c r="D55" s="1546">
        <f>SUM(D48:D54)</f>
        <v>184</v>
      </c>
      <c r="E55" s="1546">
        <f t="shared" ref="E55:N55" si="237">SUM(E48:E54)</f>
        <v>154</v>
      </c>
      <c r="F55" s="1546">
        <f t="shared" si="237"/>
        <v>125</v>
      </c>
      <c r="G55" s="1546">
        <f t="shared" si="237"/>
        <v>73</v>
      </c>
      <c r="H55" s="1546">
        <f t="shared" si="237"/>
        <v>29</v>
      </c>
      <c r="I55" s="1546">
        <f t="shared" si="237"/>
        <v>17</v>
      </c>
      <c r="J55" s="1546">
        <f t="shared" si="237"/>
        <v>19</v>
      </c>
      <c r="K55" s="1546">
        <f t="shared" si="237"/>
        <v>22</v>
      </c>
      <c r="L55" s="1546">
        <f t="shared" si="237"/>
        <v>20</v>
      </c>
      <c r="M55" s="1546">
        <f t="shared" si="237"/>
        <v>10</v>
      </c>
      <c r="N55" s="1546">
        <f t="shared" si="237"/>
        <v>653</v>
      </c>
      <c r="Q55" s="1480"/>
      <c r="R55" s="812" t="s">
        <v>965</v>
      </c>
      <c r="S55" s="812" t="s">
        <v>966</v>
      </c>
      <c r="T55" s="812" t="s">
        <v>967</v>
      </c>
      <c r="U55" s="812" t="s">
        <v>968</v>
      </c>
      <c r="V55" s="812" t="s">
        <v>969</v>
      </c>
      <c r="W55" s="812" t="s">
        <v>970</v>
      </c>
      <c r="X55" s="812" t="s">
        <v>971</v>
      </c>
      <c r="Y55" s="812" t="s">
        <v>972</v>
      </c>
      <c r="Z55" s="812" t="s">
        <v>973</v>
      </c>
      <c r="AA55" s="812" t="s">
        <v>974</v>
      </c>
      <c r="AB55" s="812" t="s">
        <v>975</v>
      </c>
      <c r="AC55" s="812" t="s">
        <v>976</v>
      </c>
      <c r="AD55" s="812" t="s">
        <v>977</v>
      </c>
      <c r="AE55" s="812" t="s">
        <v>978</v>
      </c>
      <c r="AF55" s="812" t="s">
        <v>979</v>
      </c>
      <c r="AG55" s="815"/>
      <c r="AH55" s="1483"/>
      <c r="AV55" s="1481"/>
      <c r="AW55" s="815"/>
      <c r="AX55" s="815"/>
      <c r="AY55" s="815"/>
      <c r="AZ55" s="815"/>
      <c r="BA55" s="815"/>
      <c r="BB55" s="815"/>
      <c r="BC55" s="815"/>
      <c r="BD55" s="815"/>
      <c r="BE55" s="815"/>
      <c r="BF55" s="815"/>
      <c r="BG55" s="1612"/>
      <c r="BH55" s="1613">
        <f>SUM(BH48:BH54)</f>
        <v>1123387.2575459953</v>
      </c>
      <c r="BJ55" s="1480"/>
      <c r="BK55" s="814"/>
      <c r="BL55" s="814"/>
      <c r="BM55" s="814"/>
      <c r="BN55" s="814"/>
      <c r="BO55" s="814"/>
      <c r="BP55" s="814"/>
      <c r="BQ55" s="814"/>
      <c r="BR55" s="814"/>
      <c r="BS55" s="814"/>
      <c r="BT55" s="814"/>
      <c r="BU55" s="1549"/>
      <c r="BV55" s="1550">
        <f>SUM(BV48:BV54)</f>
        <v>16179.181110957743</v>
      </c>
      <c r="BX55" s="1506"/>
      <c r="BY55" s="1503"/>
      <c r="BZ55" s="1503"/>
      <c r="CA55" s="1503"/>
      <c r="CB55" s="1503"/>
      <c r="CC55" s="1503"/>
      <c r="CD55" s="1503"/>
      <c r="CE55" s="1503"/>
      <c r="CF55" s="1503"/>
      <c r="CG55" s="1503"/>
      <c r="CH55" s="1503"/>
      <c r="CI55" s="1549"/>
      <c r="CJ55" s="1550">
        <f>SUM(CJ48:CJ54)</f>
        <v>205680.28126973682</v>
      </c>
    </row>
    <row r="56" spans="2:88" hidden="1" x14ac:dyDescent="0.3">
      <c r="B56" s="809"/>
      <c r="C56" s="809"/>
      <c r="Q56" s="1480" t="s">
        <v>988</v>
      </c>
      <c r="R56" s="814">
        <f>(('5.1 DAF Vehicle Parc Input'!E50*'OM Parts CPV (short)'!F14)*(('5.1 DAF Vehicle Parc Input'!$H$56)/(1-'Calculation (short)'!$O$1)))*(1+$E$1)*(1+$I$1)</f>
        <v>0</v>
      </c>
      <c r="S56" s="814">
        <f>(('5.1 DAF Vehicle Parc Input'!F50*'OM Parts CPV (short)'!G14)*(('5.1 DAF Vehicle Parc Input'!$H$56)/(1-'Calculation (short)'!$O$1)))*(1+$E$1)*(1+$I$1)</f>
        <v>0</v>
      </c>
      <c r="T56" s="814">
        <f>(('5.1 DAF Vehicle Parc Input'!G50*'OM Parts CPV (short)'!H14)*(('5.1 DAF Vehicle Parc Input'!$H$56)/(1-'Calculation (short)'!$O$1)))*(1+$E$1)*(1+$I$1)</f>
        <v>0</v>
      </c>
      <c r="U56" s="814">
        <f>(('5.1 DAF Vehicle Parc Input'!H50*'OM Parts CPV (short)'!I14)*(('5.1 DAF Vehicle Parc Input'!$H$56)/(1-'Calculation (short)'!$O$1)))*(1+$E$1)*(1+$I$1)</f>
        <v>0</v>
      </c>
      <c r="V56" s="814">
        <f>(('5.1 DAF Vehicle Parc Input'!I50*'OM Parts CPV (short)'!J14)*(('5.1 DAF Vehicle Parc Input'!$H$56)/(1-'Calculation (short)'!$O$1)))*(1+$E$1)*(1+$I$1)</f>
        <v>0</v>
      </c>
      <c r="W56" s="814">
        <f>(('5.1 DAF Vehicle Parc Input'!J50*'OM Parts CPV (short)'!K14)*(('5.1 DAF Vehicle Parc Input'!$H$56)/(1-'Calculation (short)'!$O$1)))*(1+$E$1)*(1+$I$1)</f>
        <v>0</v>
      </c>
      <c r="X56" s="814">
        <f>(('5.1 DAF Vehicle Parc Input'!K50*'OM Parts CPV (short)'!L14)*(('5.1 DAF Vehicle Parc Input'!$H$56)/(1-'Calculation (short)'!$O$1)))*(1+$E$1)*(1+$I$1)</f>
        <v>0</v>
      </c>
      <c r="Y56" s="814">
        <f>(('5.1 DAF Vehicle Parc Input'!L50*'OM Parts CPV (short)'!M14)*(('5.1 DAF Vehicle Parc Input'!$H$56)/(1-'Calculation (short)'!$O$1)))*(1+$E$1)*(1+$I$1)</f>
        <v>0</v>
      </c>
      <c r="Z56" s="814">
        <f>(('5.1 DAF Vehicle Parc Input'!M50*'OM Parts CPV (short)'!N14)*(('5.1 DAF Vehicle Parc Input'!$H$56)/(1-'Calculation (short)'!$O$1)))*(1+$E$1)*(1+$I$1)</f>
        <v>0</v>
      </c>
      <c r="AA56" s="814">
        <f>(('5.1 DAF Vehicle Parc Input'!N50*'OM Parts CPV (short)'!O14)*(('5.1 DAF Vehicle Parc Input'!$H$56)/(1-'Calculation (short)'!$O$1)))*(1+$E$1)*(1+$I$1)</f>
        <v>0</v>
      </c>
      <c r="AB56" s="814">
        <f>(('5.1 DAF Vehicle Parc Input'!O50*'OM Parts CPV (short)'!P14)*(('5.1 DAF Vehicle Parc Input'!$H$56)/(1-'Calculation (short)'!$O$1)))*(1+$E$1)*(1+$I$1)</f>
        <v>0</v>
      </c>
      <c r="AC56" s="814">
        <f>(('5.1 DAF Vehicle Parc Input'!P50*'OM Parts CPV (short)'!Q14)*(('5.1 DAF Vehicle Parc Input'!$H$56)/(1-'Calculation (short)'!$O$1)))*(1+$E$1)*(1+$I$1)</f>
        <v>0</v>
      </c>
      <c r="AD56" s="814">
        <f>(('5.1 DAF Vehicle Parc Input'!Q50*'OM Parts CPV (short)'!R14)*(('5.1 DAF Vehicle Parc Input'!$H$56)/(1-'Calculation (short)'!$O$1)))*(1+$E$1)*(1+$I$1)</f>
        <v>0</v>
      </c>
      <c r="AE56" s="814">
        <f>(('5.1 DAF Vehicle Parc Input'!R50*'OM Parts CPV (short)'!S14)*(('5.1 DAF Vehicle Parc Input'!$H$56)/(1-'Calculation (short)'!$O$1)))*(1+$E$1)*(1+$I$1)</f>
        <v>0</v>
      </c>
      <c r="AF56" s="814">
        <f>(('5.1 DAF Vehicle Parc Input'!S50*'OM Parts CPV (short)'!T14)*(('5.1 DAF Vehicle Parc Input'!$H$56)/(1-'Calculation (short)'!$O$1)))*(1+$E$1)*(1+$I$1)</f>
        <v>0</v>
      </c>
      <c r="AG56" s="815">
        <f>SUM(R56:AF56)</f>
        <v>0</v>
      </c>
      <c r="AH56" s="1486">
        <f>AG56</f>
        <v>0</v>
      </c>
    </row>
    <row r="57" spans="2:88" hidden="1" x14ac:dyDescent="0.3">
      <c r="B57" s="809"/>
      <c r="C57" s="809"/>
      <c r="Q57" s="1480" t="s">
        <v>989</v>
      </c>
      <c r="R57" s="814">
        <f>(('5.1 DAF Vehicle Parc Input'!E51*'OM Parts CPV (short)'!F15)*(('5.1 DAF Vehicle Parc Input'!$H$56)/(1-'Calculation (short)'!$O$1)))*(1+$E$1)*(1+$I$1)</f>
        <v>0</v>
      </c>
      <c r="S57" s="814">
        <f>(('5.1 DAF Vehicle Parc Input'!F51*'OM Parts CPV (short)'!G15)*(('5.1 DAF Vehicle Parc Input'!$H$56)/(1-'Calculation (short)'!$O$1)))*(1+$E$1)*(1+$I$1)</f>
        <v>0</v>
      </c>
      <c r="T57" s="814">
        <f>(('5.1 DAF Vehicle Parc Input'!G51*'OM Parts CPV (short)'!H15)*(('5.1 DAF Vehicle Parc Input'!$H$56)/(1-'Calculation (short)'!$O$1)))*(1+$E$1)*(1+$I$1)</f>
        <v>0</v>
      </c>
      <c r="U57" s="814">
        <f>(('5.1 DAF Vehicle Parc Input'!H51*'OM Parts CPV (short)'!I15)*(('5.1 DAF Vehicle Parc Input'!$H$56)/(1-'Calculation (short)'!$O$1)))*(1+$E$1)*(1+$I$1)</f>
        <v>0</v>
      </c>
      <c r="V57" s="814">
        <f>(('5.1 DAF Vehicle Parc Input'!I51*'OM Parts CPV (short)'!J15)*(('5.1 DAF Vehicle Parc Input'!$H$56)/(1-'Calculation (short)'!$O$1)))*(1+$E$1)*(1+$I$1)</f>
        <v>0</v>
      </c>
      <c r="W57" s="814">
        <f>(('5.1 DAF Vehicle Parc Input'!J51*'OM Parts CPV (short)'!K15)*(('5.1 DAF Vehicle Parc Input'!$H$56)/(1-'Calculation (short)'!$O$1)))*(1+$E$1)*(1+$I$1)</f>
        <v>0</v>
      </c>
      <c r="X57" s="814">
        <f>(('5.1 DAF Vehicle Parc Input'!K51*'OM Parts CPV (short)'!L15)*(('5.1 DAF Vehicle Parc Input'!$H$56)/(1-'Calculation (short)'!$O$1)))*(1+$E$1)*(1+$I$1)</f>
        <v>0</v>
      </c>
      <c r="Y57" s="814">
        <f>(('5.1 DAF Vehicle Parc Input'!L51*'OM Parts CPV (short)'!M15)*(('5.1 DAF Vehicle Parc Input'!$H$56)/(1-'Calculation (short)'!$O$1)))*(1+$E$1)*(1+$I$1)</f>
        <v>0</v>
      </c>
      <c r="Z57" s="814">
        <f>(('5.1 DAF Vehicle Parc Input'!M51*'OM Parts CPV (short)'!N15)*(('5.1 DAF Vehicle Parc Input'!$H$56)/(1-'Calculation (short)'!$O$1)))*(1+$E$1)*(1+$I$1)</f>
        <v>0</v>
      </c>
      <c r="AA57" s="814">
        <f>(('5.1 DAF Vehicle Parc Input'!N51*'OM Parts CPV (short)'!O15)*(('5.1 DAF Vehicle Parc Input'!$H$56)/(1-'Calculation (short)'!$O$1)))*(1+$E$1)*(1+$I$1)</f>
        <v>0</v>
      </c>
      <c r="AB57" s="814">
        <f>(('5.1 DAF Vehicle Parc Input'!O51*'OM Parts CPV (short)'!P15)*(('5.1 DAF Vehicle Parc Input'!$H$56)/(1-'Calculation (short)'!$O$1)))*(1+$E$1)*(1+$I$1)</f>
        <v>0</v>
      </c>
      <c r="AC57" s="814">
        <f>(('5.1 DAF Vehicle Parc Input'!P51*'OM Parts CPV (short)'!Q15)*(('5.1 DAF Vehicle Parc Input'!$H$56)/(1-'Calculation (short)'!$O$1)))*(1+$E$1)*(1+$I$1)</f>
        <v>0</v>
      </c>
      <c r="AD57" s="814">
        <f>(('5.1 DAF Vehicle Parc Input'!Q51*'OM Parts CPV (short)'!R15)*(('5.1 DAF Vehicle Parc Input'!$H$56)/(1-'Calculation (short)'!$O$1)))*(1+$E$1)*(1+$I$1)</f>
        <v>0</v>
      </c>
      <c r="AE57" s="814">
        <f>(('5.1 DAF Vehicle Parc Input'!R51*'OM Parts CPV (short)'!S15)*(('5.1 DAF Vehicle Parc Input'!$H$56)/(1-'Calculation (short)'!$O$1)))*(1+$E$1)*(1+$I$1)</f>
        <v>0</v>
      </c>
      <c r="AF57" s="814">
        <f>(('5.1 DAF Vehicle Parc Input'!S51*'OM Parts CPV (short)'!T15)*(('5.1 DAF Vehicle Parc Input'!$H$56)/(1-'Calculation (short)'!$O$1)))*(1+$E$1)*(1+$I$1)</f>
        <v>0</v>
      </c>
      <c r="AG57" s="815">
        <f>SUM(R57:AF57)</f>
        <v>0</v>
      </c>
      <c r="AH57" s="1486">
        <f>AG57</f>
        <v>0</v>
      </c>
    </row>
    <row r="58" spans="2:88" ht="12.6" hidden="1" thickBot="1" x14ac:dyDescent="0.35">
      <c r="B58" s="809"/>
      <c r="C58" s="809"/>
      <c r="Q58" s="1484"/>
      <c r="R58" s="1485"/>
      <c r="S58" s="1485"/>
      <c r="T58" s="1485"/>
      <c r="U58" s="1485"/>
      <c r="V58" s="1485"/>
      <c r="W58" s="1485"/>
      <c r="X58" s="1485"/>
      <c r="Y58" s="1485"/>
      <c r="Z58" s="1485"/>
      <c r="AA58" s="1485"/>
      <c r="AB58" s="1485"/>
      <c r="AC58" s="1485"/>
      <c r="AD58" s="1485"/>
      <c r="AE58" s="1485"/>
      <c r="AF58" s="1485"/>
      <c r="AG58" s="1487"/>
      <c r="AH58" s="1488">
        <f>-SUM(AH56:AH57)</f>
        <v>0</v>
      </c>
    </row>
    <row r="59" spans="2:88" hidden="1" x14ac:dyDescent="0.3">
      <c r="B59" s="809"/>
      <c r="C59" s="809"/>
      <c r="Q59" s="813"/>
      <c r="R59" s="814"/>
      <c r="S59" s="814"/>
      <c r="T59" s="814"/>
      <c r="U59" s="814"/>
      <c r="V59" s="814"/>
      <c r="W59" s="814"/>
      <c r="X59" s="814"/>
      <c r="Y59" s="814"/>
      <c r="Z59" s="814"/>
      <c r="AA59" s="814"/>
      <c r="AB59" s="814"/>
      <c r="AC59" s="814"/>
      <c r="AD59" s="814"/>
      <c r="AE59" s="814"/>
      <c r="AF59" s="814"/>
      <c r="AG59" s="815"/>
    </row>
    <row r="60" spans="2:88" hidden="1" x14ac:dyDescent="0.3">
      <c r="B60" s="809"/>
      <c r="C60" s="809"/>
      <c r="Q60" s="813"/>
      <c r="R60" s="815"/>
      <c r="S60" s="815"/>
      <c r="T60" s="815"/>
      <c r="U60" s="815"/>
      <c r="V60" s="815"/>
      <c r="W60" s="815"/>
      <c r="X60" s="815"/>
      <c r="Y60" s="815"/>
      <c r="Z60" s="815"/>
      <c r="AA60" s="815"/>
      <c r="AB60" s="815"/>
      <c r="AC60" s="815"/>
      <c r="AD60" s="815"/>
      <c r="AE60" s="815"/>
      <c r="AF60" s="815"/>
      <c r="AG60" s="815"/>
    </row>
    <row r="61" spans="2:88" hidden="1" x14ac:dyDescent="0.3">
      <c r="B61" s="809"/>
      <c r="C61" s="809"/>
    </row>
    <row r="62" spans="2:88" hidden="1" x14ac:dyDescent="0.3">
      <c r="B62" s="809"/>
      <c r="C62" s="809"/>
    </row>
    <row r="63" spans="2:88" hidden="1" x14ac:dyDescent="0.3">
      <c r="B63" s="809"/>
      <c r="C63" s="809"/>
    </row>
    <row r="64" spans="2:88" hidden="1" x14ac:dyDescent="0.3">
      <c r="B64" s="809"/>
      <c r="C64" s="809"/>
    </row>
    <row r="65" spans="2:3" x14ac:dyDescent="0.3">
      <c r="B65" s="809"/>
      <c r="C65" s="809"/>
    </row>
    <row r="66" spans="2:3" x14ac:dyDescent="0.3">
      <c r="B66" s="809"/>
      <c r="C66" s="809"/>
    </row>
    <row r="67" spans="2:3" x14ac:dyDescent="0.3">
      <c r="B67" s="809"/>
      <c r="C67" s="809"/>
    </row>
    <row r="68" spans="2:3" x14ac:dyDescent="0.3">
      <c r="B68" s="809"/>
      <c r="C68" s="809"/>
    </row>
    <row r="69" spans="2:3" x14ac:dyDescent="0.3">
      <c r="B69" s="809"/>
      <c r="C69" s="809"/>
    </row>
    <row r="70" spans="2:3" x14ac:dyDescent="0.3">
      <c r="B70" s="809"/>
      <c r="C70" s="809"/>
    </row>
    <row r="71" spans="2:3" x14ac:dyDescent="0.3">
      <c r="B71" s="809"/>
      <c r="C71" s="809"/>
    </row>
    <row r="72" spans="2:3" x14ac:dyDescent="0.3">
      <c r="B72" s="809"/>
      <c r="C72" s="809"/>
    </row>
    <row r="73" spans="2:3" x14ac:dyDescent="0.3">
      <c r="B73" s="809"/>
      <c r="C73" s="809"/>
    </row>
    <row r="74" spans="2:3" x14ac:dyDescent="0.3">
      <c r="B74" s="809"/>
      <c r="C74" s="809"/>
    </row>
    <row r="75" spans="2:3" x14ac:dyDescent="0.3">
      <c r="B75" s="809"/>
      <c r="C75" s="809"/>
    </row>
    <row r="76" spans="2:3" x14ac:dyDescent="0.3">
      <c r="B76" s="809"/>
      <c r="C76" s="809"/>
    </row>
    <row r="77" spans="2:3" x14ac:dyDescent="0.3">
      <c r="B77" s="809"/>
      <c r="C77" s="809"/>
    </row>
    <row r="78" spans="2:3" x14ac:dyDescent="0.3">
      <c r="B78" s="809"/>
      <c r="C78" s="809"/>
    </row>
    <row r="79" spans="2:3" x14ac:dyDescent="0.3">
      <c r="B79" s="809"/>
      <c r="C79" s="809"/>
    </row>
    <row r="80" spans="2:3" x14ac:dyDescent="0.3">
      <c r="B80" s="809"/>
      <c r="C80" s="809"/>
    </row>
    <row r="81" spans="2:3" x14ac:dyDescent="0.3">
      <c r="B81" s="809"/>
      <c r="C81" s="809"/>
    </row>
    <row r="82" spans="2:3" x14ac:dyDescent="0.3">
      <c r="B82" s="809"/>
      <c r="C82" s="809"/>
    </row>
    <row r="83" spans="2:3" x14ac:dyDescent="0.3">
      <c r="B83" s="809"/>
      <c r="C83" s="809"/>
    </row>
    <row r="84" spans="2:3" x14ac:dyDescent="0.3">
      <c r="B84" s="809"/>
      <c r="C84" s="809"/>
    </row>
    <row r="85" spans="2:3" x14ac:dyDescent="0.3">
      <c r="B85" s="809"/>
      <c r="C85" s="809"/>
    </row>
    <row r="86" spans="2:3" x14ac:dyDescent="0.3">
      <c r="B86" s="809"/>
      <c r="C86" s="809"/>
    </row>
    <row r="87" spans="2:3" x14ac:dyDescent="0.3">
      <c r="B87" s="809"/>
      <c r="C87" s="809"/>
    </row>
    <row r="88" spans="2:3" x14ac:dyDescent="0.3">
      <c r="B88" s="809"/>
      <c r="C88" s="809"/>
    </row>
    <row r="89" spans="2:3" x14ac:dyDescent="0.3">
      <c r="B89" s="809"/>
      <c r="C89" s="809"/>
    </row>
    <row r="90" spans="2:3" x14ac:dyDescent="0.3">
      <c r="B90" s="809"/>
      <c r="C90" s="809"/>
    </row>
    <row r="91" spans="2:3" x14ac:dyDescent="0.3">
      <c r="B91" s="809"/>
      <c r="C91" s="809"/>
    </row>
    <row r="92" spans="2:3" x14ac:dyDescent="0.3">
      <c r="B92" s="809"/>
      <c r="C92" s="809"/>
    </row>
    <row r="93" spans="2:3" x14ac:dyDescent="0.3">
      <c r="B93" s="809"/>
      <c r="C93" s="809"/>
    </row>
    <row r="94" spans="2:3" x14ac:dyDescent="0.3">
      <c r="B94" s="809"/>
      <c r="C94" s="809"/>
    </row>
    <row r="95" spans="2:3" x14ac:dyDescent="0.3">
      <c r="B95" s="809"/>
      <c r="C95" s="809"/>
    </row>
    <row r="96" spans="2:3" x14ac:dyDescent="0.3">
      <c r="B96" s="809"/>
      <c r="C96" s="809"/>
    </row>
    <row r="97" spans="2:34" x14ac:dyDescent="0.3">
      <c r="B97" s="809"/>
      <c r="C97" s="809"/>
    </row>
    <row r="98" spans="2:34" x14ac:dyDescent="0.3">
      <c r="B98" s="809"/>
      <c r="C98" s="809"/>
    </row>
    <row r="99" spans="2:34" x14ac:dyDescent="0.3">
      <c r="B99" s="809"/>
      <c r="C99" s="809"/>
    </row>
    <row r="100" spans="2:34" x14ac:dyDescent="0.3">
      <c r="B100" s="809"/>
      <c r="C100" s="809"/>
    </row>
    <row r="101" spans="2:34" x14ac:dyDescent="0.3">
      <c r="B101" s="809"/>
      <c r="C101" s="809"/>
    </row>
    <row r="102" spans="2:34" x14ac:dyDescent="0.3">
      <c r="B102" s="809"/>
      <c r="C102" s="809"/>
    </row>
    <row r="103" spans="2:34" x14ac:dyDescent="0.3">
      <c r="B103" s="809"/>
      <c r="C103" s="809"/>
    </row>
    <row r="104" spans="2:34" x14ac:dyDescent="0.3">
      <c r="B104" s="809"/>
      <c r="C104" s="809"/>
    </row>
    <row r="105" spans="2:34" x14ac:dyDescent="0.3">
      <c r="B105" s="809"/>
      <c r="C105" s="809"/>
    </row>
    <row r="106" spans="2:34" x14ac:dyDescent="0.3">
      <c r="B106" s="809"/>
      <c r="C106" s="809"/>
    </row>
    <row r="107" spans="2:34" ht="12.6" thickBot="1" x14ac:dyDescent="0.35">
      <c r="B107" s="809"/>
      <c r="C107" s="809"/>
    </row>
    <row r="108" spans="2:34" x14ac:dyDescent="0.3">
      <c r="B108" s="809"/>
      <c r="C108" s="809"/>
      <c r="Q108" s="1476"/>
      <c r="R108" s="1477"/>
      <c r="S108" s="1477"/>
      <c r="T108" s="1477"/>
      <c r="U108" s="1477"/>
      <c r="V108" s="1477"/>
      <c r="W108" s="1477"/>
      <c r="X108" s="1477"/>
      <c r="Y108" s="1477"/>
      <c r="Z108" s="1477"/>
      <c r="AA108" s="1477"/>
      <c r="AB108" s="1477"/>
      <c r="AC108" s="1477"/>
      <c r="AD108" s="1477"/>
      <c r="AE108" s="1477"/>
      <c r="AF108" s="1477"/>
      <c r="AG108" s="1477"/>
      <c r="AH108" s="1478"/>
    </row>
    <row r="109" spans="2:34" x14ac:dyDescent="0.3">
      <c r="B109" s="809"/>
      <c r="C109" s="809"/>
      <c r="Q109" s="1480"/>
      <c r="R109" s="2219"/>
      <c r="S109" s="2218"/>
      <c r="T109" s="2218"/>
      <c r="U109" s="2218"/>
      <c r="V109" s="2218"/>
      <c r="W109" s="2218"/>
      <c r="X109" s="2218"/>
      <c r="Y109" s="2218"/>
      <c r="Z109" s="2218"/>
      <c r="AA109" s="2218"/>
      <c r="AB109" s="2218"/>
      <c r="AC109" s="2218"/>
      <c r="AD109" s="2218"/>
      <c r="AE109" s="2218"/>
      <c r="AF109" s="2218"/>
      <c r="AG109" s="811"/>
      <c r="AH109" s="1483"/>
    </row>
    <row r="110" spans="2:34" x14ac:dyDescent="0.3">
      <c r="B110" s="809"/>
      <c r="C110" s="809"/>
      <c r="Q110" s="1479"/>
      <c r="R110" s="812"/>
      <c r="S110" s="812"/>
      <c r="T110" s="812"/>
      <c r="U110" s="812"/>
      <c r="V110" s="812"/>
      <c r="W110" s="812"/>
      <c r="X110" s="812"/>
      <c r="Y110" s="812"/>
      <c r="Z110" s="812"/>
      <c r="AA110" s="812"/>
      <c r="AB110" s="812"/>
      <c r="AC110" s="812"/>
      <c r="AD110" s="812"/>
      <c r="AE110" s="812"/>
      <c r="AF110" s="812"/>
      <c r="AG110" s="812"/>
      <c r="AH110" s="1483"/>
    </row>
    <row r="111" spans="2:34" x14ac:dyDescent="0.3">
      <c r="B111" s="809"/>
      <c r="C111" s="809"/>
      <c r="Q111" s="1480"/>
      <c r="R111" s="814"/>
      <c r="S111" s="814"/>
      <c r="T111" s="814"/>
      <c r="U111" s="814"/>
      <c r="V111" s="814"/>
      <c r="W111" s="814"/>
      <c r="X111" s="814"/>
      <c r="Y111" s="814"/>
      <c r="Z111" s="814"/>
      <c r="AA111" s="814"/>
      <c r="AB111" s="814"/>
      <c r="AC111" s="814"/>
      <c r="AD111" s="814"/>
      <c r="AE111" s="814"/>
      <c r="AF111" s="814"/>
      <c r="AG111" s="815"/>
      <c r="AH111" s="1486"/>
    </row>
    <row r="112" spans="2:34" x14ac:dyDescent="0.3">
      <c r="B112" s="809"/>
      <c r="C112" s="809"/>
      <c r="Q112" s="1480"/>
      <c r="R112" s="814"/>
      <c r="S112" s="814"/>
      <c r="T112" s="814"/>
      <c r="U112" s="814"/>
      <c r="V112" s="814"/>
      <c r="W112" s="814"/>
      <c r="X112" s="814"/>
      <c r="Y112" s="814"/>
      <c r="Z112" s="814"/>
      <c r="AA112" s="814"/>
      <c r="AB112" s="814"/>
      <c r="AC112" s="814"/>
      <c r="AD112" s="814"/>
      <c r="AE112" s="814"/>
      <c r="AF112" s="814"/>
      <c r="AG112" s="815"/>
      <c r="AH112" s="1486"/>
    </row>
    <row r="113" spans="2:34" x14ac:dyDescent="0.3">
      <c r="B113" s="809"/>
      <c r="C113" s="809"/>
      <c r="Q113" s="1480"/>
      <c r="R113" s="814"/>
      <c r="S113" s="814"/>
      <c r="T113" s="814"/>
      <c r="U113" s="814"/>
      <c r="V113" s="814"/>
      <c r="W113" s="814"/>
      <c r="X113" s="814"/>
      <c r="Y113" s="814"/>
      <c r="Z113" s="814"/>
      <c r="AA113" s="814"/>
      <c r="AB113" s="814"/>
      <c r="AC113" s="814"/>
      <c r="AD113" s="814"/>
      <c r="AE113" s="814"/>
      <c r="AF113" s="814"/>
      <c r="AG113" s="815"/>
      <c r="AH113" s="1486"/>
    </row>
    <row r="114" spans="2:34" x14ac:dyDescent="0.3">
      <c r="B114" s="809"/>
      <c r="C114" s="809"/>
      <c r="Q114" s="1480"/>
      <c r="R114" s="814"/>
      <c r="S114" s="814"/>
      <c r="T114" s="814"/>
      <c r="U114" s="814"/>
      <c r="V114" s="814"/>
      <c r="W114" s="814"/>
      <c r="X114" s="814"/>
      <c r="Y114" s="814"/>
      <c r="Z114" s="814"/>
      <c r="AA114" s="814"/>
      <c r="AB114" s="814"/>
      <c r="AC114" s="814"/>
      <c r="AD114" s="814"/>
      <c r="AE114" s="814"/>
      <c r="AF114" s="814"/>
      <c r="AG114" s="815"/>
      <c r="AH114" s="1486"/>
    </row>
    <row r="115" spans="2:34" x14ac:dyDescent="0.3">
      <c r="B115" s="809"/>
      <c r="C115" s="809"/>
      <c r="Q115" s="1480"/>
      <c r="R115" s="814"/>
      <c r="S115" s="814"/>
      <c r="T115" s="814"/>
      <c r="U115" s="814"/>
      <c r="V115" s="814"/>
      <c r="W115" s="814"/>
      <c r="X115" s="814"/>
      <c r="Y115" s="814"/>
      <c r="Z115" s="814"/>
      <c r="AA115" s="814"/>
      <c r="AB115" s="814"/>
      <c r="AC115" s="814"/>
      <c r="AD115" s="814"/>
      <c r="AE115" s="814"/>
      <c r="AF115" s="814"/>
      <c r="AG115" s="815"/>
      <c r="AH115" s="1486"/>
    </row>
    <row r="116" spans="2:34" x14ac:dyDescent="0.3">
      <c r="B116" s="809"/>
      <c r="C116" s="809"/>
      <c r="Q116" s="1480"/>
      <c r="R116" s="814"/>
      <c r="S116" s="814"/>
      <c r="T116" s="814"/>
      <c r="U116" s="814"/>
      <c r="V116" s="814"/>
      <c r="W116" s="814"/>
      <c r="X116" s="814"/>
      <c r="Y116" s="814"/>
      <c r="Z116" s="814"/>
      <c r="AA116" s="814"/>
      <c r="AB116" s="814"/>
      <c r="AC116" s="814"/>
      <c r="AD116" s="814"/>
      <c r="AE116" s="814"/>
      <c r="AF116" s="814"/>
      <c r="AG116" s="815"/>
      <c r="AH116" s="1486"/>
    </row>
    <row r="117" spans="2:34" x14ac:dyDescent="0.3">
      <c r="B117" s="809"/>
      <c r="C117" s="809"/>
      <c r="Q117" s="1480"/>
      <c r="R117" s="814"/>
      <c r="S117" s="814"/>
      <c r="T117" s="814"/>
      <c r="U117" s="814"/>
      <c r="V117" s="814"/>
      <c r="W117" s="814"/>
      <c r="X117" s="814"/>
      <c r="Y117" s="814"/>
      <c r="Z117" s="814"/>
      <c r="AA117" s="814"/>
      <c r="AB117" s="814"/>
      <c r="AC117" s="814"/>
      <c r="AD117" s="814"/>
      <c r="AE117" s="814"/>
      <c r="AF117" s="814"/>
      <c r="AG117" s="815"/>
      <c r="AH117" s="1486"/>
    </row>
    <row r="118" spans="2:34" x14ac:dyDescent="0.3">
      <c r="B118" s="809"/>
      <c r="C118" s="809"/>
      <c r="Q118" s="1481"/>
      <c r="R118" s="815"/>
      <c r="S118" s="815"/>
      <c r="T118" s="815"/>
      <c r="U118" s="815"/>
      <c r="V118" s="815"/>
      <c r="W118" s="815"/>
      <c r="X118" s="815"/>
      <c r="Y118" s="815"/>
      <c r="Z118" s="815"/>
      <c r="AA118" s="815"/>
      <c r="AB118" s="815"/>
      <c r="AC118" s="815"/>
      <c r="AD118" s="815"/>
      <c r="AE118" s="815"/>
      <c r="AF118" s="815"/>
      <c r="AG118" s="815"/>
      <c r="AH118" s="1486"/>
    </row>
    <row r="119" spans="2:34" x14ac:dyDescent="0.3">
      <c r="B119" s="809"/>
      <c r="C119" s="809"/>
      <c r="Q119" s="1482"/>
      <c r="AH119" s="1483"/>
    </row>
    <row r="120" spans="2:34" x14ac:dyDescent="0.3">
      <c r="B120" s="809"/>
      <c r="C120" s="809"/>
      <c r="Q120" s="1480"/>
      <c r="R120" s="2219"/>
      <c r="S120" s="2218"/>
      <c r="T120" s="2218"/>
      <c r="U120" s="2218"/>
      <c r="V120" s="2218"/>
      <c r="W120" s="2218"/>
      <c r="X120" s="2218"/>
      <c r="Y120" s="2218"/>
      <c r="Z120" s="2218"/>
      <c r="AA120" s="2218"/>
      <c r="AB120" s="2218"/>
      <c r="AC120" s="2218"/>
      <c r="AD120" s="2218"/>
      <c r="AE120" s="2218"/>
      <c r="AF120" s="2218"/>
      <c r="AG120" s="811"/>
      <c r="AH120" s="1483"/>
    </row>
    <row r="121" spans="2:34" x14ac:dyDescent="0.3">
      <c r="B121" s="809"/>
      <c r="C121" s="809"/>
      <c r="Q121" s="1479"/>
      <c r="R121" s="812"/>
      <c r="S121" s="812"/>
      <c r="T121" s="812"/>
      <c r="U121" s="812"/>
      <c r="V121" s="812"/>
      <c r="W121" s="812"/>
      <c r="X121" s="812"/>
      <c r="Y121" s="812"/>
      <c r="Z121" s="812"/>
      <c r="AA121" s="812"/>
      <c r="AB121" s="812"/>
      <c r="AC121" s="812"/>
      <c r="AD121" s="812"/>
      <c r="AE121" s="812"/>
      <c r="AF121" s="812"/>
      <c r="AG121" s="812"/>
      <c r="AH121" s="1483"/>
    </row>
    <row r="122" spans="2:34" x14ac:dyDescent="0.3">
      <c r="B122" s="809"/>
      <c r="C122" s="809"/>
      <c r="Q122" s="1480"/>
      <c r="R122" s="814"/>
      <c r="S122" s="814"/>
      <c r="T122" s="814"/>
      <c r="U122" s="814"/>
      <c r="V122" s="814"/>
      <c r="W122" s="814"/>
      <c r="X122" s="814"/>
      <c r="Y122" s="814"/>
      <c r="Z122" s="814"/>
      <c r="AA122" s="814"/>
      <c r="AB122" s="814"/>
      <c r="AC122" s="814"/>
      <c r="AD122" s="814"/>
      <c r="AE122" s="814"/>
      <c r="AF122" s="814"/>
      <c r="AG122" s="815"/>
      <c r="AH122" s="1486"/>
    </row>
    <row r="123" spans="2:34" x14ac:dyDescent="0.3">
      <c r="B123" s="809"/>
      <c r="C123" s="809"/>
      <c r="Q123" s="1480"/>
      <c r="R123" s="814"/>
      <c r="S123" s="814"/>
      <c r="T123" s="814"/>
      <c r="U123" s="814"/>
      <c r="V123" s="814"/>
      <c r="W123" s="814"/>
      <c r="X123" s="814"/>
      <c r="Y123" s="814"/>
      <c r="Z123" s="814"/>
      <c r="AA123" s="814"/>
      <c r="AB123" s="814"/>
      <c r="AC123" s="814"/>
      <c r="AD123" s="814"/>
      <c r="AE123" s="814"/>
      <c r="AF123" s="814"/>
      <c r="AG123" s="815"/>
      <c r="AH123" s="1486"/>
    </row>
    <row r="124" spans="2:34" x14ac:dyDescent="0.3">
      <c r="B124" s="809"/>
      <c r="C124" s="809"/>
      <c r="Q124" s="1480"/>
      <c r="R124" s="814"/>
      <c r="S124" s="814"/>
      <c r="T124" s="814"/>
      <c r="U124" s="814"/>
      <c r="V124" s="814"/>
      <c r="W124" s="814"/>
      <c r="X124" s="814"/>
      <c r="Y124" s="814"/>
      <c r="Z124" s="814"/>
      <c r="AA124" s="814"/>
      <c r="AB124" s="814"/>
      <c r="AC124" s="814"/>
      <c r="AD124" s="814"/>
      <c r="AE124" s="814"/>
      <c r="AF124" s="814"/>
      <c r="AG124" s="815"/>
      <c r="AH124" s="1486"/>
    </row>
    <row r="125" spans="2:34" x14ac:dyDescent="0.3">
      <c r="B125" s="809"/>
      <c r="C125" s="809"/>
      <c r="Q125" s="1480"/>
      <c r="R125" s="814"/>
      <c r="S125" s="814"/>
      <c r="T125" s="814"/>
      <c r="U125" s="814"/>
      <c r="V125" s="814"/>
      <c r="W125" s="814"/>
      <c r="X125" s="814"/>
      <c r="Y125" s="814"/>
      <c r="Z125" s="814"/>
      <c r="AA125" s="814"/>
      <c r="AB125" s="814"/>
      <c r="AC125" s="814"/>
      <c r="AD125" s="814"/>
      <c r="AE125" s="814"/>
      <c r="AF125" s="814"/>
      <c r="AG125" s="815"/>
      <c r="AH125" s="1486"/>
    </row>
    <row r="126" spans="2:34" x14ac:dyDescent="0.3">
      <c r="B126" s="809"/>
      <c r="C126" s="809"/>
      <c r="Q126" s="1480"/>
      <c r="R126" s="814"/>
      <c r="S126" s="814"/>
      <c r="T126" s="814"/>
      <c r="U126" s="814"/>
      <c r="V126" s="814"/>
      <c r="W126" s="814"/>
      <c r="X126" s="814"/>
      <c r="Y126" s="814"/>
      <c r="Z126" s="814"/>
      <c r="AA126" s="814"/>
      <c r="AB126" s="814"/>
      <c r="AC126" s="814"/>
      <c r="AD126" s="814"/>
      <c r="AE126" s="814"/>
      <c r="AF126" s="814"/>
      <c r="AG126" s="815"/>
      <c r="AH126" s="1486"/>
    </row>
    <row r="127" spans="2:34" x14ac:dyDescent="0.3">
      <c r="B127" s="809"/>
      <c r="C127" s="809"/>
      <c r="Q127" s="1480"/>
      <c r="R127" s="814"/>
      <c r="S127" s="814"/>
      <c r="T127" s="814"/>
      <c r="U127" s="814"/>
      <c r="V127" s="814"/>
      <c r="W127" s="814"/>
      <c r="X127" s="814"/>
      <c r="Y127" s="814"/>
      <c r="Z127" s="814"/>
      <c r="AA127" s="814"/>
      <c r="AB127" s="814"/>
      <c r="AC127" s="814"/>
      <c r="AD127" s="814"/>
      <c r="AE127" s="814"/>
      <c r="AF127" s="814"/>
      <c r="AG127" s="815"/>
      <c r="AH127" s="1486"/>
    </row>
    <row r="128" spans="2:34" x14ac:dyDescent="0.3">
      <c r="B128" s="809"/>
      <c r="C128" s="809"/>
      <c r="Q128" s="1480"/>
      <c r="R128" s="814"/>
      <c r="S128" s="814"/>
      <c r="T128" s="814"/>
      <c r="U128" s="814"/>
      <c r="V128" s="814"/>
      <c r="W128" s="814"/>
      <c r="X128" s="814"/>
      <c r="Y128" s="814"/>
      <c r="Z128" s="814"/>
      <c r="AA128" s="814"/>
      <c r="AB128" s="814"/>
      <c r="AC128" s="814"/>
      <c r="AD128" s="814"/>
      <c r="AE128" s="814"/>
      <c r="AF128" s="814"/>
      <c r="AG128" s="815"/>
      <c r="AH128" s="1486"/>
    </row>
    <row r="129" spans="2:34" x14ac:dyDescent="0.3">
      <c r="B129" s="809"/>
      <c r="C129" s="809"/>
      <c r="Q129" s="1480"/>
      <c r="R129" s="814"/>
      <c r="S129" s="814"/>
      <c r="T129" s="814"/>
      <c r="U129" s="814"/>
      <c r="V129" s="814"/>
      <c r="W129" s="814"/>
      <c r="X129" s="814"/>
      <c r="Y129" s="814"/>
      <c r="Z129" s="814"/>
      <c r="AA129" s="814"/>
      <c r="AB129" s="814"/>
      <c r="AC129" s="814"/>
      <c r="AD129" s="814"/>
      <c r="AE129" s="814"/>
      <c r="AF129" s="814"/>
      <c r="AG129" s="815"/>
      <c r="AH129" s="1486"/>
    </row>
    <row r="130" spans="2:34" x14ac:dyDescent="0.3">
      <c r="C130" s="809"/>
      <c r="Q130" s="1480"/>
      <c r="R130" s="2219"/>
      <c r="S130" s="2218"/>
      <c r="T130" s="2218"/>
      <c r="U130" s="2218"/>
      <c r="V130" s="2218"/>
      <c r="W130" s="2218"/>
      <c r="X130" s="2218"/>
      <c r="Y130" s="2218"/>
      <c r="Z130" s="2218"/>
      <c r="AA130" s="2218"/>
      <c r="AB130" s="2218"/>
      <c r="AC130" s="2218"/>
      <c r="AD130" s="2218"/>
      <c r="AE130" s="2218"/>
      <c r="AF130" s="2218"/>
      <c r="AG130" s="811"/>
      <c r="AH130" s="1483"/>
    </row>
    <row r="131" spans="2:34" x14ac:dyDescent="0.3">
      <c r="B131" s="809"/>
      <c r="Q131" s="1479"/>
      <c r="R131" s="812"/>
      <c r="S131" s="812"/>
      <c r="T131" s="812"/>
      <c r="U131" s="812"/>
      <c r="V131" s="812"/>
      <c r="W131" s="812"/>
      <c r="X131" s="812"/>
      <c r="Y131" s="812"/>
      <c r="Z131" s="812"/>
      <c r="AA131" s="812"/>
      <c r="AB131" s="812"/>
      <c r="AC131" s="812"/>
      <c r="AD131" s="812"/>
      <c r="AE131" s="812"/>
      <c r="AF131" s="812"/>
      <c r="AG131" s="812"/>
      <c r="AH131" s="1483"/>
    </row>
    <row r="132" spans="2:34" x14ac:dyDescent="0.3">
      <c r="B132" s="809"/>
      <c r="C132" s="809"/>
      <c r="Q132" s="1480"/>
      <c r="R132" s="816"/>
      <c r="S132" s="816"/>
      <c r="T132" s="816"/>
      <c r="U132" s="816"/>
      <c r="V132" s="816"/>
      <c r="W132" s="816"/>
      <c r="X132" s="816"/>
      <c r="Y132" s="816"/>
      <c r="Z132" s="816"/>
      <c r="AA132" s="816"/>
      <c r="AB132" s="816"/>
      <c r="AC132" s="816"/>
      <c r="AD132" s="816"/>
      <c r="AE132" s="816"/>
      <c r="AF132" s="816"/>
      <c r="AG132" s="817"/>
      <c r="AH132" s="1486"/>
    </row>
    <row r="133" spans="2:34" x14ac:dyDescent="0.3">
      <c r="B133" s="809"/>
      <c r="C133" s="809"/>
      <c r="Q133" s="1480"/>
      <c r="R133" s="816"/>
      <c r="S133" s="816"/>
      <c r="T133" s="816"/>
      <c r="U133" s="816"/>
      <c r="V133" s="816"/>
      <c r="W133" s="816"/>
      <c r="X133" s="816"/>
      <c r="Y133" s="816"/>
      <c r="Z133" s="816"/>
      <c r="AA133" s="816"/>
      <c r="AB133" s="816"/>
      <c r="AC133" s="816"/>
      <c r="AD133" s="816"/>
      <c r="AE133" s="816"/>
      <c r="AF133" s="816"/>
      <c r="AG133" s="817"/>
      <c r="AH133" s="1486"/>
    </row>
    <row r="134" spans="2:34" x14ac:dyDescent="0.3">
      <c r="B134" s="809"/>
      <c r="C134" s="809"/>
      <c r="Q134" s="1480"/>
      <c r="R134" s="816"/>
      <c r="S134" s="816"/>
      <c r="T134" s="816"/>
      <c r="U134" s="816"/>
      <c r="V134" s="816"/>
      <c r="W134" s="816"/>
      <c r="X134" s="816"/>
      <c r="Y134" s="816"/>
      <c r="Z134" s="816"/>
      <c r="AA134" s="816"/>
      <c r="AB134" s="816"/>
      <c r="AC134" s="816"/>
      <c r="AD134" s="816"/>
      <c r="AE134" s="816"/>
      <c r="AF134" s="816"/>
      <c r="AG134" s="817"/>
      <c r="AH134" s="1486"/>
    </row>
    <row r="135" spans="2:34" x14ac:dyDescent="0.3">
      <c r="B135" s="809"/>
      <c r="C135" s="809"/>
      <c r="Q135" s="1480"/>
      <c r="R135" s="816"/>
      <c r="S135" s="816"/>
      <c r="T135" s="816"/>
      <c r="U135" s="816"/>
      <c r="V135" s="816"/>
      <c r="W135" s="816"/>
      <c r="X135" s="816"/>
      <c r="Y135" s="816"/>
      <c r="Z135" s="816"/>
      <c r="AA135" s="816"/>
      <c r="AB135" s="816"/>
      <c r="AC135" s="816"/>
      <c r="AD135" s="816"/>
      <c r="AE135" s="816"/>
      <c r="AF135" s="816"/>
      <c r="AG135" s="817"/>
      <c r="AH135" s="1486"/>
    </row>
    <row r="136" spans="2:34" x14ac:dyDescent="0.3">
      <c r="B136" s="809"/>
      <c r="C136" s="809"/>
      <c r="Q136" s="1480"/>
      <c r="R136" s="816"/>
      <c r="S136" s="816"/>
      <c r="T136" s="816"/>
      <c r="U136" s="816"/>
      <c r="V136" s="816"/>
      <c r="W136" s="816"/>
      <c r="X136" s="816"/>
      <c r="Y136" s="816"/>
      <c r="Z136" s="816"/>
      <c r="AA136" s="816"/>
      <c r="AB136" s="816"/>
      <c r="AC136" s="816"/>
      <c r="AD136" s="816"/>
      <c r="AE136" s="816"/>
      <c r="AF136" s="816"/>
      <c r="AG136" s="817"/>
      <c r="AH136" s="1486"/>
    </row>
    <row r="137" spans="2:34" x14ac:dyDescent="0.3">
      <c r="B137" s="809"/>
      <c r="C137" s="809"/>
      <c r="Q137" s="1480"/>
      <c r="R137" s="816"/>
      <c r="S137" s="816"/>
      <c r="T137" s="816"/>
      <c r="U137" s="816"/>
      <c r="V137" s="816"/>
      <c r="W137" s="816"/>
      <c r="X137" s="816"/>
      <c r="Y137" s="816"/>
      <c r="Z137" s="816"/>
      <c r="AA137" s="816"/>
      <c r="AB137" s="816"/>
      <c r="AC137" s="816"/>
      <c r="AD137" s="816"/>
      <c r="AE137" s="816"/>
      <c r="AF137" s="816"/>
      <c r="AG137" s="817"/>
      <c r="AH137" s="1486"/>
    </row>
    <row r="138" spans="2:34" x14ac:dyDescent="0.3">
      <c r="B138" s="809"/>
      <c r="C138" s="809"/>
      <c r="Q138" s="1480"/>
      <c r="R138" s="816"/>
      <c r="S138" s="816"/>
      <c r="T138" s="816"/>
      <c r="U138" s="816"/>
      <c r="V138" s="816"/>
      <c r="W138" s="816"/>
      <c r="X138" s="816"/>
      <c r="Y138" s="816"/>
      <c r="Z138" s="816"/>
      <c r="AA138" s="816"/>
      <c r="AB138" s="816"/>
      <c r="AC138" s="816"/>
      <c r="AD138" s="816"/>
      <c r="AE138" s="816"/>
      <c r="AF138" s="816"/>
      <c r="AG138" s="817"/>
      <c r="AH138" s="1486"/>
    </row>
    <row r="139" spans="2:34" x14ac:dyDescent="0.3">
      <c r="B139" s="809"/>
      <c r="C139" s="809"/>
      <c r="Q139" s="1481"/>
      <c r="R139" s="815"/>
      <c r="S139" s="815"/>
      <c r="T139" s="815"/>
      <c r="U139" s="815"/>
      <c r="V139" s="815"/>
      <c r="W139" s="815"/>
      <c r="X139" s="815"/>
      <c r="Y139" s="815"/>
      <c r="Z139" s="815"/>
      <c r="AA139" s="815"/>
      <c r="AB139" s="815"/>
      <c r="AC139" s="815"/>
      <c r="AD139" s="815"/>
      <c r="AE139" s="815"/>
      <c r="AF139" s="815"/>
      <c r="AG139" s="815"/>
      <c r="AH139" s="1486"/>
    </row>
    <row r="140" spans="2:34" x14ac:dyDescent="0.3">
      <c r="B140" s="809"/>
      <c r="C140" s="809"/>
      <c r="Q140" s="1482"/>
      <c r="AH140" s="1483"/>
    </row>
    <row r="141" spans="2:34" x14ac:dyDescent="0.3">
      <c r="B141" s="809"/>
      <c r="C141" s="809"/>
      <c r="Q141" s="1480"/>
      <c r="R141" s="2219"/>
      <c r="S141" s="2218"/>
      <c r="T141" s="2218"/>
      <c r="U141" s="2218"/>
      <c r="V141" s="2218"/>
      <c r="W141" s="2218"/>
      <c r="X141" s="2218"/>
      <c r="Y141" s="2218"/>
      <c r="Z141" s="2218"/>
      <c r="AA141" s="2218"/>
      <c r="AB141" s="2218"/>
      <c r="AC141" s="2218"/>
      <c r="AD141" s="2218"/>
      <c r="AE141" s="2218"/>
      <c r="AF141" s="2218"/>
      <c r="AG141" s="811"/>
      <c r="AH141" s="1483"/>
    </row>
    <row r="142" spans="2:34" x14ac:dyDescent="0.3">
      <c r="B142" s="809"/>
      <c r="C142" s="809"/>
      <c r="Q142" s="1479"/>
      <c r="R142" s="812"/>
      <c r="S142" s="812"/>
      <c r="T142" s="812"/>
      <c r="U142" s="812"/>
      <c r="V142" s="812"/>
      <c r="W142" s="812"/>
      <c r="X142" s="812"/>
      <c r="Y142" s="812"/>
      <c r="Z142" s="812"/>
      <c r="AA142" s="812"/>
      <c r="AB142" s="812"/>
      <c r="AC142" s="812"/>
      <c r="AD142" s="812"/>
      <c r="AE142" s="812"/>
      <c r="AF142" s="812"/>
      <c r="AG142" s="812"/>
      <c r="AH142" s="1483"/>
    </row>
    <row r="143" spans="2:34" x14ac:dyDescent="0.3">
      <c r="B143" s="809"/>
      <c r="C143" s="809"/>
      <c r="Q143" s="1480"/>
      <c r="R143" s="814"/>
      <c r="S143" s="814"/>
      <c r="T143" s="814"/>
      <c r="U143" s="814"/>
      <c r="V143" s="814"/>
      <c r="W143" s="814"/>
      <c r="X143" s="814"/>
      <c r="Y143" s="814"/>
      <c r="Z143" s="814"/>
      <c r="AA143" s="814"/>
      <c r="AB143" s="814"/>
      <c r="AC143" s="814"/>
      <c r="AD143" s="814"/>
      <c r="AE143" s="814"/>
      <c r="AF143" s="814"/>
      <c r="AG143" s="815"/>
      <c r="AH143" s="1486"/>
    </row>
    <row r="144" spans="2:34" x14ac:dyDescent="0.3">
      <c r="B144" s="809"/>
      <c r="C144" s="809"/>
      <c r="Q144" s="1480"/>
      <c r="R144" s="814"/>
      <c r="S144" s="814"/>
      <c r="T144" s="814"/>
      <c r="U144" s="814"/>
      <c r="V144" s="814"/>
      <c r="W144" s="814"/>
      <c r="X144" s="814"/>
      <c r="Y144" s="814"/>
      <c r="Z144" s="814"/>
      <c r="AA144" s="814"/>
      <c r="AB144" s="814"/>
      <c r="AC144" s="814"/>
      <c r="AD144" s="814"/>
      <c r="AE144" s="814"/>
      <c r="AF144" s="814"/>
      <c r="AG144" s="815"/>
      <c r="AH144" s="1486"/>
    </row>
    <row r="145" spans="2:34" x14ac:dyDescent="0.3">
      <c r="B145" s="809"/>
      <c r="C145" s="809"/>
      <c r="Q145" s="1480"/>
      <c r="R145" s="814"/>
      <c r="S145" s="814"/>
      <c r="T145" s="814"/>
      <c r="U145" s="814"/>
      <c r="V145" s="814"/>
      <c r="W145" s="814"/>
      <c r="X145" s="814"/>
      <c r="Y145" s="814"/>
      <c r="Z145" s="814"/>
      <c r="AA145" s="814"/>
      <c r="AB145" s="814"/>
      <c r="AC145" s="814"/>
      <c r="AD145" s="814"/>
      <c r="AE145" s="814"/>
      <c r="AF145" s="814"/>
      <c r="AG145" s="815"/>
      <c r="AH145" s="1486"/>
    </row>
    <row r="146" spans="2:34" x14ac:dyDescent="0.3">
      <c r="B146" s="809"/>
      <c r="C146" s="809"/>
      <c r="Q146" s="1480"/>
      <c r="R146" s="814"/>
      <c r="S146" s="814"/>
      <c r="T146" s="814"/>
      <c r="U146" s="814"/>
      <c r="V146" s="814"/>
      <c r="W146" s="814"/>
      <c r="X146" s="814"/>
      <c r="Y146" s="814"/>
      <c r="Z146" s="814"/>
      <c r="AA146" s="814"/>
      <c r="AB146" s="814"/>
      <c r="AC146" s="814"/>
      <c r="AD146" s="814"/>
      <c r="AE146" s="814"/>
      <c r="AF146" s="814"/>
      <c r="AG146" s="815"/>
      <c r="AH146" s="1486"/>
    </row>
    <row r="147" spans="2:34" x14ac:dyDescent="0.3">
      <c r="B147" s="809"/>
      <c r="C147" s="809"/>
      <c r="Q147" s="1480"/>
      <c r="R147" s="814"/>
      <c r="S147" s="814"/>
      <c r="T147" s="814"/>
      <c r="U147" s="814"/>
      <c r="V147" s="814"/>
      <c r="W147" s="814"/>
      <c r="X147" s="814"/>
      <c r="Y147" s="814"/>
      <c r="Z147" s="814"/>
      <c r="AA147" s="814"/>
      <c r="AB147" s="814"/>
      <c r="AC147" s="814"/>
      <c r="AD147" s="814"/>
      <c r="AE147" s="814"/>
      <c r="AF147" s="814"/>
      <c r="AG147" s="815"/>
      <c r="AH147" s="1486"/>
    </row>
    <row r="148" spans="2:34" x14ac:dyDescent="0.3">
      <c r="B148" s="809"/>
      <c r="C148" s="809"/>
      <c r="Q148" s="1480"/>
      <c r="R148" s="814"/>
      <c r="S148" s="814"/>
      <c r="T148" s="814"/>
      <c r="U148" s="814"/>
      <c r="V148" s="814"/>
      <c r="W148" s="814"/>
      <c r="X148" s="814"/>
      <c r="Y148" s="814"/>
      <c r="Z148" s="814"/>
      <c r="AA148" s="814"/>
      <c r="AB148" s="814"/>
      <c r="AC148" s="814"/>
      <c r="AD148" s="814"/>
      <c r="AE148" s="814"/>
      <c r="AF148" s="814"/>
      <c r="AG148" s="815"/>
      <c r="AH148" s="1486"/>
    </row>
    <row r="149" spans="2:34" x14ac:dyDescent="0.3">
      <c r="B149" s="809"/>
      <c r="C149" s="809"/>
      <c r="Q149" s="1480"/>
      <c r="R149" s="814"/>
      <c r="S149" s="814"/>
      <c r="T149" s="814"/>
      <c r="U149" s="814"/>
      <c r="V149" s="814"/>
      <c r="W149" s="814"/>
      <c r="X149" s="814"/>
      <c r="Y149" s="814"/>
      <c r="Z149" s="814"/>
      <c r="AA149" s="814"/>
      <c r="AB149" s="814"/>
      <c r="AC149" s="814"/>
      <c r="AD149" s="814"/>
      <c r="AE149" s="814"/>
      <c r="AF149" s="814"/>
      <c r="AG149" s="815"/>
      <c r="AH149" s="1486"/>
    </row>
    <row r="150" spans="2:34" x14ac:dyDescent="0.3">
      <c r="B150" s="809"/>
      <c r="C150" s="809"/>
      <c r="Q150" s="1481"/>
      <c r="R150" s="815"/>
      <c r="S150" s="815"/>
      <c r="T150" s="815"/>
      <c r="U150" s="815"/>
      <c r="V150" s="815"/>
      <c r="W150" s="815"/>
      <c r="X150" s="815"/>
      <c r="Y150" s="815"/>
      <c r="Z150" s="815"/>
      <c r="AA150" s="815"/>
      <c r="AB150" s="815"/>
      <c r="AC150" s="815"/>
      <c r="AD150" s="815"/>
      <c r="AE150" s="815"/>
      <c r="AF150" s="815"/>
      <c r="AG150" s="815"/>
      <c r="AH150" s="1486"/>
    </row>
    <row r="151" spans="2:34" x14ac:dyDescent="0.3">
      <c r="B151" s="809"/>
      <c r="C151" s="809"/>
      <c r="Q151" s="1482"/>
      <c r="AH151" s="1483"/>
    </row>
    <row r="152" spans="2:34" x14ac:dyDescent="0.3">
      <c r="B152" s="809"/>
      <c r="C152" s="809"/>
      <c r="Q152" s="1480"/>
      <c r="R152" s="2219"/>
      <c r="S152" s="2218"/>
      <c r="T152" s="2218"/>
      <c r="U152" s="2218"/>
      <c r="V152" s="2218"/>
      <c r="W152" s="2218"/>
      <c r="X152" s="2218"/>
      <c r="Y152" s="2218"/>
      <c r="Z152" s="2218"/>
      <c r="AA152" s="2218"/>
      <c r="AB152" s="2218"/>
      <c r="AC152" s="2218"/>
      <c r="AD152" s="2218"/>
      <c r="AE152" s="2218"/>
      <c r="AF152" s="2218"/>
      <c r="AG152" s="811"/>
      <c r="AH152" s="1483"/>
    </row>
    <row r="153" spans="2:34" x14ac:dyDescent="0.3">
      <c r="B153" s="809"/>
      <c r="C153" s="809"/>
      <c r="Q153" s="1479"/>
      <c r="R153" s="812"/>
      <c r="S153" s="812"/>
      <c r="T153" s="812"/>
      <c r="U153" s="812"/>
      <c r="V153" s="812"/>
      <c r="W153" s="812"/>
      <c r="X153" s="812"/>
      <c r="Y153" s="812"/>
      <c r="Z153" s="812"/>
      <c r="AA153" s="812"/>
      <c r="AB153" s="812"/>
      <c r="AC153" s="812"/>
      <c r="AD153" s="812"/>
      <c r="AE153" s="812"/>
      <c r="AF153" s="812"/>
      <c r="AG153" s="812"/>
      <c r="AH153" s="1483"/>
    </row>
    <row r="154" spans="2:34" x14ac:dyDescent="0.3">
      <c r="B154" s="809"/>
      <c r="C154" s="809"/>
      <c r="Q154" s="1480"/>
      <c r="R154" s="814"/>
      <c r="S154" s="814"/>
      <c r="T154" s="814"/>
      <c r="U154" s="814"/>
      <c r="V154" s="814"/>
      <c r="W154" s="814"/>
      <c r="X154" s="814"/>
      <c r="Y154" s="814"/>
      <c r="Z154" s="814"/>
      <c r="AA154" s="814"/>
      <c r="AB154" s="814"/>
      <c r="AC154" s="814"/>
      <c r="AD154" s="814"/>
      <c r="AE154" s="814"/>
      <c r="AF154" s="814"/>
      <c r="AG154" s="815"/>
      <c r="AH154" s="1486"/>
    </row>
    <row r="155" spans="2:34" x14ac:dyDescent="0.3">
      <c r="B155" s="809"/>
      <c r="C155" s="809"/>
      <c r="Q155" s="1480"/>
      <c r="R155" s="814"/>
      <c r="S155" s="814"/>
      <c r="T155" s="814"/>
      <c r="U155" s="814"/>
      <c r="V155" s="814"/>
      <c r="W155" s="814"/>
      <c r="X155" s="814"/>
      <c r="Y155" s="814"/>
      <c r="Z155" s="814"/>
      <c r="AA155" s="814"/>
      <c r="AB155" s="814"/>
      <c r="AC155" s="814"/>
      <c r="AD155" s="814"/>
      <c r="AE155" s="814"/>
      <c r="AF155" s="814"/>
      <c r="AG155" s="815"/>
      <c r="AH155" s="1486"/>
    </row>
    <row r="156" spans="2:34" x14ac:dyDescent="0.3">
      <c r="B156" s="809"/>
      <c r="C156" s="809"/>
      <c r="Q156" s="1480"/>
      <c r="R156" s="815"/>
      <c r="S156" s="815"/>
      <c r="T156" s="815"/>
      <c r="U156" s="815"/>
      <c r="V156" s="815"/>
      <c r="W156" s="815"/>
      <c r="X156" s="815"/>
      <c r="Y156" s="815"/>
      <c r="Z156" s="815"/>
      <c r="AA156" s="815"/>
      <c r="AB156" s="815"/>
      <c r="AC156" s="815"/>
      <c r="AD156" s="815"/>
      <c r="AE156" s="815"/>
      <c r="AF156" s="815"/>
      <c r="AG156" s="815"/>
      <c r="AH156" s="1483"/>
    </row>
    <row r="157" spans="2:34" x14ac:dyDescent="0.3">
      <c r="B157" s="809"/>
      <c r="C157" s="809"/>
      <c r="Q157" s="1480"/>
      <c r="R157" s="818"/>
      <c r="S157" s="818"/>
      <c r="T157" s="818"/>
      <c r="U157" s="818"/>
      <c r="V157" s="818"/>
      <c r="W157" s="818"/>
      <c r="X157" s="818"/>
      <c r="Y157" s="818"/>
      <c r="Z157" s="818"/>
      <c r="AA157" s="818"/>
      <c r="AB157" s="818"/>
      <c r="AC157" s="818"/>
      <c r="AD157" s="818"/>
      <c r="AE157" s="818"/>
      <c r="AF157" s="818"/>
      <c r="AH157" s="1483"/>
    </row>
    <row r="158" spans="2:34" x14ac:dyDescent="0.3">
      <c r="B158" s="809"/>
      <c r="C158" s="809"/>
      <c r="Q158" s="1480"/>
      <c r="R158" s="818"/>
      <c r="S158" s="818"/>
      <c r="T158" s="818"/>
      <c r="U158" s="818"/>
      <c r="V158" s="818"/>
      <c r="W158" s="818"/>
      <c r="X158" s="818"/>
      <c r="Y158" s="818"/>
      <c r="Z158" s="818"/>
      <c r="AA158" s="818"/>
      <c r="AB158" s="818"/>
      <c r="AC158" s="818"/>
      <c r="AD158" s="818"/>
      <c r="AE158" s="818"/>
      <c r="AF158" s="818"/>
      <c r="AH158" s="1483"/>
    </row>
    <row r="159" spans="2:34" x14ac:dyDescent="0.3">
      <c r="B159" s="809"/>
      <c r="C159" s="809"/>
      <c r="Q159" s="1480"/>
      <c r="R159" s="2219"/>
      <c r="S159" s="2218"/>
      <c r="T159" s="2218"/>
      <c r="U159" s="2218"/>
      <c r="V159" s="2218"/>
      <c r="W159" s="2218"/>
      <c r="X159" s="2218"/>
      <c r="Y159" s="2218"/>
      <c r="Z159" s="2218"/>
      <c r="AA159" s="2218"/>
      <c r="AB159" s="2218"/>
      <c r="AC159" s="2218"/>
      <c r="AD159" s="2218"/>
      <c r="AE159" s="2218"/>
      <c r="AF159" s="2218"/>
      <c r="AG159" s="815"/>
      <c r="AH159" s="1483"/>
    </row>
    <row r="160" spans="2:34" x14ac:dyDescent="0.3">
      <c r="B160" s="809"/>
      <c r="C160" s="809"/>
      <c r="Q160" s="1480"/>
      <c r="R160" s="812"/>
      <c r="S160" s="812"/>
      <c r="T160" s="812"/>
      <c r="U160" s="812"/>
      <c r="V160" s="812"/>
      <c r="W160" s="812"/>
      <c r="X160" s="812"/>
      <c r="Y160" s="812"/>
      <c r="Z160" s="812"/>
      <c r="AA160" s="812"/>
      <c r="AB160" s="812"/>
      <c r="AC160" s="812"/>
      <c r="AD160" s="812"/>
      <c r="AE160" s="812"/>
      <c r="AF160" s="812"/>
      <c r="AG160" s="815"/>
      <c r="AH160" s="1483"/>
    </row>
    <row r="161" spans="2:34" x14ac:dyDescent="0.3">
      <c r="B161" s="809"/>
      <c r="C161" s="809"/>
      <c r="Q161" s="1480"/>
      <c r="R161" s="814"/>
      <c r="S161" s="814"/>
      <c r="T161" s="814"/>
      <c r="U161" s="814"/>
      <c r="V161" s="814"/>
      <c r="W161" s="814"/>
      <c r="X161" s="814"/>
      <c r="Y161" s="814"/>
      <c r="Z161" s="814"/>
      <c r="AA161" s="814"/>
      <c r="AB161" s="814"/>
      <c r="AC161" s="814"/>
      <c r="AD161" s="814"/>
      <c r="AE161" s="814"/>
      <c r="AF161" s="814"/>
      <c r="AG161" s="815"/>
      <c r="AH161" s="1486"/>
    </row>
    <row r="162" spans="2:34" x14ac:dyDescent="0.3">
      <c r="B162" s="809"/>
      <c r="C162" s="809"/>
      <c r="Q162" s="1480"/>
      <c r="R162" s="814"/>
      <c r="S162" s="814"/>
      <c r="T162" s="814"/>
      <c r="U162" s="814"/>
      <c r="V162" s="814"/>
      <c r="W162" s="814"/>
      <c r="X162" s="814"/>
      <c r="Y162" s="814"/>
      <c r="Z162" s="814"/>
      <c r="AA162" s="814"/>
      <c r="AB162" s="814"/>
      <c r="AC162" s="814"/>
      <c r="AD162" s="814"/>
      <c r="AE162" s="814"/>
      <c r="AF162" s="814"/>
      <c r="AG162" s="815"/>
      <c r="AH162" s="1486"/>
    </row>
    <row r="163" spans="2:34" ht="12.6" thickBot="1" x14ac:dyDescent="0.35">
      <c r="B163" s="809"/>
      <c r="C163" s="809"/>
      <c r="Q163" s="1484"/>
      <c r="R163" s="1485"/>
      <c r="S163" s="1485"/>
      <c r="T163" s="1485"/>
      <c r="U163" s="1485"/>
      <c r="V163" s="1485"/>
      <c r="W163" s="1485"/>
      <c r="X163" s="1485"/>
      <c r="Y163" s="1485"/>
      <c r="Z163" s="1485"/>
      <c r="AA163" s="1485"/>
      <c r="AB163" s="1485"/>
      <c r="AC163" s="1485"/>
      <c r="AD163" s="1485"/>
      <c r="AE163" s="1485"/>
      <c r="AF163" s="1485"/>
      <c r="AG163" s="1487"/>
      <c r="AH163" s="1488"/>
    </row>
    <row r="164" spans="2:34" x14ac:dyDescent="0.3">
      <c r="B164" s="809"/>
      <c r="C164" s="809"/>
      <c r="Q164" s="811"/>
    </row>
    <row r="165" spans="2:34" ht="12.6" thickBot="1" x14ac:dyDescent="0.35">
      <c r="B165" s="809"/>
      <c r="C165" s="809"/>
      <c r="Q165" s="811"/>
    </row>
    <row r="166" spans="2:34" x14ac:dyDescent="0.3">
      <c r="B166" s="809"/>
      <c r="C166" s="809"/>
      <c r="Q166" s="1476"/>
      <c r="R166" s="1477"/>
      <c r="S166" s="1477"/>
      <c r="T166" s="1477"/>
      <c r="U166" s="1477"/>
      <c r="V166" s="1477"/>
      <c r="W166" s="1477"/>
      <c r="X166" s="1477"/>
      <c r="Y166" s="1477"/>
      <c r="Z166" s="1477"/>
      <c r="AA166" s="1477"/>
      <c r="AB166" s="1477"/>
      <c r="AC166" s="1477"/>
      <c r="AD166" s="1477"/>
      <c r="AE166" s="1477"/>
      <c r="AF166" s="1477"/>
      <c r="AG166" s="1477"/>
      <c r="AH166" s="1478"/>
    </row>
    <row r="167" spans="2:34" x14ac:dyDescent="0.3">
      <c r="B167" s="809"/>
      <c r="C167" s="809"/>
      <c r="Q167" s="1480"/>
      <c r="R167" s="2219"/>
      <c r="S167" s="2218"/>
      <c r="T167" s="2218"/>
      <c r="U167" s="2218"/>
      <c r="V167" s="2218"/>
      <c r="W167" s="2218"/>
      <c r="X167" s="2218"/>
      <c r="Y167" s="2218"/>
      <c r="Z167" s="2218"/>
      <c r="AA167" s="2218"/>
      <c r="AB167" s="2218"/>
      <c r="AC167" s="2218"/>
      <c r="AD167" s="2218"/>
      <c r="AE167" s="2218"/>
      <c r="AF167" s="2218"/>
      <c r="AG167" s="811"/>
      <c r="AH167" s="1483"/>
    </row>
    <row r="168" spans="2:34" x14ac:dyDescent="0.3">
      <c r="B168" s="809"/>
      <c r="C168" s="809"/>
      <c r="Q168" s="1479"/>
      <c r="R168" s="812"/>
      <c r="S168" s="812"/>
      <c r="T168" s="812"/>
      <c r="U168" s="812"/>
      <c r="V168" s="812"/>
      <c r="W168" s="812"/>
      <c r="X168" s="812"/>
      <c r="Y168" s="812"/>
      <c r="Z168" s="812"/>
      <c r="AA168" s="812"/>
      <c r="AB168" s="812"/>
      <c r="AC168" s="812"/>
      <c r="AD168" s="812"/>
      <c r="AE168" s="812"/>
      <c r="AF168" s="812"/>
      <c r="AG168" s="812"/>
      <c r="AH168" s="1483"/>
    </row>
    <row r="169" spans="2:34" x14ac:dyDescent="0.3">
      <c r="B169" s="809"/>
      <c r="C169" s="809"/>
      <c r="Q169" s="1480"/>
      <c r="R169" s="814"/>
      <c r="S169" s="814"/>
      <c r="T169" s="814"/>
      <c r="U169" s="814"/>
      <c r="V169" s="814"/>
      <c r="W169" s="814"/>
      <c r="X169" s="814"/>
      <c r="Y169" s="814"/>
      <c r="Z169" s="814"/>
      <c r="AA169" s="814"/>
      <c r="AB169" s="814"/>
      <c r="AC169" s="814"/>
      <c r="AD169" s="814"/>
      <c r="AE169" s="814"/>
      <c r="AF169" s="814"/>
      <c r="AG169" s="815"/>
      <c r="AH169" s="1486"/>
    </row>
    <row r="170" spans="2:34" x14ac:dyDescent="0.3">
      <c r="B170" s="809"/>
      <c r="C170" s="809"/>
      <c r="Q170" s="1480"/>
      <c r="R170" s="814"/>
      <c r="S170" s="814"/>
      <c r="T170" s="814"/>
      <c r="U170" s="814"/>
      <c r="V170" s="814"/>
      <c r="W170" s="814"/>
      <c r="X170" s="814"/>
      <c r="Y170" s="814"/>
      <c r="Z170" s="814"/>
      <c r="AA170" s="814"/>
      <c r="AB170" s="814"/>
      <c r="AC170" s="814"/>
      <c r="AD170" s="814"/>
      <c r="AE170" s="814"/>
      <c r="AF170" s="814"/>
      <c r="AG170" s="815"/>
      <c r="AH170" s="1486"/>
    </row>
    <row r="171" spans="2:34" x14ac:dyDescent="0.3">
      <c r="B171" s="809"/>
      <c r="C171" s="809"/>
      <c r="Q171" s="1480"/>
      <c r="R171" s="814"/>
      <c r="S171" s="814"/>
      <c r="T171" s="814"/>
      <c r="U171" s="814"/>
      <c r="V171" s="814"/>
      <c r="W171" s="814"/>
      <c r="X171" s="814"/>
      <c r="Y171" s="814"/>
      <c r="Z171" s="814"/>
      <c r="AA171" s="814"/>
      <c r="AB171" s="814"/>
      <c r="AC171" s="814"/>
      <c r="AD171" s="814"/>
      <c r="AE171" s="814"/>
      <c r="AF171" s="814"/>
      <c r="AG171" s="815"/>
      <c r="AH171" s="1486"/>
    </row>
    <row r="172" spans="2:34" x14ac:dyDescent="0.3">
      <c r="B172" s="809"/>
      <c r="C172" s="809"/>
      <c r="Q172" s="1480"/>
      <c r="R172" s="814"/>
      <c r="S172" s="814"/>
      <c r="T172" s="814"/>
      <c r="U172" s="814"/>
      <c r="V172" s="814"/>
      <c r="W172" s="814"/>
      <c r="X172" s="814"/>
      <c r="Y172" s="814"/>
      <c r="Z172" s="814"/>
      <c r="AA172" s="814"/>
      <c r="AB172" s="814"/>
      <c r="AC172" s="814"/>
      <c r="AD172" s="814"/>
      <c r="AE172" s="814"/>
      <c r="AF172" s="814"/>
      <c r="AG172" s="815"/>
      <c r="AH172" s="1486"/>
    </row>
    <row r="173" spans="2:34" x14ac:dyDescent="0.3">
      <c r="B173" s="809"/>
      <c r="C173" s="809"/>
      <c r="Q173" s="1480"/>
      <c r="R173" s="814"/>
      <c r="S173" s="814"/>
      <c r="T173" s="814"/>
      <c r="U173" s="814"/>
      <c r="V173" s="814"/>
      <c r="W173" s="814"/>
      <c r="X173" s="814"/>
      <c r="Y173" s="814"/>
      <c r="Z173" s="814"/>
      <c r="AA173" s="814"/>
      <c r="AB173" s="814"/>
      <c r="AC173" s="814"/>
      <c r="AD173" s="814"/>
      <c r="AE173" s="814"/>
      <c r="AF173" s="814"/>
      <c r="AG173" s="815"/>
      <c r="AH173" s="1486"/>
    </row>
    <row r="174" spans="2:34" x14ac:dyDescent="0.3">
      <c r="B174" s="809"/>
      <c r="C174" s="809"/>
      <c r="Q174" s="1480"/>
      <c r="R174" s="814"/>
      <c r="S174" s="814"/>
      <c r="T174" s="814"/>
      <c r="U174" s="814"/>
      <c r="V174" s="814"/>
      <c r="W174" s="814"/>
      <c r="X174" s="814"/>
      <c r="Y174" s="814"/>
      <c r="Z174" s="814"/>
      <c r="AA174" s="814"/>
      <c r="AB174" s="814"/>
      <c r="AC174" s="814"/>
      <c r="AD174" s="814"/>
      <c r="AE174" s="814"/>
      <c r="AF174" s="814"/>
      <c r="AG174" s="815"/>
      <c r="AH174" s="1486"/>
    </row>
    <row r="175" spans="2:34" x14ac:dyDescent="0.3">
      <c r="B175" s="809"/>
      <c r="C175" s="809"/>
      <c r="Q175" s="1480"/>
      <c r="R175" s="814"/>
      <c r="S175" s="814"/>
      <c r="T175" s="814"/>
      <c r="U175" s="814"/>
      <c r="V175" s="814"/>
      <c r="W175" s="814"/>
      <c r="X175" s="814"/>
      <c r="Y175" s="814"/>
      <c r="Z175" s="814"/>
      <c r="AA175" s="814"/>
      <c r="AB175" s="814"/>
      <c r="AC175" s="814"/>
      <c r="AD175" s="814"/>
      <c r="AE175" s="814"/>
      <c r="AF175" s="814"/>
      <c r="AG175" s="815"/>
      <c r="AH175" s="1486"/>
    </row>
    <row r="176" spans="2:34" x14ac:dyDescent="0.3">
      <c r="B176" s="809"/>
      <c r="C176" s="809"/>
      <c r="Q176" s="1481"/>
      <c r="R176" s="815"/>
      <c r="S176" s="815"/>
      <c r="T176" s="815"/>
      <c r="U176" s="815"/>
      <c r="V176" s="815"/>
      <c r="W176" s="815"/>
      <c r="X176" s="815"/>
      <c r="Y176" s="815"/>
      <c r="Z176" s="815"/>
      <c r="AA176" s="815"/>
      <c r="AB176" s="815"/>
      <c r="AC176" s="815"/>
      <c r="AD176" s="815"/>
      <c r="AE176" s="815"/>
      <c r="AF176" s="815"/>
      <c r="AG176" s="815"/>
      <c r="AH176" s="1486"/>
    </row>
    <row r="177" spans="2:34" x14ac:dyDescent="0.3">
      <c r="B177" s="809"/>
      <c r="C177" s="809"/>
      <c r="Q177" s="1482"/>
      <c r="AH177" s="1483"/>
    </row>
    <row r="178" spans="2:34" x14ac:dyDescent="0.3">
      <c r="B178" s="809"/>
      <c r="C178" s="809"/>
      <c r="Q178" s="1480"/>
      <c r="R178" s="2219"/>
      <c r="S178" s="2218"/>
      <c r="T178" s="2218"/>
      <c r="U178" s="2218"/>
      <c r="V178" s="2218"/>
      <c r="W178" s="2218"/>
      <c r="X178" s="2218"/>
      <c r="Y178" s="2218"/>
      <c r="Z178" s="2218"/>
      <c r="AA178" s="2218"/>
      <c r="AB178" s="2218"/>
      <c r="AC178" s="2218"/>
      <c r="AD178" s="2218"/>
      <c r="AE178" s="2218"/>
      <c r="AF178" s="2218"/>
      <c r="AG178" s="811"/>
      <c r="AH178" s="1483"/>
    </row>
    <row r="179" spans="2:34" x14ac:dyDescent="0.3">
      <c r="B179" s="809"/>
      <c r="C179" s="809"/>
      <c r="Q179" s="1479"/>
      <c r="R179" s="812"/>
      <c r="S179" s="812"/>
      <c r="T179" s="812"/>
      <c r="U179" s="812"/>
      <c r="V179" s="812"/>
      <c r="W179" s="812"/>
      <c r="X179" s="812"/>
      <c r="Y179" s="812"/>
      <c r="Z179" s="812"/>
      <c r="AA179" s="812"/>
      <c r="AB179" s="812"/>
      <c r="AC179" s="812"/>
      <c r="AD179" s="812"/>
      <c r="AE179" s="812"/>
      <c r="AF179" s="812"/>
      <c r="AG179" s="812"/>
      <c r="AH179" s="1483"/>
    </row>
    <row r="180" spans="2:34" x14ac:dyDescent="0.3">
      <c r="B180" s="809"/>
      <c r="C180" s="809"/>
      <c r="Q180" s="1480"/>
      <c r="R180" s="814"/>
      <c r="S180" s="814"/>
      <c r="T180" s="814"/>
      <c r="U180" s="814"/>
      <c r="V180" s="814"/>
      <c r="W180" s="814"/>
      <c r="X180" s="814"/>
      <c r="Y180" s="814"/>
      <c r="Z180" s="814"/>
      <c r="AA180" s="814"/>
      <c r="AB180" s="814"/>
      <c r="AC180" s="814"/>
      <c r="AD180" s="814"/>
      <c r="AE180" s="814"/>
      <c r="AF180" s="814"/>
      <c r="AG180" s="815"/>
      <c r="AH180" s="1486"/>
    </row>
    <row r="181" spans="2:34" x14ac:dyDescent="0.3">
      <c r="B181" s="809"/>
      <c r="C181" s="809"/>
      <c r="Q181" s="1480"/>
      <c r="R181" s="814"/>
      <c r="S181" s="814"/>
      <c r="T181" s="814"/>
      <c r="U181" s="814"/>
      <c r="V181" s="814"/>
      <c r="W181" s="814"/>
      <c r="X181" s="814"/>
      <c r="Y181" s="814"/>
      <c r="Z181" s="814"/>
      <c r="AA181" s="814"/>
      <c r="AB181" s="814"/>
      <c r="AC181" s="814"/>
      <c r="AD181" s="814"/>
      <c r="AE181" s="814"/>
      <c r="AF181" s="814"/>
      <c r="AG181" s="815"/>
      <c r="AH181" s="1486"/>
    </row>
    <row r="182" spans="2:34" x14ac:dyDescent="0.3">
      <c r="B182" s="809"/>
      <c r="C182" s="809"/>
      <c r="Q182" s="1480"/>
      <c r="R182" s="814"/>
      <c r="S182" s="814"/>
      <c r="T182" s="814"/>
      <c r="U182" s="814"/>
      <c r="V182" s="814"/>
      <c r="W182" s="814"/>
      <c r="X182" s="814"/>
      <c r="Y182" s="814"/>
      <c r="Z182" s="814"/>
      <c r="AA182" s="814"/>
      <c r="AB182" s="814"/>
      <c r="AC182" s="814"/>
      <c r="AD182" s="814"/>
      <c r="AE182" s="814"/>
      <c r="AF182" s="814"/>
      <c r="AG182" s="815"/>
      <c r="AH182" s="1486"/>
    </row>
    <row r="183" spans="2:34" x14ac:dyDescent="0.3">
      <c r="B183" s="809"/>
      <c r="C183" s="809"/>
      <c r="Q183" s="1480"/>
      <c r="R183" s="814"/>
      <c r="S183" s="814"/>
      <c r="T183" s="814"/>
      <c r="U183" s="814"/>
      <c r="V183" s="814"/>
      <c r="W183" s="814"/>
      <c r="X183" s="814"/>
      <c r="Y183" s="814"/>
      <c r="Z183" s="814"/>
      <c r="AA183" s="814"/>
      <c r="AB183" s="814"/>
      <c r="AC183" s="814"/>
      <c r="AD183" s="814"/>
      <c r="AE183" s="814"/>
      <c r="AF183" s="814"/>
      <c r="AG183" s="815"/>
      <c r="AH183" s="1486"/>
    </row>
    <row r="184" spans="2:34" x14ac:dyDescent="0.3">
      <c r="B184" s="809"/>
      <c r="C184" s="809"/>
      <c r="Q184" s="1480"/>
      <c r="R184" s="814"/>
      <c r="S184" s="814"/>
      <c r="T184" s="814"/>
      <c r="U184" s="814"/>
      <c r="V184" s="814"/>
      <c r="W184" s="814"/>
      <c r="X184" s="814"/>
      <c r="Y184" s="814"/>
      <c r="Z184" s="814"/>
      <c r="AA184" s="814"/>
      <c r="AB184" s="814"/>
      <c r="AC184" s="814"/>
      <c r="AD184" s="814"/>
      <c r="AE184" s="814"/>
      <c r="AF184" s="814"/>
      <c r="AG184" s="815"/>
      <c r="AH184" s="1486"/>
    </row>
    <row r="185" spans="2:34" x14ac:dyDescent="0.3">
      <c r="B185" s="809"/>
      <c r="C185" s="809"/>
      <c r="Q185" s="1480"/>
      <c r="R185" s="814"/>
      <c r="S185" s="814"/>
      <c r="T185" s="814"/>
      <c r="U185" s="814"/>
      <c r="V185" s="814"/>
      <c r="W185" s="814"/>
      <c r="X185" s="814"/>
      <c r="Y185" s="814"/>
      <c r="Z185" s="814"/>
      <c r="AA185" s="814"/>
      <c r="AB185" s="814"/>
      <c r="AC185" s="814"/>
      <c r="AD185" s="814"/>
      <c r="AE185" s="814"/>
      <c r="AF185" s="814"/>
      <c r="AG185" s="815"/>
      <c r="AH185" s="1486"/>
    </row>
    <row r="186" spans="2:34" x14ac:dyDescent="0.3">
      <c r="B186" s="809"/>
      <c r="C186" s="809"/>
      <c r="Q186" s="1480"/>
      <c r="R186" s="814"/>
      <c r="S186" s="814"/>
      <c r="T186" s="814"/>
      <c r="U186" s="814"/>
      <c r="V186" s="814"/>
      <c r="W186" s="814"/>
      <c r="X186" s="814"/>
      <c r="Y186" s="814"/>
      <c r="Z186" s="814"/>
      <c r="AA186" s="814"/>
      <c r="AB186" s="814"/>
      <c r="AC186" s="814"/>
      <c r="AD186" s="814"/>
      <c r="AE186" s="814"/>
      <c r="AF186" s="814"/>
      <c r="AG186" s="815"/>
      <c r="AH186" s="1486"/>
    </row>
    <row r="187" spans="2:34" x14ac:dyDescent="0.3">
      <c r="B187" s="809"/>
      <c r="C187" s="809"/>
      <c r="Q187" s="1480"/>
      <c r="R187" s="814"/>
      <c r="S187" s="814"/>
      <c r="T187" s="814"/>
      <c r="U187" s="814"/>
      <c r="V187" s="814"/>
      <c r="W187" s="814"/>
      <c r="X187" s="814"/>
      <c r="Y187" s="814"/>
      <c r="Z187" s="814"/>
      <c r="AA187" s="814"/>
      <c r="AB187" s="814"/>
      <c r="AC187" s="814"/>
      <c r="AD187" s="814"/>
      <c r="AE187" s="814"/>
      <c r="AF187" s="814"/>
      <c r="AG187" s="815"/>
      <c r="AH187" s="1486"/>
    </row>
    <row r="188" spans="2:34" x14ac:dyDescent="0.3">
      <c r="B188" s="809"/>
      <c r="C188" s="809"/>
      <c r="Q188" s="1480"/>
      <c r="R188" s="2219"/>
      <c r="S188" s="2218"/>
      <c r="T188" s="2218"/>
      <c r="U188" s="2218"/>
      <c r="V188" s="2218"/>
      <c r="W188" s="2218"/>
      <c r="X188" s="2218"/>
      <c r="Y188" s="2218"/>
      <c r="Z188" s="2218"/>
      <c r="AA188" s="2218"/>
      <c r="AB188" s="2218"/>
      <c r="AC188" s="2218"/>
      <c r="AD188" s="2218"/>
      <c r="AE188" s="2218"/>
      <c r="AF188" s="2218"/>
      <c r="AG188" s="811"/>
      <c r="AH188" s="1483"/>
    </row>
    <row r="189" spans="2:34" x14ac:dyDescent="0.3">
      <c r="B189" s="809"/>
      <c r="C189" s="809"/>
      <c r="Q189" s="1479"/>
      <c r="R189" s="812"/>
      <c r="S189" s="812"/>
      <c r="T189" s="812"/>
      <c r="U189" s="812"/>
      <c r="V189" s="812"/>
      <c r="W189" s="812"/>
      <c r="X189" s="812"/>
      <c r="Y189" s="812"/>
      <c r="Z189" s="812"/>
      <c r="AA189" s="812"/>
      <c r="AB189" s="812"/>
      <c r="AC189" s="812"/>
      <c r="AD189" s="812"/>
      <c r="AE189" s="812"/>
      <c r="AF189" s="812"/>
      <c r="AG189" s="812"/>
      <c r="AH189" s="1483"/>
    </row>
    <row r="190" spans="2:34" x14ac:dyDescent="0.3">
      <c r="B190" s="809"/>
      <c r="C190" s="809"/>
      <c r="Q190" s="1480"/>
      <c r="R190" s="816"/>
      <c r="S190" s="816"/>
      <c r="T190" s="816"/>
      <c r="U190" s="816"/>
      <c r="V190" s="816"/>
      <c r="W190" s="816"/>
      <c r="X190" s="816"/>
      <c r="Y190" s="816"/>
      <c r="Z190" s="816"/>
      <c r="AA190" s="816"/>
      <c r="AB190" s="816"/>
      <c r="AC190" s="816"/>
      <c r="AD190" s="816"/>
      <c r="AE190" s="816"/>
      <c r="AF190" s="816"/>
      <c r="AG190" s="817"/>
      <c r="AH190" s="1486"/>
    </row>
    <row r="191" spans="2:34" x14ac:dyDescent="0.3">
      <c r="B191" s="809"/>
      <c r="C191" s="809"/>
      <c r="Q191" s="1480"/>
      <c r="R191" s="816"/>
      <c r="S191" s="816"/>
      <c r="T191" s="816"/>
      <c r="U191" s="816"/>
      <c r="V191" s="816"/>
      <c r="W191" s="816"/>
      <c r="X191" s="816"/>
      <c r="Y191" s="816"/>
      <c r="Z191" s="816"/>
      <c r="AA191" s="816"/>
      <c r="AB191" s="816"/>
      <c r="AC191" s="816"/>
      <c r="AD191" s="816"/>
      <c r="AE191" s="816"/>
      <c r="AF191" s="816"/>
      <c r="AG191" s="817"/>
      <c r="AH191" s="1486"/>
    </row>
    <row r="192" spans="2:34" x14ac:dyDescent="0.3">
      <c r="B192" s="809"/>
      <c r="C192" s="809"/>
      <c r="Q192" s="1480"/>
      <c r="R192" s="816"/>
      <c r="S192" s="816"/>
      <c r="T192" s="816"/>
      <c r="U192" s="816"/>
      <c r="V192" s="816"/>
      <c r="W192" s="816"/>
      <c r="X192" s="816"/>
      <c r="Y192" s="816"/>
      <c r="Z192" s="816"/>
      <c r="AA192" s="816"/>
      <c r="AB192" s="816"/>
      <c r="AC192" s="816"/>
      <c r="AD192" s="816"/>
      <c r="AE192" s="816"/>
      <c r="AF192" s="816"/>
      <c r="AG192" s="817"/>
      <c r="AH192" s="1486"/>
    </row>
    <row r="193" spans="2:34" x14ac:dyDescent="0.3">
      <c r="B193" s="809"/>
      <c r="C193" s="809"/>
      <c r="Q193" s="1480"/>
      <c r="R193" s="816"/>
      <c r="S193" s="816"/>
      <c r="T193" s="816"/>
      <c r="U193" s="816"/>
      <c r="V193" s="816"/>
      <c r="W193" s="816"/>
      <c r="X193" s="816"/>
      <c r="Y193" s="816"/>
      <c r="Z193" s="816"/>
      <c r="AA193" s="816"/>
      <c r="AB193" s="816"/>
      <c r="AC193" s="816"/>
      <c r="AD193" s="816"/>
      <c r="AE193" s="816"/>
      <c r="AF193" s="816"/>
      <c r="AG193" s="817"/>
      <c r="AH193" s="1486"/>
    </row>
    <row r="194" spans="2:34" x14ac:dyDescent="0.3">
      <c r="B194" s="809"/>
      <c r="C194" s="809"/>
      <c r="Q194" s="1480"/>
      <c r="R194" s="816"/>
      <c r="S194" s="816"/>
      <c r="T194" s="816"/>
      <c r="U194" s="816"/>
      <c r="V194" s="816"/>
      <c r="W194" s="816"/>
      <c r="X194" s="816"/>
      <c r="Y194" s="816"/>
      <c r="Z194" s="816"/>
      <c r="AA194" s="816"/>
      <c r="AB194" s="816"/>
      <c r="AC194" s="816"/>
      <c r="AD194" s="816"/>
      <c r="AE194" s="816"/>
      <c r="AF194" s="816"/>
      <c r="AG194" s="817"/>
      <c r="AH194" s="1486"/>
    </row>
    <row r="195" spans="2:34" x14ac:dyDescent="0.3">
      <c r="B195" s="809"/>
      <c r="C195" s="809"/>
      <c r="Q195" s="1480"/>
      <c r="R195" s="816"/>
      <c r="S195" s="816"/>
      <c r="T195" s="816"/>
      <c r="U195" s="816"/>
      <c r="V195" s="816"/>
      <c r="W195" s="816"/>
      <c r="X195" s="816"/>
      <c r="Y195" s="816"/>
      <c r="Z195" s="816"/>
      <c r="AA195" s="816"/>
      <c r="AB195" s="816"/>
      <c r="AC195" s="816"/>
      <c r="AD195" s="816"/>
      <c r="AE195" s="816"/>
      <c r="AF195" s="816"/>
      <c r="AG195" s="817"/>
      <c r="AH195" s="1486"/>
    </row>
    <row r="196" spans="2:34" x14ac:dyDescent="0.3">
      <c r="B196" s="809"/>
      <c r="C196" s="809"/>
      <c r="Q196" s="1480"/>
      <c r="R196" s="816"/>
      <c r="S196" s="816"/>
      <c r="T196" s="816"/>
      <c r="U196" s="816"/>
      <c r="V196" s="816"/>
      <c r="W196" s="816"/>
      <c r="X196" s="816"/>
      <c r="Y196" s="816"/>
      <c r="Z196" s="816"/>
      <c r="AA196" s="816"/>
      <c r="AB196" s="816"/>
      <c r="AC196" s="816"/>
      <c r="AD196" s="816"/>
      <c r="AE196" s="816"/>
      <c r="AF196" s="816"/>
      <c r="AG196" s="817"/>
      <c r="AH196" s="1486"/>
    </row>
    <row r="197" spans="2:34" x14ac:dyDescent="0.3">
      <c r="B197" s="809"/>
      <c r="C197" s="809"/>
      <c r="Q197" s="1481"/>
      <c r="R197" s="815"/>
      <c r="S197" s="815"/>
      <c r="T197" s="815"/>
      <c r="U197" s="815"/>
      <c r="V197" s="815"/>
      <c r="W197" s="815"/>
      <c r="X197" s="815"/>
      <c r="Y197" s="815"/>
      <c r="Z197" s="815"/>
      <c r="AA197" s="815"/>
      <c r="AB197" s="815"/>
      <c r="AC197" s="815"/>
      <c r="AD197" s="815"/>
      <c r="AE197" s="815"/>
      <c r="AF197" s="815"/>
      <c r="AG197" s="815"/>
      <c r="AH197" s="1486"/>
    </row>
    <row r="198" spans="2:34" x14ac:dyDescent="0.3">
      <c r="B198" s="809"/>
      <c r="C198" s="809"/>
      <c r="Q198" s="1482"/>
      <c r="AH198" s="1483"/>
    </row>
    <row r="199" spans="2:34" x14ac:dyDescent="0.3">
      <c r="B199" s="809"/>
      <c r="C199" s="809"/>
      <c r="Q199" s="1480"/>
      <c r="R199" s="2219"/>
      <c r="S199" s="2218"/>
      <c r="T199" s="2218"/>
      <c r="U199" s="2218"/>
      <c r="V199" s="2218"/>
      <c r="W199" s="2218"/>
      <c r="X199" s="2218"/>
      <c r="Y199" s="2218"/>
      <c r="Z199" s="2218"/>
      <c r="AA199" s="2218"/>
      <c r="AB199" s="2218"/>
      <c r="AC199" s="2218"/>
      <c r="AD199" s="2218"/>
      <c r="AE199" s="2218"/>
      <c r="AF199" s="2218"/>
      <c r="AG199" s="811"/>
      <c r="AH199" s="1483"/>
    </row>
    <row r="200" spans="2:34" x14ac:dyDescent="0.3">
      <c r="B200" s="809"/>
      <c r="C200" s="809"/>
      <c r="Q200" s="1479"/>
      <c r="R200" s="812"/>
      <c r="S200" s="812"/>
      <c r="T200" s="812"/>
      <c r="U200" s="812"/>
      <c r="V200" s="812"/>
      <c r="W200" s="812"/>
      <c r="X200" s="812"/>
      <c r="Y200" s="812"/>
      <c r="Z200" s="812"/>
      <c r="AA200" s="812"/>
      <c r="AB200" s="812"/>
      <c r="AC200" s="812"/>
      <c r="AD200" s="812"/>
      <c r="AE200" s="812"/>
      <c r="AF200" s="812"/>
      <c r="AG200" s="812"/>
      <c r="AH200" s="1483"/>
    </row>
    <row r="201" spans="2:34" x14ac:dyDescent="0.3">
      <c r="B201" s="809"/>
      <c r="C201" s="809"/>
      <c r="Q201" s="1480"/>
      <c r="R201" s="814"/>
      <c r="S201" s="814"/>
      <c r="T201" s="814"/>
      <c r="U201" s="814"/>
      <c r="V201" s="814"/>
      <c r="W201" s="814"/>
      <c r="X201" s="814"/>
      <c r="Y201" s="814"/>
      <c r="Z201" s="814"/>
      <c r="AA201" s="814"/>
      <c r="AB201" s="814"/>
      <c r="AC201" s="814"/>
      <c r="AD201" s="814"/>
      <c r="AE201" s="814"/>
      <c r="AF201" s="814"/>
      <c r="AG201" s="815"/>
      <c r="AH201" s="1486"/>
    </row>
    <row r="202" spans="2:34" x14ac:dyDescent="0.3">
      <c r="B202" s="809"/>
      <c r="C202" s="809"/>
      <c r="Q202" s="1480"/>
      <c r="R202" s="814"/>
      <c r="S202" s="814"/>
      <c r="T202" s="814"/>
      <c r="U202" s="814"/>
      <c r="V202" s="814"/>
      <c r="W202" s="814"/>
      <c r="X202" s="814"/>
      <c r="Y202" s="814"/>
      <c r="Z202" s="814"/>
      <c r="AA202" s="814"/>
      <c r="AB202" s="814"/>
      <c r="AC202" s="814"/>
      <c r="AD202" s="814"/>
      <c r="AE202" s="814"/>
      <c r="AF202" s="814"/>
      <c r="AG202" s="815"/>
      <c r="AH202" s="1486"/>
    </row>
    <row r="203" spans="2:34" x14ac:dyDescent="0.3">
      <c r="B203" s="809"/>
      <c r="C203" s="809"/>
      <c r="Q203" s="1480"/>
      <c r="R203" s="814"/>
      <c r="S203" s="814"/>
      <c r="T203" s="814"/>
      <c r="U203" s="814"/>
      <c r="V203" s="814"/>
      <c r="W203" s="814"/>
      <c r="X203" s="814"/>
      <c r="Y203" s="814"/>
      <c r="Z203" s="814"/>
      <c r="AA203" s="814"/>
      <c r="AB203" s="814"/>
      <c r="AC203" s="814"/>
      <c r="AD203" s="814"/>
      <c r="AE203" s="814"/>
      <c r="AF203" s="814"/>
      <c r="AG203" s="815"/>
      <c r="AH203" s="1486"/>
    </row>
    <row r="204" spans="2:34" x14ac:dyDescent="0.3">
      <c r="B204" s="809"/>
      <c r="C204" s="809"/>
      <c r="Q204" s="1480"/>
      <c r="R204" s="814"/>
      <c r="S204" s="814"/>
      <c r="T204" s="814"/>
      <c r="U204" s="814"/>
      <c r="V204" s="814"/>
      <c r="W204" s="814"/>
      <c r="X204" s="814"/>
      <c r="Y204" s="814"/>
      <c r="Z204" s="814"/>
      <c r="AA204" s="814"/>
      <c r="AB204" s="814"/>
      <c r="AC204" s="814"/>
      <c r="AD204" s="814"/>
      <c r="AE204" s="814"/>
      <c r="AF204" s="814"/>
      <c r="AG204" s="815"/>
      <c r="AH204" s="1486"/>
    </row>
    <row r="205" spans="2:34" x14ac:dyDescent="0.3">
      <c r="B205" s="809"/>
      <c r="C205" s="809"/>
      <c r="Q205" s="1480"/>
      <c r="R205" s="814"/>
      <c r="S205" s="814"/>
      <c r="T205" s="814"/>
      <c r="U205" s="814"/>
      <c r="V205" s="814"/>
      <c r="W205" s="814"/>
      <c r="X205" s="814"/>
      <c r="Y205" s="814"/>
      <c r="Z205" s="814"/>
      <c r="AA205" s="814"/>
      <c r="AB205" s="814"/>
      <c r="AC205" s="814"/>
      <c r="AD205" s="814"/>
      <c r="AE205" s="814"/>
      <c r="AF205" s="814"/>
      <c r="AG205" s="815"/>
      <c r="AH205" s="1486"/>
    </row>
    <row r="206" spans="2:34" x14ac:dyDescent="0.3">
      <c r="B206" s="809"/>
      <c r="C206" s="809"/>
      <c r="Q206" s="1480"/>
      <c r="R206" s="814"/>
      <c r="S206" s="814"/>
      <c r="T206" s="814"/>
      <c r="U206" s="814"/>
      <c r="V206" s="814"/>
      <c r="W206" s="814"/>
      <c r="X206" s="814"/>
      <c r="Y206" s="814"/>
      <c r="Z206" s="814"/>
      <c r="AA206" s="814"/>
      <c r="AB206" s="814"/>
      <c r="AC206" s="814"/>
      <c r="AD206" s="814"/>
      <c r="AE206" s="814"/>
      <c r="AF206" s="814"/>
      <c r="AG206" s="815"/>
      <c r="AH206" s="1486"/>
    </row>
    <row r="207" spans="2:34" x14ac:dyDescent="0.3">
      <c r="B207" s="809"/>
      <c r="C207" s="809"/>
      <c r="Q207" s="1480"/>
      <c r="R207" s="814"/>
      <c r="S207" s="814"/>
      <c r="T207" s="814"/>
      <c r="U207" s="814"/>
      <c r="V207" s="814"/>
      <c r="W207" s="814"/>
      <c r="X207" s="814"/>
      <c r="Y207" s="814"/>
      <c r="Z207" s="814"/>
      <c r="AA207" s="814"/>
      <c r="AB207" s="814"/>
      <c r="AC207" s="814"/>
      <c r="AD207" s="814"/>
      <c r="AE207" s="814"/>
      <c r="AF207" s="814"/>
      <c r="AG207" s="815"/>
      <c r="AH207" s="1486"/>
    </row>
    <row r="208" spans="2:34" x14ac:dyDescent="0.3">
      <c r="B208" s="809"/>
      <c r="C208" s="809"/>
      <c r="Q208" s="1481"/>
      <c r="R208" s="815"/>
      <c r="S208" s="815"/>
      <c r="T208" s="815"/>
      <c r="U208" s="815"/>
      <c r="V208" s="815"/>
      <c r="W208" s="815"/>
      <c r="X208" s="815"/>
      <c r="Y208" s="815"/>
      <c r="Z208" s="815"/>
      <c r="AA208" s="815"/>
      <c r="AB208" s="815"/>
      <c r="AC208" s="815"/>
      <c r="AD208" s="815"/>
      <c r="AE208" s="815"/>
      <c r="AF208" s="815"/>
      <c r="AG208" s="815"/>
      <c r="AH208" s="1486"/>
    </row>
    <row r="209" spans="2:34" x14ac:dyDescent="0.3">
      <c r="B209" s="809"/>
      <c r="C209" s="809"/>
      <c r="Q209" s="1482"/>
      <c r="AH209" s="1483"/>
    </row>
    <row r="210" spans="2:34" x14ac:dyDescent="0.3">
      <c r="B210" s="809"/>
      <c r="C210" s="809"/>
      <c r="Q210" s="1480"/>
      <c r="R210" s="2219"/>
      <c r="S210" s="2218"/>
      <c r="T210" s="2218"/>
      <c r="U210" s="2218"/>
      <c r="V210" s="2218"/>
      <c r="W210" s="2218"/>
      <c r="X210" s="2218"/>
      <c r="Y210" s="2218"/>
      <c r="Z210" s="2218"/>
      <c r="AA210" s="2218"/>
      <c r="AB210" s="2218"/>
      <c r="AC210" s="2218"/>
      <c r="AD210" s="2218"/>
      <c r="AE210" s="2218"/>
      <c r="AF210" s="2218"/>
      <c r="AG210" s="811"/>
      <c r="AH210" s="1483"/>
    </row>
    <row r="211" spans="2:34" x14ac:dyDescent="0.3">
      <c r="B211" s="809"/>
      <c r="C211" s="809"/>
      <c r="Q211" s="1479"/>
      <c r="R211" s="812"/>
      <c r="S211" s="812"/>
      <c r="T211" s="812"/>
      <c r="U211" s="812"/>
      <c r="V211" s="812"/>
      <c r="W211" s="812"/>
      <c r="X211" s="812"/>
      <c r="Y211" s="812"/>
      <c r="Z211" s="812"/>
      <c r="AA211" s="812"/>
      <c r="AB211" s="812"/>
      <c r="AC211" s="812"/>
      <c r="AD211" s="812"/>
      <c r="AE211" s="812"/>
      <c r="AF211" s="812"/>
      <c r="AG211" s="812"/>
      <c r="AH211" s="1483"/>
    </row>
    <row r="212" spans="2:34" x14ac:dyDescent="0.3">
      <c r="B212" s="809"/>
      <c r="C212" s="809"/>
      <c r="Q212" s="1480"/>
      <c r="R212" s="814"/>
      <c r="S212" s="814"/>
      <c r="T212" s="814"/>
      <c r="U212" s="814"/>
      <c r="V212" s="814"/>
      <c r="W212" s="814"/>
      <c r="X212" s="814"/>
      <c r="Y212" s="814"/>
      <c r="Z212" s="814"/>
      <c r="AA212" s="814"/>
      <c r="AB212" s="814"/>
      <c r="AC212" s="814"/>
      <c r="AD212" s="814"/>
      <c r="AE212" s="814"/>
      <c r="AF212" s="814"/>
      <c r="AG212" s="815"/>
      <c r="AH212" s="1486"/>
    </row>
    <row r="213" spans="2:34" x14ac:dyDescent="0.3">
      <c r="B213" s="809"/>
      <c r="C213" s="809"/>
      <c r="Q213" s="1480"/>
      <c r="R213" s="814"/>
      <c r="S213" s="814"/>
      <c r="T213" s="814"/>
      <c r="U213" s="814"/>
      <c r="V213" s="814"/>
      <c r="W213" s="814"/>
      <c r="X213" s="814"/>
      <c r="Y213" s="814"/>
      <c r="Z213" s="814"/>
      <c r="AA213" s="814"/>
      <c r="AB213" s="814"/>
      <c r="AC213" s="814"/>
      <c r="AD213" s="814"/>
      <c r="AE213" s="814"/>
      <c r="AF213" s="814"/>
      <c r="AG213" s="815"/>
      <c r="AH213" s="1486"/>
    </row>
    <row r="214" spans="2:34" x14ac:dyDescent="0.3">
      <c r="B214" s="809"/>
      <c r="C214" s="809"/>
      <c r="Q214" s="1480"/>
      <c r="R214" s="815"/>
      <c r="S214" s="815"/>
      <c r="T214" s="815"/>
      <c r="U214" s="815"/>
      <c r="V214" s="815"/>
      <c r="W214" s="815"/>
      <c r="X214" s="815"/>
      <c r="Y214" s="815"/>
      <c r="Z214" s="815"/>
      <c r="AA214" s="815"/>
      <c r="AB214" s="815"/>
      <c r="AC214" s="815"/>
      <c r="AD214" s="815"/>
      <c r="AE214" s="815"/>
      <c r="AF214" s="815"/>
      <c r="AG214" s="815"/>
      <c r="AH214" s="1483"/>
    </row>
    <row r="215" spans="2:34" x14ac:dyDescent="0.3">
      <c r="B215" s="809"/>
      <c r="C215" s="809"/>
      <c r="Q215" s="1480"/>
      <c r="R215" s="818"/>
      <c r="S215" s="818"/>
      <c r="T215" s="818"/>
      <c r="U215" s="818"/>
      <c r="V215" s="818"/>
      <c r="W215" s="818"/>
      <c r="X215" s="818"/>
      <c r="Y215" s="818"/>
      <c r="Z215" s="818"/>
      <c r="AA215" s="818"/>
      <c r="AB215" s="818"/>
      <c r="AC215" s="818"/>
      <c r="AD215" s="818"/>
      <c r="AE215" s="818"/>
      <c r="AF215" s="818"/>
      <c r="AH215" s="1483"/>
    </row>
    <row r="216" spans="2:34" x14ac:dyDescent="0.3">
      <c r="B216" s="809"/>
      <c r="C216" s="809"/>
      <c r="Q216" s="1480"/>
      <c r="R216" s="818"/>
      <c r="S216" s="818"/>
      <c r="T216" s="818"/>
      <c r="U216" s="818"/>
      <c r="V216" s="818"/>
      <c r="W216" s="818"/>
      <c r="X216" s="818"/>
      <c r="Y216" s="818"/>
      <c r="Z216" s="818"/>
      <c r="AA216" s="818"/>
      <c r="AB216" s="818"/>
      <c r="AC216" s="818"/>
      <c r="AD216" s="818"/>
      <c r="AE216" s="818"/>
      <c r="AF216" s="818"/>
      <c r="AH216" s="1483"/>
    </row>
    <row r="217" spans="2:34" x14ac:dyDescent="0.3">
      <c r="B217" s="809"/>
      <c r="C217" s="809"/>
      <c r="Q217" s="1480"/>
      <c r="R217" s="2219"/>
      <c r="S217" s="2218"/>
      <c r="T217" s="2218"/>
      <c r="U217" s="2218"/>
      <c r="V217" s="2218"/>
      <c r="W217" s="2218"/>
      <c r="X217" s="2218"/>
      <c r="Y217" s="2218"/>
      <c r="Z217" s="2218"/>
      <c r="AA217" s="2218"/>
      <c r="AB217" s="2218"/>
      <c r="AC217" s="2218"/>
      <c r="AD217" s="2218"/>
      <c r="AE217" s="2218"/>
      <c r="AF217" s="2218"/>
      <c r="AG217" s="815"/>
      <c r="AH217" s="1483"/>
    </row>
    <row r="218" spans="2:34" x14ac:dyDescent="0.3">
      <c r="B218" s="809"/>
      <c r="C218" s="809"/>
      <c r="Q218" s="1480"/>
      <c r="R218" s="812"/>
      <c r="S218" s="812"/>
      <c r="T218" s="812"/>
      <c r="U218" s="812"/>
      <c r="V218" s="812"/>
      <c r="W218" s="812"/>
      <c r="X218" s="812"/>
      <c r="Y218" s="812"/>
      <c r="Z218" s="812"/>
      <c r="AA218" s="812"/>
      <c r="AB218" s="812"/>
      <c r="AC218" s="812"/>
      <c r="AD218" s="812"/>
      <c r="AE218" s="812"/>
      <c r="AF218" s="812"/>
      <c r="AG218" s="815"/>
      <c r="AH218" s="1483"/>
    </row>
    <row r="219" spans="2:34" x14ac:dyDescent="0.3">
      <c r="B219" s="809"/>
      <c r="C219" s="809"/>
      <c r="Q219" s="1480"/>
      <c r="R219" s="814"/>
      <c r="S219" s="814"/>
      <c r="T219" s="814"/>
      <c r="U219" s="814"/>
      <c r="V219" s="814"/>
      <c r="W219" s="814"/>
      <c r="X219" s="814"/>
      <c r="Y219" s="814"/>
      <c r="Z219" s="814"/>
      <c r="AA219" s="814"/>
      <c r="AB219" s="814"/>
      <c r="AC219" s="814"/>
      <c r="AD219" s="814"/>
      <c r="AE219" s="814"/>
      <c r="AF219" s="814"/>
      <c r="AG219" s="815"/>
      <c r="AH219" s="1486"/>
    </row>
    <row r="220" spans="2:34" x14ac:dyDescent="0.3">
      <c r="B220" s="809"/>
      <c r="C220" s="809"/>
      <c r="Q220" s="1480"/>
      <c r="R220" s="814"/>
      <c r="S220" s="814"/>
      <c r="T220" s="814"/>
      <c r="U220" s="814"/>
      <c r="V220" s="814"/>
      <c r="W220" s="814"/>
      <c r="X220" s="814"/>
      <c r="Y220" s="814"/>
      <c r="Z220" s="814"/>
      <c r="AA220" s="814"/>
      <c r="AB220" s="814"/>
      <c r="AC220" s="814"/>
      <c r="AD220" s="814"/>
      <c r="AE220" s="814"/>
      <c r="AF220" s="814"/>
      <c r="AG220" s="815"/>
      <c r="AH220" s="1486"/>
    </row>
    <row r="221" spans="2:34" ht="12.6" thickBot="1" x14ac:dyDescent="0.35">
      <c r="B221" s="809"/>
      <c r="C221" s="809"/>
      <c r="Q221" s="1484"/>
      <c r="R221" s="1485"/>
      <c r="S221" s="1485"/>
      <c r="T221" s="1485"/>
      <c r="U221" s="1485"/>
      <c r="V221" s="1485"/>
      <c r="W221" s="1485"/>
      <c r="X221" s="1485"/>
      <c r="Y221" s="1485"/>
      <c r="Z221" s="1485"/>
      <c r="AA221" s="1485"/>
      <c r="AB221" s="1485"/>
      <c r="AC221" s="1485"/>
      <c r="AD221" s="1485"/>
      <c r="AE221" s="1485"/>
      <c r="AF221" s="1485"/>
      <c r="AG221" s="1487"/>
      <c r="AH221" s="1488"/>
    </row>
    <row r="222" spans="2:34" x14ac:dyDescent="0.3">
      <c r="B222" s="809"/>
      <c r="C222" s="809"/>
      <c r="Q222" s="811"/>
    </row>
    <row r="223" spans="2:34" ht="12.6" thickBot="1" x14ac:dyDescent="0.35">
      <c r="B223" s="809"/>
      <c r="C223" s="809"/>
      <c r="Q223" s="811"/>
    </row>
    <row r="224" spans="2:34" x14ac:dyDescent="0.3">
      <c r="B224" s="809"/>
      <c r="C224" s="809"/>
      <c r="Q224" s="1476"/>
      <c r="R224" s="1477"/>
      <c r="S224" s="1477"/>
      <c r="T224" s="1477"/>
      <c r="U224" s="1477"/>
      <c r="V224" s="1477"/>
      <c r="W224" s="1477"/>
      <c r="X224" s="1477"/>
      <c r="Y224" s="1477"/>
      <c r="Z224" s="1477"/>
      <c r="AA224" s="1477"/>
      <c r="AB224" s="1477"/>
      <c r="AC224" s="1477"/>
      <c r="AD224" s="1477"/>
      <c r="AE224" s="1477"/>
      <c r="AF224" s="1477"/>
      <c r="AG224" s="1477"/>
      <c r="AH224" s="1478"/>
    </row>
    <row r="225" spans="2:34" x14ac:dyDescent="0.3">
      <c r="B225" s="809"/>
      <c r="C225" s="809"/>
      <c r="Q225" s="1480"/>
      <c r="R225" s="2219"/>
      <c r="S225" s="2218"/>
      <c r="T225" s="2218"/>
      <c r="U225" s="2218"/>
      <c r="V225" s="2218"/>
      <c r="W225" s="2218"/>
      <c r="X225" s="2218"/>
      <c r="Y225" s="2218"/>
      <c r="Z225" s="2218"/>
      <c r="AA225" s="2218"/>
      <c r="AB225" s="2218"/>
      <c r="AC225" s="2218"/>
      <c r="AD225" s="2218"/>
      <c r="AE225" s="2218"/>
      <c r="AF225" s="2218"/>
      <c r="AG225" s="811"/>
      <c r="AH225" s="1483"/>
    </row>
    <row r="226" spans="2:34" x14ac:dyDescent="0.3">
      <c r="B226" s="809"/>
      <c r="C226" s="809"/>
      <c r="Q226" s="1479"/>
      <c r="R226" s="812"/>
      <c r="S226" s="812"/>
      <c r="T226" s="812"/>
      <c r="U226" s="812"/>
      <c r="V226" s="812"/>
      <c r="W226" s="812"/>
      <c r="X226" s="812"/>
      <c r="Y226" s="812"/>
      <c r="Z226" s="812"/>
      <c r="AA226" s="812"/>
      <c r="AB226" s="812"/>
      <c r="AC226" s="812"/>
      <c r="AD226" s="812"/>
      <c r="AE226" s="812"/>
      <c r="AF226" s="812"/>
      <c r="AG226" s="812"/>
      <c r="AH226" s="1483"/>
    </row>
    <row r="227" spans="2:34" x14ac:dyDescent="0.3">
      <c r="B227" s="809"/>
      <c r="C227" s="809"/>
      <c r="Q227" s="1480"/>
      <c r="R227" s="814"/>
      <c r="S227" s="814"/>
      <c r="T227" s="814"/>
      <c r="U227" s="814"/>
      <c r="V227" s="814"/>
      <c r="W227" s="814"/>
      <c r="X227" s="814"/>
      <c r="Y227" s="814"/>
      <c r="Z227" s="814"/>
      <c r="AA227" s="814"/>
      <c r="AB227" s="814"/>
      <c r="AC227" s="814"/>
      <c r="AD227" s="814"/>
      <c r="AE227" s="814"/>
      <c r="AF227" s="814"/>
      <c r="AG227" s="815"/>
      <c r="AH227" s="1486"/>
    </row>
    <row r="228" spans="2:34" x14ac:dyDescent="0.3">
      <c r="B228" s="809"/>
      <c r="C228" s="809"/>
      <c r="Q228" s="1480"/>
      <c r="R228" s="814"/>
      <c r="S228" s="814"/>
      <c r="T228" s="814"/>
      <c r="U228" s="814"/>
      <c r="V228" s="814"/>
      <c r="W228" s="814"/>
      <c r="X228" s="814"/>
      <c r="Y228" s="814"/>
      <c r="Z228" s="814"/>
      <c r="AA228" s="814"/>
      <c r="AB228" s="814"/>
      <c r="AC228" s="814"/>
      <c r="AD228" s="814"/>
      <c r="AE228" s="814"/>
      <c r="AF228" s="814"/>
      <c r="AG228" s="815"/>
      <c r="AH228" s="1486"/>
    </row>
    <row r="229" spans="2:34" x14ac:dyDescent="0.3">
      <c r="B229" s="809"/>
      <c r="C229" s="809"/>
      <c r="Q229" s="1480"/>
      <c r="R229" s="814"/>
      <c r="S229" s="814"/>
      <c r="T229" s="814"/>
      <c r="U229" s="814"/>
      <c r="V229" s="814"/>
      <c r="W229" s="814"/>
      <c r="X229" s="814"/>
      <c r="Y229" s="814"/>
      <c r="Z229" s="814"/>
      <c r="AA229" s="814"/>
      <c r="AB229" s="814"/>
      <c r="AC229" s="814"/>
      <c r="AD229" s="814"/>
      <c r="AE229" s="814"/>
      <c r="AF229" s="814"/>
      <c r="AG229" s="815"/>
      <c r="AH229" s="1486"/>
    </row>
    <row r="230" spans="2:34" x14ac:dyDescent="0.3">
      <c r="B230" s="809"/>
      <c r="C230" s="809"/>
      <c r="Q230" s="1480"/>
      <c r="R230" s="814"/>
      <c r="S230" s="814"/>
      <c r="T230" s="814"/>
      <c r="U230" s="814"/>
      <c r="V230" s="814"/>
      <c r="W230" s="814"/>
      <c r="X230" s="814"/>
      <c r="Y230" s="814"/>
      <c r="Z230" s="814"/>
      <c r="AA230" s="814"/>
      <c r="AB230" s="814"/>
      <c r="AC230" s="814"/>
      <c r="AD230" s="814"/>
      <c r="AE230" s="814"/>
      <c r="AF230" s="814"/>
      <c r="AG230" s="815"/>
      <c r="AH230" s="1486"/>
    </row>
    <row r="231" spans="2:34" x14ac:dyDescent="0.3">
      <c r="B231" s="809"/>
      <c r="C231" s="809"/>
      <c r="Q231" s="1480"/>
      <c r="R231" s="814"/>
      <c r="S231" s="814"/>
      <c r="T231" s="814"/>
      <c r="U231" s="814"/>
      <c r="V231" s="814"/>
      <c r="W231" s="814"/>
      <c r="X231" s="814"/>
      <c r="Y231" s="814"/>
      <c r="Z231" s="814"/>
      <c r="AA231" s="814"/>
      <c r="AB231" s="814"/>
      <c r="AC231" s="814"/>
      <c r="AD231" s="814"/>
      <c r="AE231" s="814"/>
      <c r="AF231" s="814"/>
      <c r="AG231" s="815"/>
      <c r="AH231" s="1486"/>
    </row>
    <row r="232" spans="2:34" x14ac:dyDescent="0.3">
      <c r="B232" s="809"/>
      <c r="C232" s="809"/>
      <c r="Q232" s="1480"/>
      <c r="R232" s="814"/>
      <c r="S232" s="814"/>
      <c r="T232" s="814"/>
      <c r="U232" s="814"/>
      <c r="V232" s="814"/>
      <c r="W232" s="814"/>
      <c r="X232" s="814"/>
      <c r="Y232" s="814"/>
      <c r="Z232" s="814"/>
      <c r="AA232" s="814"/>
      <c r="AB232" s="814"/>
      <c r="AC232" s="814"/>
      <c r="AD232" s="814"/>
      <c r="AE232" s="814"/>
      <c r="AF232" s="814"/>
      <c r="AG232" s="815"/>
      <c r="AH232" s="1486"/>
    </row>
    <row r="233" spans="2:34" x14ac:dyDescent="0.3">
      <c r="B233" s="809"/>
      <c r="C233" s="809"/>
      <c r="Q233" s="1480"/>
      <c r="R233" s="814"/>
      <c r="S233" s="814"/>
      <c r="T233" s="814"/>
      <c r="U233" s="814"/>
      <c r="V233" s="814"/>
      <c r="W233" s="814"/>
      <c r="X233" s="814"/>
      <c r="Y233" s="814"/>
      <c r="Z233" s="814"/>
      <c r="AA233" s="814"/>
      <c r="AB233" s="814"/>
      <c r="AC233" s="814"/>
      <c r="AD233" s="814"/>
      <c r="AE233" s="814"/>
      <c r="AF233" s="814"/>
      <c r="AG233" s="815"/>
      <c r="AH233" s="1486"/>
    </row>
    <row r="234" spans="2:34" x14ac:dyDescent="0.3">
      <c r="B234" s="809"/>
      <c r="C234" s="809"/>
      <c r="Q234" s="1481"/>
      <c r="R234" s="815"/>
      <c r="S234" s="815"/>
      <c r="T234" s="815"/>
      <c r="U234" s="815"/>
      <c r="V234" s="815"/>
      <c r="W234" s="815"/>
      <c r="X234" s="815"/>
      <c r="Y234" s="815"/>
      <c r="Z234" s="815"/>
      <c r="AA234" s="815"/>
      <c r="AB234" s="815"/>
      <c r="AC234" s="815"/>
      <c r="AD234" s="815"/>
      <c r="AE234" s="815"/>
      <c r="AF234" s="815"/>
      <c r="AG234" s="815"/>
      <c r="AH234" s="1486"/>
    </row>
    <row r="235" spans="2:34" x14ac:dyDescent="0.3">
      <c r="B235" s="809"/>
      <c r="C235" s="809"/>
      <c r="Q235" s="1482"/>
      <c r="AH235" s="1483"/>
    </row>
    <row r="236" spans="2:34" x14ac:dyDescent="0.3">
      <c r="B236" s="809"/>
      <c r="C236" s="809"/>
      <c r="Q236" s="1480"/>
      <c r="R236" s="2219"/>
      <c r="S236" s="2218"/>
      <c r="T236" s="2218"/>
      <c r="U236" s="2218"/>
      <c r="V236" s="2218"/>
      <c r="W236" s="2218"/>
      <c r="X236" s="2218"/>
      <c r="Y236" s="2218"/>
      <c r="Z236" s="2218"/>
      <c r="AA236" s="2218"/>
      <c r="AB236" s="2218"/>
      <c r="AC236" s="2218"/>
      <c r="AD236" s="2218"/>
      <c r="AE236" s="2218"/>
      <c r="AF236" s="2218"/>
      <c r="AG236" s="811"/>
      <c r="AH236" s="1483"/>
    </row>
    <row r="237" spans="2:34" x14ac:dyDescent="0.3">
      <c r="B237" s="809"/>
      <c r="C237" s="809"/>
      <c r="Q237" s="1479"/>
      <c r="R237" s="812"/>
      <c r="S237" s="812"/>
      <c r="T237" s="812"/>
      <c r="U237" s="812"/>
      <c r="V237" s="812"/>
      <c r="W237" s="812"/>
      <c r="X237" s="812"/>
      <c r="Y237" s="812"/>
      <c r="Z237" s="812"/>
      <c r="AA237" s="812"/>
      <c r="AB237" s="812"/>
      <c r="AC237" s="812"/>
      <c r="AD237" s="812"/>
      <c r="AE237" s="812"/>
      <c r="AF237" s="812"/>
      <c r="AG237" s="812"/>
      <c r="AH237" s="1483"/>
    </row>
    <row r="238" spans="2:34" x14ac:dyDescent="0.3">
      <c r="B238" s="809"/>
      <c r="C238" s="809"/>
      <c r="Q238" s="1480"/>
      <c r="R238" s="814"/>
      <c r="S238" s="814"/>
      <c r="T238" s="814"/>
      <c r="U238" s="814"/>
      <c r="V238" s="814"/>
      <c r="W238" s="814"/>
      <c r="X238" s="814"/>
      <c r="Y238" s="814"/>
      <c r="Z238" s="814"/>
      <c r="AA238" s="814"/>
      <c r="AB238" s="814"/>
      <c r="AC238" s="814"/>
      <c r="AD238" s="814"/>
      <c r="AE238" s="814"/>
      <c r="AF238" s="814"/>
      <c r="AG238" s="815"/>
      <c r="AH238" s="1486"/>
    </row>
    <row r="239" spans="2:34" x14ac:dyDescent="0.3">
      <c r="B239" s="809"/>
      <c r="C239" s="809"/>
      <c r="Q239" s="1480"/>
      <c r="R239" s="814"/>
      <c r="S239" s="814"/>
      <c r="T239" s="814"/>
      <c r="U239" s="814"/>
      <c r="V239" s="814"/>
      <c r="W239" s="814"/>
      <c r="X239" s="814"/>
      <c r="Y239" s="814"/>
      <c r="Z239" s="814"/>
      <c r="AA239" s="814"/>
      <c r="AB239" s="814"/>
      <c r="AC239" s="814"/>
      <c r="AD239" s="814"/>
      <c r="AE239" s="814"/>
      <c r="AF239" s="814"/>
      <c r="AG239" s="815"/>
      <c r="AH239" s="1486"/>
    </row>
    <row r="240" spans="2:34" x14ac:dyDescent="0.3">
      <c r="B240" s="809"/>
      <c r="C240" s="809"/>
      <c r="Q240" s="1480"/>
      <c r="R240" s="814"/>
      <c r="S240" s="814"/>
      <c r="T240" s="814"/>
      <c r="U240" s="814"/>
      <c r="V240" s="814"/>
      <c r="W240" s="814"/>
      <c r="X240" s="814"/>
      <c r="Y240" s="814"/>
      <c r="Z240" s="814"/>
      <c r="AA240" s="814"/>
      <c r="AB240" s="814"/>
      <c r="AC240" s="814"/>
      <c r="AD240" s="814"/>
      <c r="AE240" s="814"/>
      <c r="AF240" s="814"/>
      <c r="AG240" s="815"/>
      <c r="AH240" s="1486"/>
    </row>
    <row r="241" spans="2:34" x14ac:dyDescent="0.3">
      <c r="B241" s="809"/>
      <c r="C241" s="809"/>
      <c r="Q241" s="1480"/>
      <c r="R241" s="814"/>
      <c r="S241" s="814"/>
      <c r="T241" s="814"/>
      <c r="U241" s="814"/>
      <c r="V241" s="814"/>
      <c r="W241" s="814"/>
      <c r="X241" s="814"/>
      <c r="Y241" s="814"/>
      <c r="Z241" s="814"/>
      <c r="AA241" s="814"/>
      <c r="AB241" s="814"/>
      <c r="AC241" s="814"/>
      <c r="AD241" s="814"/>
      <c r="AE241" s="814"/>
      <c r="AF241" s="814"/>
      <c r="AG241" s="815"/>
      <c r="AH241" s="1486"/>
    </row>
    <row r="242" spans="2:34" x14ac:dyDescent="0.3">
      <c r="B242" s="809"/>
      <c r="C242" s="809"/>
      <c r="Q242" s="1480"/>
      <c r="R242" s="814"/>
      <c r="S242" s="814"/>
      <c r="T242" s="814"/>
      <c r="U242" s="814"/>
      <c r="V242" s="814"/>
      <c r="W242" s="814"/>
      <c r="X242" s="814"/>
      <c r="Y242" s="814"/>
      <c r="Z242" s="814"/>
      <c r="AA242" s="814"/>
      <c r="AB242" s="814"/>
      <c r="AC242" s="814"/>
      <c r="AD242" s="814"/>
      <c r="AE242" s="814"/>
      <c r="AF242" s="814"/>
      <c r="AG242" s="815"/>
      <c r="AH242" s="1486"/>
    </row>
    <row r="243" spans="2:34" x14ac:dyDescent="0.3">
      <c r="B243" s="809"/>
      <c r="C243" s="809"/>
      <c r="Q243" s="1480"/>
      <c r="R243" s="814"/>
      <c r="S243" s="814"/>
      <c r="T243" s="814"/>
      <c r="U243" s="814"/>
      <c r="V243" s="814"/>
      <c r="W243" s="814"/>
      <c r="X243" s="814"/>
      <c r="Y243" s="814"/>
      <c r="Z243" s="814"/>
      <c r="AA243" s="814"/>
      <c r="AB243" s="814"/>
      <c r="AC243" s="814"/>
      <c r="AD243" s="814"/>
      <c r="AE243" s="814"/>
      <c r="AF243" s="814"/>
      <c r="AG243" s="815"/>
      <c r="AH243" s="1486"/>
    </row>
    <row r="244" spans="2:34" x14ac:dyDescent="0.3">
      <c r="B244" s="809"/>
      <c r="C244" s="809"/>
      <c r="Q244" s="1480"/>
      <c r="R244" s="814"/>
      <c r="S244" s="814"/>
      <c r="T244" s="814"/>
      <c r="U244" s="814"/>
      <c r="V244" s="814"/>
      <c r="W244" s="814"/>
      <c r="X244" s="814"/>
      <c r="Y244" s="814"/>
      <c r="Z244" s="814"/>
      <c r="AA244" s="814"/>
      <c r="AB244" s="814"/>
      <c r="AC244" s="814"/>
      <c r="AD244" s="814"/>
      <c r="AE244" s="814"/>
      <c r="AF244" s="814"/>
      <c r="AG244" s="815"/>
      <c r="AH244" s="1486"/>
    </row>
    <row r="245" spans="2:34" x14ac:dyDescent="0.3">
      <c r="B245" s="809"/>
      <c r="C245" s="809"/>
      <c r="Q245" s="1480"/>
      <c r="R245" s="814"/>
      <c r="S245" s="814"/>
      <c r="T245" s="814"/>
      <c r="U245" s="814"/>
      <c r="V245" s="814"/>
      <c r="W245" s="814"/>
      <c r="X245" s="814"/>
      <c r="Y245" s="814"/>
      <c r="Z245" s="814"/>
      <c r="AA245" s="814"/>
      <c r="AB245" s="814"/>
      <c r="AC245" s="814"/>
      <c r="AD245" s="814"/>
      <c r="AE245" s="814"/>
      <c r="AF245" s="814"/>
      <c r="AG245" s="815"/>
      <c r="AH245" s="1486"/>
    </row>
    <row r="246" spans="2:34" x14ac:dyDescent="0.3">
      <c r="B246" s="809"/>
      <c r="C246" s="809"/>
      <c r="Q246" s="1480"/>
      <c r="R246" s="2219"/>
      <c r="S246" s="2218"/>
      <c r="T246" s="2218"/>
      <c r="U246" s="2218"/>
      <c r="V246" s="2218"/>
      <c r="W246" s="2218"/>
      <c r="X246" s="2218"/>
      <c r="Y246" s="2218"/>
      <c r="Z246" s="2218"/>
      <c r="AA246" s="2218"/>
      <c r="AB246" s="2218"/>
      <c r="AC246" s="2218"/>
      <c r="AD246" s="2218"/>
      <c r="AE246" s="2218"/>
      <c r="AF246" s="2218"/>
      <c r="AG246" s="811"/>
      <c r="AH246" s="1483"/>
    </row>
    <row r="247" spans="2:34" x14ac:dyDescent="0.3">
      <c r="B247" s="809"/>
      <c r="C247" s="809"/>
      <c r="Q247" s="1479"/>
      <c r="R247" s="812"/>
      <c r="S247" s="812"/>
      <c r="T247" s="812"/>
      <c r="U247" s="812"/>
      <c r="V247" s="812"/>
      <c r="W247" s="812"/>
      <c r="X247" s="812"/>
      <c r="Y247" s="812"/>
      <c r="Z247" s="812"/>
      <c r="AA247" s="812"/>
      <c r="AB247" s="812"/>
      <c r="AC247" s="812"/>
      <c r="AD247" s="812"/>
      <c r="AE247" s="812"/>
      <c r="AF247" s="812"/>
      <c r="AG247" s="812"/>
      <c r="AH247" s="1483"/>
    </row>
    <row r="248" spans="2:34" x14ac:dyDescent="0.3">
      <c r="B248" s="809"/>
      <c r="C248" s="809"/>
      <c r="Q248" s="1480"/>
      <c r="R248" s="816"/>
      <c r="S248" s="816"/>
      <c r="T248" s="816"/>
      <c r="U248" s="816"/>
      <c r="V248" s="816"/>
      <c r="W248" s="816"/>
      <c r="X248" s="816"/>
      <c r="Y248" s="816"/>
      <c r="Z248" s="816"/>
      <c r="AA248" s="816"/>
      <c r="AB248" s="816"/>
      <c r="AC248" s="816"/>
      <c r="AD248" s="816"/>
      <c r="AE248" s="816"/>
      <c r="AF248" s="816"/>
      <c r="AG248" s="817"/>
      <c r="AH248" s="1486"/>
    </row>
    <row r="249" spans="2:34" x14ac:dyDescent="0.3">
      <c r="B249" s="809"/>
      <c r="C249" s="809"/>
      <c r="Q249" s="1480"/>
      <c r="R249" s="816"/>
      <c r="S249" s="816"/>
      <c r="T249" s="816"/>
      <c r="U249" s="816"/>
      <c r="V249" s="816"/>
      <c r="W249" s="816"/>
      <c r="X249" s="816"/>
      <c r="Y249" s="816"/>
      <c r="Z249" s="816"/>
      <c r="AA249" s="816"/>
      <c r="AB249" s="816"/>
      <c r="AC249" s="816"/>
      <c r="AD249" s="816"/>
      <c r="AE249" s="816"/>
      <c r="AF249" s="816"/>
      <c r="AG249" s="817"/>
      <c r="AH249" s="1486"/>
    </row>
    <row r="250" spans="2:34" x14ac:dyDescent="0.3">
      <c r="B250" s="809"/>
      <c r="C250" s="809"/>
      <c r="Q250" s="1480"/>
      <c r="R250" s="816"/>
      <c r="S250" s="816"/>
      <c r="T250" s="816"/>
      <c r="U250" s="816"/>
      <c r="V250" s="816"/>
      <c r="W250" s="816"/>
      <c r="X250" s="816"/>
      <c r="Y250" s="816"/>
      <c r="Z250" s="816"/>
      <c r="AA250" s="816"/>
      <c r="AB250" s="816"/>
      <c r="AC250" s="816"/>
      <c r="AD250" s="816"/>
      <c r="AE250" s="816"/>
      <c r="AF250" s="816"/>
      <c r="AG250" s="817"/>
      <c r="AH250" s="1486"/>
    </row>
    <row r="251" spans="2:34" x14ac:dyDescent="0.3">
      <c r="B251" s="809"/>
      <c r="C251" s="809"/>
      <c r="Q251" s="1480"/>
      <c r="R251" s="816"/>
      <c r="S251" s="816"/>
      <c r="T251" s="816"/>
      <c r="U251" s="816"/>
      <c r="V251" s="816"/>
      <c r="W251" s="816"/>
      <c r="X251" s="816"/>
      <c r="Y251" s="816"/>
      <c r="Z251" s="816"/>
      <c r="AA251" s="816"/>
      <c r="AB251" s="816"/>
      <c r="AC251" s="816"/>
      <c r="AD251" s="816"/>
      <c r="AE251" s="816"/>
      <c r="AF251" s="816"/>
      <c r="AG251" s="817"/>
      <c r="AH251" s="1486"/>
    </row>
    <row r="252" spans="2:34" x14ac:dyDescent="0.3">
      <c r="B252" s="809"/>
      <c r="C252" s="809"/>
      <c r="Q252" s="1480"/>
      <c r="R252" s="816"/>
      <c r="S252" s="816"/>
      <c r="T252" s="816"/>
      <c r="U252" s="816"/>
      <c r="V252" s="816"/>
      <c r="W252" s="816"/>
      <c r="X252" s="816"/>
      <c r="Y252" s="816"/>
      <c r="Z252" s="816"/>
      <c r="AA252" s="816"/>
      <c r="AB252" s="816"/>
      <c r="AC252" s="816"/>
      <c r="AD252" s="816"/>
      <c r="AE252" s="816"/>
      <c r="AF252" s="816"/>
      <c r="AG252" s="817"/>
      <c r="AH252" s="1486"/>
    </row>
    <row r="253" spans="2:34" x14ac:dyDescent="0.3">
      <c r="B253" s="809"/>
      <c r="C253" s="809"/>
      <c r="Q253" s="1480"/>
      <c r="R253" s="816"/>
      <c r="S253" s="816"/>
      <c r="T253" s="816"/>
      <c r="U253" s="816"/>
      <c r="V253" s="816"/>
      <c r="W253" s="816"/>
      <c r="X253" s="816"/>
      <c r="Y253" s="816"/>
      <c r="Z253" s="816"/>
      <c r="AA253" s="816"/>
      <c r="AB253" s="816"/>
      <c r="AC253" s="816"/>
      <c r="AD253" s="816"/>
      <c r="AE253" s="816"/>
      <c r="AF253" s="816"/>
      <c r="AG253" s="817"/>
      <c r="AH253" s="1486"/>
    </row>
    <row r="254" spans="2:34" x14ac:dyDescent="0.3">
      <c r="B254" s="809"/>
      <c r="C254" s="809"/>
      <c r="Q254" s="1480"/>
      <c r="R254" s="816"/>
      <c r="S254" s="816"/>
      <c r="T254" s="816"/>
      <c r="U254" s="816"/>
      <c r="V254" s="816"/>
      <c r="W254" s="816"/>
      <c r="X254" s="816"/>
      <c r="Y254" s="816"/>
      <c r="Z254" s="816"/>
      <c r="AA254" s="816"/>
      <c r="AB254" s="816"/>
      <c r="AC254" s="816"/>
      <c r="AD254" s="816"/>
      <c r="AE254" s="816"/>
      <c r="AF254" s="816"/>
      <c r="AG254" s="817"/>
      <c r="AH254" s="1486"/>
    </row>
    <row r="255" spans="2:34" x14ac:dyDescent="0.3">
      <c r="B255" s="809"/>
      <c r="C255" s="809"/>
      <c r="Q255" s="1481"/>
      <c r="R255" s="815"/>
      <c r="S255" s="815"/>
      <c r="T255" s="815"/>
      <c r="U255" s="815"/>
      <c r="V255" s="815"/>
      <c r="W255" s="815"/>
      <c r="X255" s="815"/>
      <c r="Y255" s="815"/>
      <c r="Z255" s="815"/>
      <c r="AA255" s="815"/>
      <c r="AB255" s="815"/>
      <c r="AC255" s="815"/>
      <c r="AD255" s="815"/>
      <c r="AE255" s="815"/>
      <c r="AF255" s="815"/>
      <c r="AG255" s="815"/>
      <c r="AH255" s="1486"/>
    </row>
    <row r="256" spans="2:34" x14ac:dyDescent="0.3">
      <c r="B256" s="809"/>
      <c r="C256" s="809"/>
      <c r="Q256" s="1482"/>
      <c r="AH256" s="1483"/>
    </row>
    <row r="257" spans="2:34" x14ac:dyDescent="0.3">
      <c r="B257" s="809"/>
      <c r="C257" s="809"/>
      <c r="Q257" s="1480"/>
      <c r="R257" s="2219"/>
      <c r="S257" s="2218"/>
      <c r="T257" s="2218"/>
      <c r="U257" s="2218"/>
      <c r="V257" s="2218"/>
      <c r="W257" s="2218"/>
      <c r="X257" s="2218"/>
      <c r="Y257" s="2218"/>
      <c r="Z257" s="2218"/>
      <c r="AA257" s="2218"/>
      <c r="AB257" s="2218"/>
      <c r="AC257" s="2218"/>
      <c r="AD257" s="2218"/>
      <c r="AE257" s="2218"/>
      <c r="AF257" s="2218"/>
      <c r="AG257" s="811"/>
      <c r="AH257" s="1483"/>
    </row>
    <row r="258" spans="2:34" x14ac:dyDescent="0.3">
      <c r="B258" s="809"/>
      <c r="C258" s="809"/>
      <c r="Q258" s="1479"/>
      <c r="R258" s="812"/>
      <c r="S258" s="812"/>
      <c r="T258" s="812"/>
      <c r="U258" s="812"/>
      <c r="V258" s="812"/>
      <c r="W258" s="812"/>
      <c r="X258" s="812"/>
      <c r="Y258" s="812"/>
      <c r="Z258" s="812"/>
      <c r="AA258" s="812"/>
      <c r="AB258" s="812"/>
      <c r="AC258" s="812"/>
      <c r="AD258" s="812"/>
      <c r="AE258" s="812"/>
      <c r="AF258" s="812"/>
      <c r="AG258" s="812"/>
      <c r="AH258" s="1483"/>
    </row>
    <row r="259" spans="2:34" x14ac:dyDescent="0.3">
      <c r="B259" s="809"/>
      <c r="C259" s="809"/>
      <c r="Q259" s="1480"/>
      <c r="R259" s="814"/>
      <c r="S259" s="814"/>
      <c r="T259" s="814"/>
      <c r="U259" s="814"/>
      <c r="V259" s="814"/>
      <c r="W259" s="814"/>
      <c r="X259" s="814"/>
      <c r="Y259" s="814"/>
      <c r="Z259" s="814"/>
      <c r="AA259" s="814"/>
      <c r="AB259" s="814"/>
      <c r="AC259" s="814"/>
      <c r="AD259" s="814"/>
      <c r="AE259" s="814"/>
      <c r="AF259" s="814"/>
      <c r="AG259" s="815"/>
      <c r="AH259" s="1486"/>
    </row>
    <row r="260" spans="2:34" x14ac:dyDescent="0.3">
      <c r="B260" s="809"/>
      <c r="C260" s="809"/>
      <c r="Q260" s="1480"/>
      <c r="R260" s="814"/>
      <c r="S260" s="814"/>
      <c r="T260" s="814"/>
      <c r="U260" s="814"/>
      <c r="V260" s="814"/>
      <c r="W260" s="814"/>
      <c r="X260" s="814"/>
      <c r="Y260" s="814"/>
      <c r="Z260" s="814"/>
      <c r="AA260" s="814"/>
      <c r="AB260" s="814"/>
      <c r="AC260" s="814"/>
      <c r="AD260" s="814"/>
      <c r="AE260" s="814"/>
      <c r="AF260" s="814"/>
      <c r="AG260" s="815"/>
      <c r="AH260" s="1486"/>
    </row>
    <row r="261" spans="2:34" x14ac:dyDescent="0.3">
      <c r="B261" s="809"/>
      <c r="C261" s="809"/>
      <c r="Q261" s="1480"/>
      <c r="R261" s="814"/>
      <c r="S261" s="814"/>
      <c r="T261" s="814"/>
      <c r="U261" s="814"/>
      <c r="V261" s="814"/>
      <c r="W261" s="814"/>
      <c r="X261" s="814"/>
      <c r="Y261" s="814"/>
      <c r="Z261" s="814"/>
      <c r="AA261" s="814"/>
      <c r="AB261" s="814"/>
      <c r="AC261" s="814"/>
      <c r="AD261" s="814"/>
      <c r="AE261" s="814"/>
      <c r="AF261" s="814"/>
      <c r="AG261" s="815"/>
      <c r="AH261" s="1486"/>
    </row>
    <row r="262" spans="2:34" x14ac:dyDescent="0.3">
      <c r="B262" s="809"/>
      <c r="C262" s="809"/>
      <c r="Q262" s="1480"/>
      <c r="R262" s="814"/>
      <c r="S262" s="814"/>
      <c r="T262" s="814"/>
      <c r="U262" s="814"/>
      <c r="V262" s="814"/>
      <c r="W262" s="814"/>
      <c r="X262" s="814"/>
      <c r="Y262" s="814"/>
      <c r="Z262" s="814"/>
      <c r="AA262" s="814"/>
      <c r="AB262" s="814"/>
      <c r="AC262" s="814"/>
      <c r="AD262" s="814"/>
      <c r="AE262" s="814"/>
      <c r="AF262" s="814"/>
      <c r="AG262" s="815"/>
      <c r="AH262" s="1486"/>
    </row>
    <row r="263" spans="2:34" x14ac:dyDescent="0.3">
      <c r="B263" s="809"/>
      <c r="C263" s="809"/>
      <c r="Q263" s="1480"/>
      <c r="R263" s="814"/>
      <c r="S263" s="814"/>
      <c r="T263" s="814"/>
      <c r="U263" s="814"/>
      <c r="V263" s="814"/>
      <c r="W263" s="814"/>
      <c r="X263" s="814"/>
      <c r="Y263" s="814"/>
      <c r="Z263" s="814"/>
      <c r="AA263" s="814"/>
      <c r="AB263" s="814"/>
      <c r="AC263" s="814"/>
      <c r="AD263" s="814"/>
      <c r="AE263" s="814"/>
      <c r="AF263" s="814"/>
      <c r="AG263" s="815"/>
      <c r="AH263" s="1486"/>
    </row>
    <row r="264" spans="2:34" x14ac:dyDescent="0.3">
      <c r="B264" s="809"/>
      <c r="C264" s="809"/>
      <c r="Q264" s="1480"/>
      <c r="R264" s="814"/>
      <c r="S264" s="814"/>
      <c r="T264" s="814"/>
      <c r="U264" s="814"/>
      <c r="V264" s="814"/>
      <c r="W264" s="814"/>
      <c r="X264" s="814"/>
      <c r="Y264" s="814"/>
      <c r="Z264" s="814"/>
      <c r="AA264" s="814"/>
      <c r="AB264" s="814"/>
      <c r="AC264" s="814"/>
      <c r="AD264" s="814"/>
      <c r="AE264" s="814"/>
      <c r="AF264" s="814"/>
      <c r="AG264" s="815"/>
      <c r="AH264" s="1486"/>
    </row>
    <row r="265" spans="2:34" x14ac:dyDescent="0.3">
      <c r="B265" s="809"/>
      <c r="C265" s="809"/>
      <c r="Q265" s="1480"/>
      <c r="R265" s="814"/>
      <c r="S265" s="814"/>
      <c r="T265" s="814"/>
      <c r="U265" s="814"/>
      <c r="V265" s="814"/>
      <c r="W265" s="814"/>
      <c r="X265" s="814"/>
      <c r="Y265" s="814"/>
      <c r="Z265" s="814"/>
      <c r="AA265" s="814"/>
      <c r="AB265" s="814"/>
      <c r="AC265" s="814"/>
      <c r="AD265" s="814"/>
      <c r="AE265" s="814"/>
      <c r="AF265" s="814"/>
      <c r="AG265" s="815"/>
      <c r="AH265" s="1486"/>
    </row>
    <row r="266" spans="2:34" x14ac:dyDescent="0.3">
      <c r="B266" s="809"/>
      <c r="C266" s="809"/>
      <c r="Q266" s="1481"/>
      <c r="R266" s="815"/>
      <c r="S266" s="815"/>
      <c r="T266" s="815"/>
      <c r="U266" s="815"/>
      <c r="V266" s="815"/>
      <c r="W266" s="815"/>
      <c r="X266" s="815"/>
      <c r="Y266" s="815"/>
      <c r="Z266" s="815"/>
      <c r="AA266" s="815"/>
      <c r="AB266" s="815"/>
      <c r="AC266" s="815"/>
      <c r="AD266" s="815"/>
      <c r="AE266" s="815"/>
      <c r="AF266" s="815"/>
      <c r="AG266" s="815"/>
      <c r="AH266" s="1486"/>
    </row>
    <row r="267" spans="2:34" x14ac:dyDescent="0.3">
      <c r="B267" s="809"/>
      <c r="C267" s="809"/>
      <c r="Q267" s="1482"/>
      <c r="AH267" s="1483"/>
    </row>
    <row r="268" spans="2:34" x14ac:dyDescent="0.3">
      <c r="B268" s="809"/>
      <c r="C268" s="809"/>
      <c r="Q268" s="1480"/>
      <c r="R268" s="2219"/>
      <c r="S268" s="2218"/>
      <c r="T268" s="2218"/>
      <c r="U268" s="2218"/>
      <c r="V268" s="2218"/>
      <c r="W268" s="2218"/>
      <c r="X268" s="2218"/>
      <c r="Y268" s="2218"/>
      <c r="Z268" s="2218"/>
      <c r="AA268" s="2218"/>
      <c r="AB268" s="2218"/>
      <c r="AC268" s="2218"/>
      <c r="AD268" s="2218"/>
      <c r="AE268" s="2218"/>
      <c r="AF268" s="2218"/>
      <c r="AG268" s="811"/>
      <c r="AH268" s="1483"/>
    </row>
    <row r="269" spans="2:34" x14ac:dyDescent="0.3">
      <c r="B269" s="809"/>
      <c r="C269" s="809"/>
      <c r="Q269" s="1479"/>
      <c r="R269" s="812"/>
      <c r="S269" s="812"/>
      <c r="T269" s="812"/>
      <c r="U269" s="812"/>
      <c r="V269" s="812"/>
      <c r="W269" s="812"/>
      <c r="X269" s="812"/>
      <c r="Y269" s="812"/>
      <c r="Z269" s="812"/>
      <c r="AA269" s="812"/>
      <c r="AB269" s="812"/>
      <c r="AC269" s="812"/>
      <c r="AD269" s="812"/>
      <c r="AE269" s="812"/>
      <c r="AF269" s="812"/>
      <c r="AG269" s="812"/>
      <c r="AH269" s="1483"/>
    </row>
    <row r="270" spans="2:34" x14ac:dyDescent="0.3">
      <c r="B270" s="809"/>
      <c r="C270" s="809"/>
      <c r="Q270" s="1480"/>
      <c r="R270" s="814"/>
      <c r="S270" s="814"/>
      <c r="T270" s="814"/>
      <c r="U270" s="814"/>
      <c r="V270" s="814"/>
      <c r="W270" s="814"/>
      <c r="X270" s="814"/>
      <c r="Y270" s="814"/>
      <c r="Z270" s="814"/>
      <c r="AA270" s="814"/>
      <c r="AB270" s="814"/>
      <c r="AC270" s="814"/>
      <c r="AD270" s="814"/>
      <c r="AE270" s="814"/>
      <c r="AF270" s="814"/>
      <c r="AG270" s="815"/>
      <c r="AH270" s="1486"/>
    </row>
    <row r="271" spans="2:34" x14ac:dyDescent="0.3">
      <c r="B271" s="809"/>
      <c r="C271" s="809"/>
      <c r="Q271" s="1480"/>
      <c r="R271" s="814"/>
      <c r="S271" s="814"/>
      <c r="T271" s="814"/>
      <c r="U271" s="814"/>
      <c r="V271" s="814"/>
      <c r="W271" s="814"/>
      <c r="X271" s="814"/>
      <c r="Y271" s="814"/>
      <c r="Z271" s="814"/>
      <c r="AA271" s="814"/>
      <c r="AB271" s="814"/>
      <c r="AC271" s="814"/>
      <c r="AD271" s="814"/>
      <c r="AE271" s="814"/>
      <c r="AF271" s="814"/>
      <c r="AG271" s="815"/>
      <c r="AH271" s="1486"/>
    </row>
    <row r="272" spans="2:34" x14ac:dyDescent="0.3">
      <c r="B272" s="809"/>
      <c r="C272" s="809"/>
      <c r="Q272" s="1480"/>
      <c r="R272" s="815"/>
      <c r="S272" s="815"/>
      <c r="T272" s="815"/>
      <c r="U272" s="815"/>
      <c r="V272" s="815"/>
      <c r="W272" s="815"/>
      <c r="X272" s="815"/>
      <c r="Y272" s="815"/>
      <c r="Z272" s="815"/>
      <c r="AA272" s="815"/>
      <c r="AB272" s="815"/>
      <c r="AC272" s="815"/>
      <c r="AD272" s="815"/>
      <c r="AE272" s="815"/>
      <c r="AF272" s="815"/>
      <c r="AG272" s="815"/>
      <c r="AH272" s="1483"/>
    </row>
    <row r="273" spans="2:34" x14ac:dyDescent="0.3">
      <c r="B273" s="809"/>
      <c r="C273" s="809"/>
      <c r="Q273" s="1480"/>
      <c r="R273" s="818"/>
      <c r="S273" s="818"/>
      <c r="T273" s="818"/>
      <c r="U273" s="818"/>
      <c r="V273" s="818"/>
      <c r="W273" s="818"/>
      <c r="X273" s="818"/>
      <c r="Y273" s="818"/>
      <c r="Z273" s="818"/>
      <c r="AA273" s="818"/>
      <c r="AB273" s="818"/>
      <c r="AC273" s="818"/>
      <c r="AD273" s="818"/>
      <c r="AE273" s="818"/>
      <c r="AF273" s="818"/>
      <c r="AH273" s="1483"/>
    </row>
    <row r="274" spans="2:34" x14ac:dyDescent="0.3">
      <c r="B274" s="809"/>
      <c r="C274" s="809"/>
      <c r="Q274" s="1480"/>
      <c r="R274" s="818"/>
      <c r="S274" s="818"/>
      <c r="T274" s="818"/>
      <c r="U274" s="818"/>
      <c r="V274" s="818"/>
      <c r="W274" s="818"/>
      <c r="X274" s="818"/>
      <c r="Y274" s="818"/>
      <c r="Z274" s="818"/>
      <c r="AA274" s="818"/>
      <c r="AB274" s="818"/>
      <c r="AC274" s="818"/>
      <c r="AD274" s="818"/>
      <c r="AE274" s="818"/>
      <c r="AF274" s="818"/>
      <c r="AH274" s="1483"/>
    </row>
    <row r="275" spans="2:34" x14ac:dyDescent="0.3">
      <c r="B275" s="809"/>
      <c r="C275" s="809"/>
      <c r="Q275" s="1480"/>
      <c r="R275" s="2219"/>
      <c r="S275" s="2218"/>
      <c r="T275" s="2218"/>
      <c r="U275" s="2218"/>
      <c r="V275" s="2218"/>
      <c r="W275" s="2218"/>
      <c r="X275" s="2218"/>
      <c r="Y275" s="2218"/>
      <c r="Z275" s="2218"/>
      <c r="AA275" s="2218"/>
      <c r="AB275" s="2218"/>
      <c r="AC275" s="2218"/>
      <c r="AD275" s="2218"/>
      <c r="AE275" s="2218"/>
      <c r="AF275" s="2218"/>
      <c r="AG275" s="815"/>
      <c r="AH275" s="1483"/>
    </row>
    <row r="276" spans="2:34" x14ac:dyDescent="0.3">
      <c r="B276" s="809"/>
      <c r="C276" s="809"/>
      <c r="Q276" s="1480"/>
      <c r="R276" s="812"/>
      <c r="S276" s="812"/>
      <c r="T276" s="812"/>
      <c r="U276" s="812"/>
      <c r="V276" s="812"/>
      <c r="W276" s="812"/>
      <c r="X276" s="812"/>
      <c r="Y276" s="812"/>
      <c r="Z276" s="812"/>
      <c r="AA276" s="812"/>
      <c r="AB276" s="812"/>
      <c r="AC276" s="812"/>
      <c r="AD276" s="812"/>
      <c r="AE276" s="812"/>
      <c r="AF276" s="812"/>
      <c r="AG276" s="815"/>
      <c r="AH276" s="1483"/>
    </row>
    <row r="277" spans="2:34" x14ac:dyDescent="0.3">
      <c r="B277" s="809"/>
      <c r="C277" s="809"/>
      <c r="Q277" s="1480"/>
      <c r="R277" s="814"/>
      <c r="S277" s="814"/>
      <c r="T277" s="814"/>
      <c r="U277" s="814"/>
      <c r="V277" s="814"/>
      <c r="W277" s="814"/>
      <c r="X277" s="814"/>
      <c r="Y277" s="814"/>
      <c r="Z277" s="814"/>
      <c r="AA277" s="814"/>
      <c r="AB277" s="814"/>
      <c r="AC277" s="814"/>
      <c r="AD277" s="814"/>
      <c r="AE277" s="814"/>
      <c r="AF277" s="814"/>
      <c r="AG277" s="815"/>
      <c r="AH277" s="1486"/>
    </row>
    <row r="278" spans="2:34" x14ac:dyDescent="0.3">
      <c r="B278" s="809"/>
      <c r="C278" s="809"/>
      <c r="Q278" s="1480"/>
      <c r="R278" s="814"/>
      <c r="S278" s="814"/>
      <c r="T278" s="814"/>
      <c r="U278" s="814"/>
      <c r="V278" s="814"/>
      <c r="W278" s="814"/>
      <c r="X278" s="814"/>
      <c r="Y278" s="814"/>
      <c r="Z278" s="814"/>
      <c r="AA278" s="814"/>
      <c r="AB278" s="814"/>
      <c r="AC278" s="814"/>
      <c r="AD278" s="814"/>
      <c r="AE278" s="814"/>
      <c r="AF278" s="814"/>
      <c r="AG278" s="815"/>
      <c r="AH278" s="1486"/>
    </row>
    <row r="279" spans="2:34" ht="12.6" thickBot="1" x14ac:dyDescent="0.35">
      <c r="B279" s="809"/>
      <c r="C279" s="809"/>
      <c r="Q279" s="1484"/>
      <c r="R279" s="1485"/>
      <c r="S279" s="1485"/>
      <c r="T279" s="1485"/>
      <c r="U279" s="1485"/>
      <c r="V279" s="1485"/>
      <c r="W279" s="1485"/>
      <c r="X279" s="1485"/>
      <c r="Y279" s="1485"/>
      <c r="Z279" s="1485"/>
      <c r="AA279" s="1485"/>
      <c r="AB279" s="1485"/>
      <c r="AC279" s="1485"/>
      <c r="AD279" s="1485"/>
      <c r="AE279" s="1485"/>
      <c r="AF279" s="1485"/>
      <c r="AG279" s="1487"/>
      <c r="AH279" s="1488"/>
    </row>
    <row r="280" spans="2:34" x14ac:dyDescent="0.3">
      <c r="B280" s="809"/>
      <c r="C280" s="809"/>
      <c r="Q280" s="811"/>
    </row>
    <row r="281" spans="2:34" ht="12.6" thickBot="1" x14ac:dyDescent="0.35">
      <c r="B281" s="809"/>
      <c r="C281" s="809"/>
      <c r="Q281" s="811"/>
    </row>
    <row r="282" spans="2:34" x14ac:dyDescent="0.3">
      <c r="B282" s="809"/>
      <c r="C282" s="809"/>
      <c r="Q282" s="1476"/>
      <c r="R282" s="1477"/>
      <c r="S282" s="1477"/>
      <c r="T282" s="1477"/>
      <c r="U282" s="1477"/>
      <c r="V282" s="1477"/>
      <c r="W282" s="1477"/>
      <c r="X282" s="1477"/>
      <c r="Y282" s="1477"/>
      <c r="Z282" s="1477"/>
      <c r="AA282" s="1477"/>
      <c r="AB282" s="1477"/>
      <c r="AC282" s="1477"/>
      <c r="AD282" s="1477"/>
      <c r="AE282" s="1477"/>
      <c r="AF282" s="1477"/>
      <c r="AG282" s="1477"/>
      <c r="AH282" s="1478"/>
    </row>
    <row r="283" spans="2:34" x14ac:dyDescent="0.3">
      <c r="B283" s="809"/>
      <c r="C283" s="809"/>
      <c r="Q283" s="1480"/>
      <c r="R283" s="2219"/>
      <c r="S283" s="2218"/>
      <c r="T283" s="2218"/>
      <c r="U283" s="2218"/>
      <c r="V283" s="2218"/>
      <c r="W283" s="2218"/>
      <c r="X283" s="2218"/>
      <c r="Y283" s="2218"/>
      <c r="Z283" s="2218"/>
      <c r="AA283" s="2218"/>
      <c r="AB283" s="2218"/>
      <c r="AC283" s="2218"/>
      <c r="AD283" s="2218"/>
      <c r="AE283" s="2218"/>
      <c r="AF283" s="2218"/>
      <c r="AG283" s="811"/>
      <c r="AH283" s="1483"/>
    </row>
    <row r="284" spans="2:34" x14ac:dyDescent="0.3">
      <c r="B284" s="809"/>
      <c r="C284" s="809"/>
      <c r="Q284" s="1479"/>
      <c r="R284" s="812"/>
      <c r="S284" s="812"/>
      <c r="T284" s="812"/>
      <c r="U284" s="812"/>
      <c r="V284" s="812"/>
      <c r="W284" s="812"/>
      <c r="X284" s="812"/>
      <c r="Y284" s="812"/>
      <c r="Z284" s="812"/>
      <c r="AA284" s="812"/>
      <c r="AB284" s="812"/>
      <c r="AC284" s="812"/>
      <c r="AD284" s="812"/>
      <c r="AE284" s="812"/>
      <c r="AF284" s="812"/>
      <c r="AG284" s="812"/>
      <c r="AH284" s="1483"/>
    </row>
    <row r="285" spans="2:34" x14ac:dyDescent="0.3">
      <c r="B285" s="809"/>
      <c r="C285" s="809"/>
      <c r="Q285" s="1480"/>
      <c r="R285" s="814"/>
      <c r="S285" s="814"/>
      <c r="T285" s="814"/>
      <c r="U285" s="814"/>
      <c r="V285" s="814"/>
      <c r="W285" s="814"/>
      <c r="X285" s="814"/>
      <c r="Y285" s="814"/>
      <c r="Z285" s="814"/>
      <c r="AA285" s="814"/>
      <c r="AB285" s="814"/>
      <c r="AC285" s="814"/>
      <c r="AD285" s="814"/>
      <c r="AE285" s="814"/>
      <c r="AF285" s="814"/>
      <c r="AG285" s="815"/>
      <c r="AH285" s="1486"/>
    </row>
    <row r="286" spans="2:34" x14ac:dyDescent="0.3">
      <c r="B286" s="809"/>
      <c r="C286" s="809"/>
      <c r="Q286" s="1480"/>
      <c r="R286" s="814"/>
      <c r="S286" s="814"/>
      <c r="T286" s="814"/>
      <c r="U286" s="814"/>
      <c r="V286" s="814"/>
      <c r="W286" s="814"/>
      <c r="X286" s="814"/>
      <c r="Y286" s="814"/>
      <c r="Z286" s="814"/>
      <c r="AA286" s="814"/>
      <c r="AB286" s="814"/>
      <c r="AC286" s="814"/>
      <c r="AD286" s="814"/>
      <c r="AE286" s="814"/>
      <c r="AF286" s="814"/>
      <c r="AG286" s="815"/>
      <c r="AH286" s="1486"/>
    </row>
    <row r="287" spans="2:34" x14ac:dyDescent="0.3">
      <c r="B287" s="809"/>
      <c r="C287" s="809"/>
      <c r="Q287" s="1480"/>
      <c r="R287" s="814"/>
      <c r="S287" s="814"/>
      <c r="T287" s="814"/>
      <c r="U287" s="814"/>
      <c r="V287" s="814"/>
      <c r="W287" s="814"/>
      <c r="X287" s="814"/>
      <c r="Y287" s="814"/>
      <c r="Z287" s="814"/>
      <c r="AA287" s="814"/>
      <c r="AB287" s="814"/>
      <c r="AC287" s="814"/>
      <c r="AD287" s="814"/>
      <c r="AE287" s="814"/>
      <c r="AF287" s="814"/>
      <c r="AG287" s="815"/>
      <c r="AH287" s="1486"/>
    </row>
    <row r="288" spans="2:34" x14ac:dyDescent="0.3">
      <c r="B288" s="809"/>
      <c r="C288" s="809"/>
      <c r="Q288" s="1480"/>
      <c r="R288" s="814"/>
      <c r="S288" s="814"/>
      <c r="T288" s="814"/>
      <c r="U288" s="814"/>
      <c r="V288" s="814"/>
      <c r="W288" s="814"/>
      <c r="X288" s="814"/>
      <c r="Y288" s="814"/>
      <c r="Z288" s="814"/>
      <c r="AA288" s="814"/>
      <c r="AB288" s="814"/>
      <c r="AC288" s="814"/>
      <c r="AD288" s="814"/>
      <c r="AE288" s="814"/>
      <c r="AF288" s="814"/>
      <c r="AG288" s="815"/>
      <c r="AH288" s="1486"/>
    </row>
    <row r="289" spans="2:34" x14ac:dyDescent="0.3">
      <c r="B289" s="809"/>
      <c r="C289" s="809"/>
      <c r="Q289" s="1480"/>
      <c r="R289" s="814"/>
      <c r="S289" s="814"/>
      <c r="T289" s="814"/>
      <c r="U289" s="814"/>
      <c r="V289" s="814"/>
      <c r="W289" s="814"/>
      <c r="X289" s="814"/>
      <c r="Y289" s="814"/>
      <c r="Z289" s="814"/>
      <c r="AA289" s="814"/>
      <c r="AB289" s="814"/>
      <c r="AC289" s="814"/>
      <c r="AD289" s="814"/>
      <c r="AE289" s="814"/>
      <c r="AF289" s="814"/>
      <c r="AG289" s="815"/>
      <c r="AH289" s="1486"/>
    </row>
    <row r="290" spans="2:34" x14ac:dyDescent="0.3">
      <c r="B290" s="809"/>
      <c r="C290" s="809"/>
      <c r="Q290" s="1480"/>
      <c r="R290" s="814"/>
      <c r="S290" s="814"/>
      <c r="T290" s="814"/>
      <c r="U290" s="814"/>
      <c r="V290" s="814"/>
      <c r="W290" s="814"/>
      <c r="X290" s="814"/>
      <c r="Y290" s="814"/>
      <c r="Z290" s="814"/>
      <c r="AA290" s="814"/>
      <c r="AB290" s="814"/>
      <c r="AC290" s="814"/>
      <c r="AD290" s="814"/>
      <c r="AE290" s="814"/>
      <c r="AF290" s="814"/>
      <c r="AG290" s="815"/>
      <c r="AH290" s="1486"/>
    </row>
    <row r="291" spans="2:34" x14ac:dyDescent="0.3">
      <c r="B291" s="809"/>
      <c r="C291" s="809"/>
      <c r="Q291" s="1480"/>
      <c r="R291" s="814"/>
      <c r="S291" s="814"/>
      <c r="T291" s="814"/>
      <c r="U291" s="814"/>
      <c r="V291" s="814"/>
      <c r="W291" s="814"/>
      <c r="X291" s="814"/>
      <c r="Y291" s="814"/>
      <c r="Z291" s="814"/>
      <c r="AA291" s="814"/>
      <c r="AB291" s="814"/>
      <c r="AC291" s="814"/>
      <c r="AD291" s="814"/>
      <c r="AE291" s="814"/>
      <c r="AF291" s="814"/>
      <c r="AG291" s="815"/>
      <c r="AH291" s="1486"/>
    </row>
    <row r="292" spans="2:34" x14ac:dyDescent="0.3">
      <c r="B292" s="809"/>
      <c r="C292" s="809"/>
      <c r="Q292" s="1481"/>
      <c r="R292" s="815"/>
      <c r="S292" s="815"/>
      <c r="T292" s="815"/>
      <c r="U292" s="815"/>
      <c r="V292" s="815"/>
      <c r="W292" s="815"/>
      <c r="X292" s="815"/>
      <c r="Y292" s="815"/>
      <c r="Z292" s="815"/>
      <c r="AA292" s="815"/>
      <c r="AB292" s="815"/>
      <c r="AC292" s="815"/>
      <c r="AD292" s="815"/>
      <c r="AE292" s="815"/>
      <c r="AF292" s="815"/>
      <c r="AG292" s="815"/>
      <c r="AH292" s="1486"/>
    </row>
    <row r="293" spans="2:34" x14ac:dyDescent="0.3">
      <c r="B293" s="809"/>
      <c r="C293" s="809"/>
      <c r="Q293" s="1482"/>
      <c r="AH293" s="1483"/>
    </row>
    <row r="294" spans="2:34" x14ac:dyDescent="0.3">
      <c r="B294" s="809"/>
      <c r="C294" s="809"/>
      <c r="Q294" s="1480"/>
      <c r="R294" s="2219"/>
      <c r="S294" s="2218"/>
      <c r="T294" s="2218"/>
      <c r="U294" s="2218"/>
      <c r="V294" s="2218"/>
      <c r="W294" s="2218"/>
      <c r="X294" s="2218"/>
      <c r="Y294" s="2218"/>
      <c r="Z294" s="2218"/>
      <c r="AA294" s="2218"/>
      <c r="AB294" s="2218"/>
      <c r="AC294" s="2218"/>
      <c r="AD294" s="2218"/>
      <c r="AE294" s="2218"/>
      <c r="AF294" s="2218"/>
      <c r="AG294" s="811"/>
      <c r="AH294" s="1483"/>
    </row>
    <row r="295" spans="2:34" x14ac:dyDescent="0.3">
      <c r="B295" s="809"/>
      <c r="C295" s="809"/>
      <c r="Q295" s="1479"/>
      <c r="R295" s="812"/>
      <c r="S295" s="812"/>
      <c r="T295" s="812"/>
      <c r="U295" s="812"/>
      <c r="V295" s="812"/>
      <c r="W295" s="812"/>
      <c r="X295" s="812"/>
      <c r="Y295" s="812"/>
      <c r="Z295" s="812"/>
      <c r="AA295" s="812"/>
      <c r="AB295" s="812"/>
      <c r="AC295" s="812"/>
      <c r="AD295" s="812"/>
      <c r="AE295" s="812"/>
      <c r="AF295" s="812"/>
      <c r="AG295" s="812"/>
      <c r="AH295" s="1483"/>
    </row>
    <row r="296" spans="2:34" x14ac:dyDescent="0.3">
      <c r="B296" s="809"/>
      <c r="C296" s="809"/>
      <c r="Q296" s="1480"/>
      <c r="R296" s="814"/>
      <c r="S296" s="814"/>
      <c r="T296" s="814"/>
      <c r="U296" s="814"/>
      <c r="V296" s="814"/>
      <c r="W296" s="814"/>
      <c r="X296" s="814"/>
      <c r="Y296" s="814"/>
      <c r="Z296" s="814"/>
      <c r="AA296" s="814"/>
      <c r="AB296" s="814"/>
      <c r="AC296" s="814"/>
      <c r="AD296" s="814"/>
      <c r="AE296" s="814"/>
      <c r="AF296" s="814"/>
      <c r="AG296" s="815"/>
      <c r="AH296" s="1486"/>
    </row>
    <row r="297" spans="2:34" x14ac:dyDescent="0.3">
      <c r="B297" s="809"/>
      <c r="C297" s="809"/>
      <c r="Q297" s="1480"/>
      <c r="R297" s="814"/>
      <c r="S297" s="814"/>
      <c r="T297" s="814"/>
      <c r="U297" s="814"/>
      <c r="V297" s="814"/>
      <c r="W297" s="814"/>
      <c r="X297" s="814"/>
      <c r="Y297" s="814"/>
      <c r="Z297" s="814"/>
      <c r="AA297" s="814"/>
      <c r="AB297" s="814"/>
      <c r="AC297" s="814"/>
      <c r="AD297" s="814"/>
      <c r="AE297" s="814"/>
      <c r="AF297" s="814"/>
      <c r="AG297" s="815"/>
      <c r="AH297" s="1486"/>
    </row>
    <row r="298" spans="2:34" x14ac:dyDescent="0.3">
      <c r="B298" s="809"/>
      <c r="C298" s="809"/>
      <c r="Q298" s="1480"/>
      <c r="R298" s="814"/>
      <c r="S298" s="814"/>
      <c r="T298" s="814"/>
      <c r="U298" s="814"/>
      <c r="V298" s="814"/>
      <c r="W298" s="814"/>
      <c r="X298" s="814"/>
      <c r="Y298" s="814"/>
      <c r="Z298" s="814"/>
      <c r="AA298" s="814"/>
      <c r="AB298" s="814"/>
      <c r="AC298" s="814"/>
      <c r="AD298" s="814"/>
      <c r="AE298" s="814"/>
      <c r="AF298" s="814"/>
      <c r="AG298" s="815"/>
      <c r="AH298" s="1486"/>
    </row>
    <row r="299" spans="2:34" x14ac:dyDescent="0.3">
      <c r="B299" s="809"/>
      <c r="C299" s="809"/>
      <c r="Q299" s="1480"/>
      <c r="R299" s="814"/>
      <c r="S299" s="814"/>
      <c r="T299" s="814"/>
      <c r="U299" s="814"/>
      <c r="V299" s="814"/>
      <c r="W299" s="814"/>
      <c r="X299" s="814"/>
      <c r="Y299" s="814"/>
      <c r="Z299" s="814"/>
      <c r="AA299" s="814"/>
      <c r="AB299" s="814"/>
      <c r="AC299" s="814"/>
      <c r="AD299" s="814"/>
      <c r="AE299" s="814"/>
      <c r="AF299" s="814"/>
      <c r="AG299" s="815"/>
      <c r="AH299" s="1486"/>
    </row>
    <row r="300" spans="2:34" x14ac:dyDescent="0.3">
      <c r="B300" s="809"/>
      <c r="C300" s="809"/>
      <c r="Q300" s="1480"/>
      <c r="R300" s="814"/>
      <c r="S300" s="814"/>
      <c r="T300" s="814"/>
      <c r="U300" s="814"/>
      <c r="V300" s="814"/>
      <c r="W300" s="814"/>
      <c r="X300" s="814"/>
      <c r="Y300" s="814"/>
      <c r="Z300" s="814"/>
      <c r="AA300" s="814"/>
      <c r="AB300" s="814"/>
      <c r="AC300" s="814"/>
      <c r="AD300" s="814"/>
      <c r="AE300" s="814"/>
      <c r="AF300" s="814"/>
      <c r="AG300" s="815"/>
      <c r="AH300" s="1486"/>
    </row>
    <row r="301" spans="2:34" x14ac:dyDescent="0.3">
      <c r="B301" s="809"/>
      <c r="C301" s="809"/>
      <c r="Q301" s="1480"/>
      <c r="R301" s="814"/>
      <c r="S301" s="814"/>
      <c r="T301" s="814"/>
      <c r="U301" s="814"/>
      <c r="V301" s="814"/>
      <c r="W301" s="814"/>
      <c r="X301" s="814"/>
      <c r="Y301" s="814"/>
      <c r="Z301" s="814"/>
      <c r="AA301" s="814"/>
      <c r="AB301" s="814"/>
      <c r="AC301" s="814"/>
      <c r="AD301" s="814"/>
      <c r="AE301" s="814"/>
      <c r="AF301" s="814"/>
      <c r="AG301" s="815"/>
      <c r="AH301" s="1486"/>
    </row>
    <row r="302" spans="2:34" x14ac:dyDescent="0.3">
      <c r="B302" s="809"/>
      <c r="C302" s="809"/>
      <c r="Q302" s="1480"/>
      <c r="R302" s="814"/>
      <c r="S302" s="814"/>
      <c r="T302" s="814"/>
      <c r="U302" s="814"/>
      <c r="V302" s="814"/>
      <c r="W302" s="814"/>
      <c r="X302" s="814"/>
      <c r="Y302" s="814"/>
      <c r="Z302" s="814"/>
      <c r="AA302" s="814"/>
      <c r="AB302" s="814"/>
      <c r="AC302" s="814"/>
      <c r="AD302" s="814"/>
      <c r="AE302" s="814"/>
      <c r="AF302" s="814"/>
      <c r="AG302" s="815"/>
      <c r="AH302" s="1486"/>
    </row>
    <row r="303" spans="2:34" x14ac:dyDescent="0.3">
      <c r="B303" s="809"/>
      <c r="C303" s="809"/>
      <c r="Q303" s="1480"/>
      <c r="R303" s="814"/>
      <c r="S303" s="814"/>
      <c r="T303" s="814"/>
      <c r="U303" s="814"/>
      <c r="V303" s="814"/>
      <c r="W303" s="814"/>
      <c r="X303" s="814"/>
      <c r="Y303" s="814"/>
      <c r="Z303" s="814"/>
      <c r="AA303" s="814"/>
      <c r="AB303" s="814"/>
      <c r="AC303" s="814"/>
      <c r="AD303" s="814"/>
      <c r="AE303" s="814"/>
      <c r="AF303" s="814"/>
      <c r="AG303" s="815"/>
      <c r="AH303" s="1486"/>
    </row>
    <row r="304" spans="2:34" x14ac:dyDescent="0.3">
      <c r="B304" s="809"/>
      <c r="C304" s="809"/>
      <c r="Q304" s="1480"/>
      <c r="R304" s="2219"/>
      <c r="S304" s="2218"/>
      <c r="T304" s="2218"/>
      <c r="U304" s="2218"/>
      <c r="V304" s="2218"/>
      <c r="W304" s="2218"/>
      <c r="X304" s="2218"/>
      <c r="Y304" s="2218"/>
      <c r="Z304" s="2218"/>
      <c r="AA304" s="2218"/>
      <c r="AB304" s="2218"/>
      <c r="AC304" s="2218"/>
      <c r="AD304" s="2218"/>
      <c r="AE304" s="2218"/>
      <c r="AF304" s="2218"/>
      <c r="AG304" s="811"/>
      <c r="AH304" s="1483"/>
    </row>
    <row r="305" spans="2:34" x14ac:dyDescent="0.3">
      <c r="B305" s="809"/>
      <c r="C305" s="809"/>
      <c r="Q305" s="1479"/>
      <c r="R305" s="812"/>
      <c r="S305" s="812"/>
      <c r="T305" s="812"/>
      <c r="U305" s="812"/>
      <c r="V305" s="812"/>
      <c r="W305" s="812"/>
      <c r="X305" s="812"/>
      <c r="Y305" s="812"/>
      <c r="Z305" s="812"/>
      <c r="AA305" s="812"/>
      <c r="AB305" s="812"/>
      <c r="AC305" s="812"/>
      <c r="AD305" s="812"/>
      <c r="AE305" s="812"/>
      <c r="AF305" s="812"/>
      <c r="AG305" s="812"/>
      <c r="AH305" s="1483"/>
    </row>
    <row r="306" spans="2:34" x14ac:dyDescent="0.3">
      <c r="B306" s="809"/>
      <c r="C306" s="809"/>
      <c r="Q306" s="1480"/>
      <c r="R306" s="816"/>
      <c r="S306" s="816"/>
      <c r="T306" s="816"/>
      <c r="U306" s="816"/>
      <c r="V306" s="816"/>
      <c r="W306" s="816"/>
      <c r="X306" s="816"/>
      <c r="Y306" s="816"/>
      <c r="Z306" s="816"/>
      <c r="AA306" s="816"/>
      <c r="AB306" s="816"/>
      <c r="AC306" s="816"/>
      <c r="AD306" s="816"/>
      <c r="AE306" s="816"/>
      <c r="AF306" s="816"/>
      <c r="AG306" s="817"/>
      <c r="AH306" s="1486"/>
    </row>
    <row r="307" spans="2:34" x14ac:dyDescent="0.3">
      <c r="B307" s="809"/>
      <c r="C307" s="809"/>
      <c r="Q307" s="1480"/>
      <c r="R307" s="816"/>
      <c r="S307" s="816"/>
      <c r="T307" s="816"/>
      <c r="U307" s="816"/>
      <c r="V307" s="816"/>
      <c r="W307" s="816"/>
      <c r="X307" s="816"/>
      <c r="Y307" s="816"/>
      <c r="Z307" s="816"/>
      <c r="AA307" s="816"/>
      <c r="AB307" s="816"/>
      <c r="AC307" s="816"/>
      <c r="AD307" s="816"/>
      <c r="AE307" s="816"/>
      <c r="AF307" s="816"/>
      <c r="AG307" s="817"/>
      <c r="AH307" s="1486"/>
    </row>
    <row r="308" spans="2:34" x14ac:dyDescent="0.3">
      <c r="B308" s="809"/>
      <c r="C308" s="809"/>
      <c r="Q308" s="1480"/>
      <c r="R308" s="816"/>
      <c r="S308" s="816"/>
      <c r="T308" s="816"/>
      <c r="U308" s="816"/>
      <c r="V308" s="816"/>
      <c r="W308" s="816"/>
      <c r="X308" s="816"/>
      <c r="Y308" s="816"/>
      <c r="Z308" s="816"/>
      <c r="AA308" s="816"/>
      <c r="AB308" s="816"/>
      <c r="AC308" s="816"/>
      <c r="AD308" s="816"/>
      <c r="AE308" s="816"/>
      <c r="AF308" s="816"/>
      <c r="AG308" s="817"/>
      <c r="AH308" s="1486"/>
    </row>
    <row r="309" spans="2:34" x14ac:dyDescent="0.3">
      <c r="B309" s="809"/>
      <c r="C309" s="809"/>
      <c r="Q309" s="1480"/>
      <c r="R309" s="816"/>
      <c r="S309" s="816"/>
      <c r="T309" s="816"/>
      <c r="U309" s="816"/>
      <c r="V309" s="816"/>
      <c r="W309" s="816"/>
      <c r="X309" s="816"/>
      <c r="Y309" s="816"/>
      <c r="Z309" s="816"/>
      <c r="AA309" s="816"/>
      <c r="AB309" s="816"/>
      <c r="AC309" s="816"/>
      <c r="AD309" s="816"/>
      <c r="AE309" s="816"/>
      <c r="AF309" s="816"/>
      <c r="AG309" s="817"/>
      <c r="AH309" s="1486"/>
    </row>
    <row r="310" spans="2:34" x14ac:dyDescent="0.3">
      <c r="B310" s="809"/>
      <c r="C310" s="809"/>
      <c r="Q310" s="1480"/>
      <c r="R310" s="816"/>
      <c r="S310" s="816"/>
      <c r="T310" s="816"/>
      <c r="U310" s="816"/>
      <c r="V310" s="816"/>
      <c r="W310" s="816"/>
      <c r="X310" s="816"/>
      <c r="Y310" s="816"/>
      <c r="Z310" s="816"/>
      <c r="AA310" s="816"/>
      <c r="AB310" s="816"/>
      <c r="AC310" s="816"/>
      <c r="AD310" s="816"/>
      <c r="AE310" s="816"/>
      <c r="AF310" s="816"/>
      <c r="AG310" s="817"/>
      <c r="AH310" s="1486"/>
    </row>
    <row r="311" spans="2:34" x14ac:dyDescent="0.3">
      <c r="B311" s="809"/>
      <c r="C311" s="809"/>
      <c r="Q311" s="1480"/>
      <c r="R311" s="816"/>
      <c r="S311" s="816"/>
      <c r="T311" s="816"/>
      <c r="U311" s="816"/>
      <c r="V311" s="816"/>
      <c r="W311" s="816"/>
      <c r="X311" s="816"/>
      <c r="Y311" s="816"/>
      <c r="Z311" s="816"/>
      <c r="AA311" s="816"/>
      <c r="AB311" s="816"/>
      <c r="AC311" s="816"/>
      <c r="AD311" s="816"/>
      <c r="AE311" s="816"/>
      <c r="AF311" s="816"/>
      <c r="AG311" s="817"/>
      <c r="AH311" s="1486"/>
    </row>
    <row r="312" spans="2:34" x14ac:dyDescent="0.3">
      <c r="B312" s="809"/>
      <c r="C312" s="809"/>
      <c r="Q312" s="1480"/>
      <c r="R312" s="816"/>
      <c r="S312" s="816"/>
      <c r="T312" s="816"/>
      <c r="U312" s="816"/>
      <c r="V312" s="816"/>
      <c r="W312" s="816"/>
      <c r="X312" s="816"/>
      <c r="Y312" s="816"/>
      <c r="Z312" s="816"/>
      <c r="AA312" s="816"/>
      <c r="AB312" s="816"/>
      <c r="AC312" s="816"/>
      <c r="AD312" s="816"/>
      <c r="AE312" s="816"/>
      <c r="AF312" s="816"/>
      <c r="AG312" s="817"/>
      <c r="AH312" s="1486"/>
    </row>
    <row r="313" spans="2:34" x14ac:dyDescent="0.3">
      <c r="B313" s="809"/>
      <c r="C313" s="809"/>
      <c r="Q313" s="1481"/>
      <c r="R313" s="815"/>
      <c r="S313" s="815"/>
      <c r="T313" s="815"/>
      <c r="U313" s="815"/>
      <c r="V313" s="815"/>
      <c r="W313" s="815"/>
      <c r="X313" s="815"/>
      <c r="Y313" s="815"/>
      <c r="Z313" s="815"/>
      <c r="AA313" s="815"/>
      <c r="AB313" s="815"/>
      <c r="AC313" s="815"/>
      <c r="AD313" s="815"/>
      <c r="AE313" s="815"/>
      <c r="AF313" s="815"/>
      <c r="AG313" s="815"/>
      <c r="AH313" s="1486"/>
    </row>
    <row r="314" spans="2:34" x14ac:dyDescent="0.3">
      <c r="B314" s="809"/>
      <c r="C314" s="809"/>
      <c r="Q314" s="1482"/>
      <c r="AH314" s="1483"/>
    </row>
    <row r="315" spans="2:34" x14ac:dyDescent="0.3">
      <c r="B315" s="809"/>
      <c r="C315" s="809"/>
      <c r="Q315" s="1480"/>
      <c r="R315" s="2219"/>
      <c r="S315" s="2218"/>
      <c r="T315" s="2218"/>
      <c r="U315" s="2218"/>
      <c r="V315" s="2218"/>
      <c r="W315" s="2218"/>
      <c r="X315" s="2218"/>
      <c r="Y315" s="2218"/>
      <c r="Z315" s="2218"/>
      <c r="AA315" s="2218"/>
      <c r="AB315" s="2218"/>
      <c r="AC315" s="2218"/>
      <c r="AD315" s="2218"/>
      <c r="AE315" s="2218"/>
      <c r="AF315" s="2218"/>
      <c r="AG315" s="811"/>
      <c r="AH315" s="1483"/>
    </row>
    <row r="316" spans="2:34" x14ac:dyDescent="0.3">
      <c r="B316" s="809"/>
      <c r="C316" s="809"/>
      <c r="Q316" s="1479"/>
      <c r="R316" s="812"/>
      <c r="S316" s="812"/>
      <c r="T316" s="812"/>
      <c r="U316" s="812"/>
      <c r="V316" s="812"/>
      <c r="W316" s="812"/>
      <c r="X316" s="812"/>
      <c r="Y316" s="812"/>
      <c r="Z316" s="812"/>
      <c r="AA316" s="812"/>
      <c r="AB316" s="812"/>
      <c r="AC316" s="812"/>
      <c r="AD316" s="812"/>
      <c r="AE316" s="812"/>
      <c r="AF316" s="812"/>
      <c r="AG316" s="812"/>
      <c r="AH316" s="1483"/>
    </row>
    <row r="317" spans="2:34" x14ac:dyDescent="0.3">
      <c r="B317" s="809"/>
      <c r="C317" s="809"/>
      <c r="Q317" s="1480"/>
      <c r="R317" s="814"/>
      <c r="S317" s="814"/>
      <c r="T317" s="814"/>
      <c r="U317" s="814"/>
      <c r="V317" s="814"/>
      <c r="W317" s="814"/>
      <c r="X317" s="814"/>
      <c r="Y317" s="814"/>
      <c r="Z317" s="814"/>
      <c r="AA317" s="814"/>
      <c r="AB317" s="814"/>
      <c r="AC317" s="814"/>
      <c r="AD317" s="814"/>
      <c r="AE317" s="814"/>
      <c r="AF317" s="814"/>
      <c r="AG317" s="815"/>
      <c r="AH317" s="1486"/>
    </row>
    <row r="318" spans="2:34" x14ac:dyDescent="0.3">
      <c r="B318" s="809"/>
      <c r="C318" s="809"/>
      <c r="Q318" s="1480"/>
      <c r="R318" s="814"/>
      <c r="S318" s="814"/>
      <c r="T318" s="814"/>
      <c r="U318" s="814"/>
      <c r="V318" s="814"/>
      <c r="W318" s="814"/>
      <c r="X318" s="814"/>
      <c r="Y318" s="814"/>
      <c r="Z318" s="814"/>
      <c r="AA318" s="814"/>
      <c r="AB318" s="814"/>
      <c r="AC318" s="814"/>
      <c r="AD318" s="814"/>
      <c r="AE318" s="814"/>
      <c r="AF318" s="814"/>
      <c r="AG318" s="815"/>
      <c r="AH318" s="1486"/>
    </row>
    <row r="319" spans="2:34" x14ac:dyDescent="0.3">
      <c r="B319" s="809"/>
      <c r="C319" s="809"/>
      <c r="Q319" s="1480"/>
      <c r="R319" s="814"/>
      <c r="S319" s="814"/>
      <c r="T319" s="814"/>
      <c r="U319" s="814"/>
      <c r="V319" s="814"/>
      <c r="W319" s="814"/>
      <c r="X319" s="814"/>
      <c r="Y319" s="814"/>
      <c r="Z319" s="814"/>
      <c r="AA319" s="814"/>
      <c r="AB319" s="814"/>
      <c r="AC319" s="814"/>
      <c r="AD319" s="814"/>
      <c r="AE319" s="814"/>
      <c r="AF319" s="814"/>
      <c r="AG319" s="815"/>
      <c r="AH319" s="1486"/>
    </row>
    <row r="320" spans="2:34" x14ac:dyDescent="0.3">
      <c r="B320" s="809"/>
      <c r="C320" s="809"/>
      <c r="Q320" s="1480"/>
      <c r="R320" s="814"/>
      <c r="S320" s="814"/>
      <c r="T320" s="814"/>
      <c r="U320" s="814"/>
      <c r="V320" s="814"/>
      <c r="W320" s="814"/>
      <c r="X320" s="814"/>
      <c r="Y320" s="814"/>
      <c r="Z320" s="814"/>
      <c r="AA320" s="814"/>
      <c r="AB320" s="814"/>
      <c r="AC320" s="814"/>
      <c r="AD320" s="814"/>
      <c r="AE320" s="814"/>
      <c r="AF320" s="814"/>
      <c r="AG320" s="815"/>
      <c r="AH320" s="1486"/>
    </row>
    <row r="321" spans="2:34" x14ac:dyDescent="0.3">
      <c r="B321" s="809"/>
      <c r="C321" s="809"/>
      <c r="Q321" s="1480"/>
      <c r="R321" s="814"/>
      <c r="S321" s="814"/>
      <c r="T321" s="814"/>
      <c r="U321" s="814"/>
      <c r="V321" s="814"/>
      <c r="W321" s="814"/>
      <c r="X321" s="814"/>
      <c r="Y321" s="814"/>
      <c r="Z321" s="814"/>
      <c r="AA321" s="814"/>
      <c r="AB321" s="814"/>
      <c r="AC321" s="814"/>
      <c r="AD321" s="814"/>
      <c r="AE321" s="814"/>
      <c r="AF321" s="814"/>
      <c r="AG321" s="815"/>
      <c r="AH321" s="1486"/>
    </row>
    <row r="322" spans="2:34" x14ac:dyDescent="0.3">
      <c r="B322" s="809"/>
      <c r="C322" s="809"/>
      <c r="Q322" s="1480"/>
      <c r="R322" s="814"/>
      <c r="S322" s="814"/>
      <c r="T322" s="814"/>
      <c r="U322" s="814"/>
      <c r="V322" s="814"/>
      <c r="W322" s="814"/>
      <c r="X322" s="814"/>
      <c r="Y322" s="814"/>
      <c r="Z322" s="814"/>
      <c r="AA322" s="814"/>
      <c r="AB322" s="814"/>
      <c r="AC322" s="814"/>
      <c r="AD322" s="814"/>
      <c r="AE322" s="814"/>
      <c r="AF322" s="814"/>
      <c r="AG322" s="815"/>
      <c r="AH322" s="1486"/>
    </row>
    <row r="323" spans="2:34" x14ac:dyDescent="0.3">
      <c r="B323" s="809"/>
      <c r="C323" s="809"/>
      <c r="Q323" s="1480"/>
      <c r="R323" s="814"/>
      <c r="S323" s="814"/>
      <c r="T323" s="814"/>
      <c r="U323" s="814"/>
      <c r="V323" s="814"/>
      <c r="W323" s="814"/>
      <c r="X323" s="814"/>
      <c r="Y323" s="814"/>
      <c r="Z323" s="814"/>
      <c r="AA323" s="814"/>
      <c r="AB323" s="814"/>
      <c r="AC323" s="814"/>
      <c r="AD323" s="814"/>
      <c r="AE323" s="814"/>
      <c r="AF323" s="814"/>
      <c r="AG323" s="815"/>
      <c r="AH323" s="1486"/>
    </row>
    <row r="324" spans="2:34" x14ac:dyDescent="0.3">
      <c r="B324" s="809"/>
      <c r="C324" s="809"/>
      <c r="Q324" s="1481"/>
      <c r="R324" s="815"/>
      <c r="S324" s="815"/>
      <c r="T324" s="815"/>
      <c r="U324" s="815"/>
      <c r="V324" s="815"/>
      <c r="W324" s="815"/>
      <c r="X324" s="815"/>
      <c r="Y324" s="815"/>
      <c r="Z324" s="815"/>
      <c r="AA324" s="815"/>
      <c r="AB324" s="815"/>
      <c r="AC324" s="815"/>
      <c r="AD324" s="815"/>
      <c r="AE324" s="815"/>
      <c r="AF324" s="815"/>
      <c r="AG324" s="815"/>
      <c r="AH324" s="1486"/>
    </row>
    <row r="325" spans="2:34" x14ac:dyDescent="0.3">
      <c r="B325" s="809"/>
      <c r="C325" s="809"/>
      <c r="Q325" s="1482"/>
      <c r="AH325" s="1483"/>
    </row>
    <row r="326" spans="2:34" x14ac:dyDescent="0.3">
      <c r="B326" s="809"/>
      <c r="C326" s="809"/>
      <c r="Q326" s="1480"/>
      <c r="R326" s="2219"/>
      <c r="S326" s="2218"/>
      <c r="T326" s="2218"/>
      <c r="U326" s="2218"/>
      <c r="V326" s="2218"/>
      <c r="W326" s="2218"/>
      <c r="X326" s="2218"/>
      <c r="Y326" s="2218"/>
      <c r="Z326" s="2218"/>
      <c r="AA326" s="2218"/>
      <c r="AB326" s="2218"/>
      <c r="AC326" s="2218"/>
      <c r="AD326" s="2218"/>
      <c r="AE326" s="2218"/>
      <c r="AF326" s="2218"/>
      <c r="AG326" s="811"/>
      <c r="AH326" s="1483"/>
    </row>
    <row r="327" spans="2:34" x14ac:dyDescent="0.3">
      <c r="B327" s="809"/>
      <c r="C327" s="809"/>
      <c r="Q327" s="1479"/>
      <c r="R327" s="812"/>
      <c r="S327" s="812"/>
      <c r="T327" s="812"/>
      <c r="U327" s="812"/>
      <c r="V327" s="812"/>
      <c r="W327" s="812"/>
      <c r="X327" s="812"/>
      <c r="Y327" s="812"/>
      <c r="Z327" s="812"/>
      <c r="AA327" s="812"/>
      <c r="AB327" s="812"/>
      <c r="AC327" s="812"/>
      <c r="AD327" s="812"/>
      <c r="AE327" s="812"/>
      <c r="AF327" s="812"/>
      <c r="AG327" s="812"/>
      <c r="AH327" s="1483"/>
    </row>
    <row r="328" spans="2:34" x14ac:dyDescent="0.3">
      <c r="B328" s="809"/>
      <c r="C328" s="809"/>
      <c r="Q328" s="1480"/>
      <c r="R328" s="814"/>
      <c r="S328" s="814"/>
      <c r="T328" s="814"/>
      <c r="U328" s="814"/>
      <c r="V328" s="814"/>
      <c r="W328" s="814"/>
      <c r="X328" s="814"/>
      <c r="Y328" s="814"/>
      <c r="Z328" s="814"/>
      <c r="AA328" s="814"/>
      <c r="AB328" s="814"/>
      <c r="AC328" s="814"/>
      <c r="AD328" s="814"/>
      <c r="AE328" s="814"/>
      <c r="AF328" s="814"/>
      <c r="AG328" s="815"/>
      <c r="AH328" s="1486"/>
    </row>
    <row r="329" spans="2:34" x14ac:dyDescent="0.3">
      <c r="B329" s="809"/>
      <c r="C329" s="809"/>
      <c r="Q329" s="1480"/>
      <c r="R329" s="814"/>
      <c r="S329" s="814"/>
      <c r="T329" s="814"/>
      <c r="U329" s="814"/>
      <c r="V329" s="814"/>
      <c r="W329" s="814"/>
      <c r="X329" s="814"/>
      <c r="Y329" s="814"/>
      <c r="Z329" s="814"/>
      <c r="AA329" s="814"/>
      <c r="AB329" s="814"/>
      <c r="AC329" s="814"/>
      <c r="AD329" s="814"/>
      <c r="AE329" s="814"/>
      <c r="AF329" s="814"/>
      <c r="AG329" s="815"/>
      <c r="AH329" s="1486"/>
    </row>
    <row r="330" spans="2:34" x14ac:dyDescent="0.3">
      <c r="B330" s="809"/>
      <c r="C330" s="809"/>
      <c r="Q330" s="1480"/>
      <c r="R330" s="815"/>
      <c r="S330" s="815"/>
      <c r="T330" s="815"/>
      <c r="U330" s="815"/>
      <c r="V330" s="815"/>
      <c r="W330" s="815"/>
      <c r="X330" s="815"/>
      <c r="Y330" s="815"/>
      <c r="Z330" s="815"/>
      <c r="AA330" s="815"/>
      <c r="AB330" s="815"/>
      <c r="AC330" s="815"/>
      <c r="AD330" s="815"/>
      <c r="AE330" s="815"/>
      <c r="AF330" s="815"/>
      <c r="AG330" s="815"/>
      <c r="AH330" s="1483"/>
    </row>
    <row r="331" spans="2:34" x14ac:dyDescent="0.3">
      <c r="B331" s="809"/>
      <c r="C331" s="809"/>
      <c r="Q331" s="1480"/>
      <c r="R331" s="818"/>
      <c r="S331" s="818"/>
      <c r="T331" s="818"/>
      <c r="U331" s="818"/>
      <c r="V331" s="818"/>
      <c r="W331" s="818"/>
      <c r="X331" s="818"/>
      <c r="Y331" s="818"/>
      <c r="Z331" s="818"/>
      <c r="AA331" s="818"/>
      <c r="AB331" s="818"/>
      <c r="AC331" s="818"/>
      <c r="AD331" s="818"/>
      <c r="AE331" s="818"/>
      <c r="AF331" s="818"/>
      <c r="AH331" s="1483"/>
    </row>
    <row r="332" spans="2:34" x14ac:dyDescent="0.3">
      <c r="B332" s="809"/>
      <c r="C332" s="809"/>
      <c r="Q332" s="1480"/>
      <c r="R332" s="818"/>
      <c r="S332" s="818"/>
      <c r="T332" s="818"/>
      <c r="U332" s="818"/>
      <c r="V332" s="818"/>
      <c r="W332" s="818"/>
      <c r="X332" s="818"/>
      <c r="Y332" s="818"/>
      <c r="Z332" s="818"/>
      <c r="AA332" s="818"/>
      <c r="AB332" s="818"/>
      <c r="AC332" s="818"/>
      <c r="AD332" s="818"/>
      <c r="AE332" s="818"/>
      <c r="AF332" s="818"/>
      <c r="AH332" s="1483"/>
    </row>
    <row r="333" spans="2:34" x14ac:dyDescent="0.3">
      <c r="B333" s="809"/>
      <c r="C333" s="809"/>
      <c r="Q333" s="1480"/>
      <c r="R333" s="2219"/>
      <c r="S333" s="2218"/>
      <c r="T333" s="2218"/>
      <c r="U333" s="2218"/>
      <c r="V333" s="2218"/>
      <c r="W333" s="2218"/>
      <c r="X333" s="2218"/>
      <c r="Y333" s="2218"/>
      <c r="Z333" s="2218"/>
      <c r="AA333" s="2218"/>
      <c r="AB333" s="2218"/>
      <c r="AC333" s="2218"/>
      <c r="AD333" s="2218"/>
      <c r="AE333" s="2218"/>
      <c r="AF333" s="2218"/>
      <c r="AG333" s="815"/>
      <c r="AH333" s="1483"/>
    </row>
    <row r="334" spans="2:34" x14ac:dyDescent="0.3">
      <c r="B334" s="809"/>
      <c r="C334" s="809"/>
      <c r="Q334" s="1480"/>
      <c r="R334" s="812"/>
      <c r="S334" s="812"/>
      <c r="T334" s="812"/>
      <c r="U334" s="812"/>
      <c r="V334" s="812"/>
      <c r="W334" s="812"/>
      <c r="X334" s="812"/>
      <c r="Y334" s="812"/>
      <c r="Z334" s="812"/>
      <c r="AA334" s="812"/>
      <c r="AB334" s="812"/>
      <c r="AC334" s="812"/>
      <c r="AD334" s="812"/>
      <c r="AE334" s="812"/>
      <c r="AF334" s="812"/>
      <c r="AG334" s="815"/>
      <c r="AH334" s="1483"/>
    </row>
    <row r="335" spans="2:34" x14ac:dyDescent="0.3">
      <c r="B335" s="809"/>
      <c r="C335" s="809"/>
      <c r="Q335" s="1480"/>
      <c r="R335" s="814"/>
      <c r="S335" s="814"/>
      <c r="T335" s="814"/>
      <c r="U335" s="814"/>
      <c r="V335" s="814"/>
      <c r="W335" s="814"/>
      <c r="X335" s="814"/>
      <c r="Y335" s="814"/>
      <c r="Z335" s="814"/>
      <c r="AA335" s="814"/>
      <c r="AB335" s="814"/>
      <c r="AC335" s="814"/>
      <c r="AD335" s="814"/>
      <c r="AE335" s="814"/>
      <c r="AF335" s="814"/>
      <c r="AG335" s="815"/>
      <c r="AH335" s="1486"/>
    </row>
    <row r="336" spans="2:34" x14ac:dyDescent="0.3">
      <c r="B336" s="809"/>
      <c r="C336" s="809"/>
      <c r="Q336" s="1480"/>
      <c r="R336" s="814"/>
      <c r="S336" s="814"/>
      <c r="T336" s="814"/>
      <c r="U336" s="814"/>
      <c r="V336" s="814"/>
      <c r="W336" s="814"/>
      <c r="X336" s="814"/>
      <c r="Y336" s="814"/>
      <c r="Z336" s="814"/>
      <c r="AA336" s="814"/>
      <c r="AB336" s="814"/>
      <c r="AC336" s="814"/>
      <c r="AD336" s="814"/>
      <c r="AE336" s="814"/>
      <c r="AF336" s="814"/>
      <c r="AG336" s="815"/>
      <c r="AH336" s="1486"/>
    </row>
    <row r="337" spans="2:34" ht="12.6" thickBot="1" x14ac:dyDescent="0.35">
      <c r="B337" s="809"/>
      <c r="C337" s="809"/>
      <c r="Q337" s="1484"/>
      <c r="R337" s="1485"/>
      <c r="S337" s="1485"/>
      <c r="T337" s="1485"/>
      <c r="U337" s="1485"/>
      <c r="V337" s="1485"/>
      <c r="W337" s="1485"/>
      <c r="X337" s="1485"/>
      <c r="Y337" s="1485"/>
      <c r="Z337" s="1485"/>
      <c r="AA337" s="1485"/>
      <c r="AB337" s="1485"/>
      <c r="AC337" s="1485"/>
      <c r="AD337" s="1485"/>
      <c r="AE337" s="1485"/>
      <c r="AF337" s="1485"/>
      <c r="AG337" s="1487"/>
      <c r="AH337" s="1488"/>
    </row>
    <row r="338" spans="2:34" x14ac:dyDescent="0.3">
      <c r="B338" s="809"/>
      <c r="C338" s="809"/>
    </row>
    <row r="339" spans="2:34" x14ac:dyDescent="0.3">
      <c r="B339" s="809"/>
      <c r="C339" s="809"/>
    </row>
    <row r="340" spans="2:34" x14ac:dyDescent="0.3">
      <c r="B340" s="809"/>
      <c r="C340" s="809"/>
    </row>
    <row r="341" spans="2:34" x14ac:dyDescent="0.3">
      <c r="B341" s="809"/>
      <c r="C341" s="809"/>
    </row>
    <row r="342" spans="2:34" x14ac:dyDescent="0.3">
      <c r="C342" s="809"/>
    </row>
  </sheetData>
  <sheetProtection password="813F" sheet="1" objects="1" scenarios="1" selectLockedCells="1" selectUnlockedCells="1"/>
  <customSheetViews>
    <customSheetView guid="{51165254-F18A-4CD1-9981-8F2DE14CC76C}" fitToPage="1" hiddenRows="1" state="hidden" showRuler="0">
      <pane xSplit="4" topLeftCell="AF1" activePane="topRight" state="frozen"/>
      <selection pane="topRight" activeCell="BY54" sqref="BY54"/>
      <pageMargins left="0.78740157480314965" right="0.78740157480314965" top="0.98425196850393704" bottom="0.98425196850393704" header="0.51181102362204722" footer="0.51181102362204722"/>
      <printOptions horizontalCentered="1" verticalCentered="1"/>
      <pageSetup paperSize="9" scale="42" orientation="portrait" r:id="rId1"/>
      <headerFooter alignWithMargins="0">
        <oddHeader>&amp;L&amp;F</oddHeader>
        <oddFooter xml:space="preserve">&amp;LDAF Dealer Business Plan&amp;CPrint date: &amp;D&amp;R&amp;P/&amp;N | DAF Trucks NV    </oddFooter>
      </headerFooter>
    </customSheetView>
  </customSheetViews>
  <mergeCells count="43">
    <mergeCell ref="BK46:BT46"/>
    <mergeCell ref="BY5:CM5"/>
    <mergeCell ref="BY15:CM15"/>
    <mergeCell ref="BY26:CM26"/>
    <mergeCell ref="BY36:CM36"/>
    <mergeCell ref="BY46:CM46"/>
    <mergeCell ref="BK5:BT5"/>
    <mergeCell ref="BK15:BT15"/>
    <mergeCell ref="BK26:BT26"/>
    <mergeCell ref="BK36:BT36"/>
    <mergeCell ref="R315:AF315"/>
    <mergeCell ref="R326:AF326"/>
    <mergeCell ref="R333:AF333"/>
    <mergeCell ref="AW5:BF5"/>
    <mergeCell ref="R275:AF275"/>
    <mergeCell ref="R283:AF283"/>
    <mergeCell ref="R294:AF294"/>
    <mergeCell ref="R304:AF304"/>
    <mergeCell ref="R236:AF236"/>
    <mergeCell ref="R246:AF246"/>
    <mergeCell ref="R178:AF178"/>
    <mergeCell ref="R188:AF188"/>
    <mergeCell ref="R257:AF257"/>
    <mergeCell ref="R268:AF268"/>
    <mergeCell ref="R199:AF199"/>
    <mergeCell ref="R210:AF210"/>
    <mergeCell ref="R217:AF217"/>
    <mergeCell ref="R225:AF225"/>
    <mergeCell ref="R141:AF141"/>
    <mergeCell ref="R36:AF36"/>
    <mergeCell ref="R152:AF152"/>
    <mergeCell ref="R159:AF159"/>
    <mergeCell ref="R167:AF167"/>
    <mergeCell ref="R109:AF109"/>
    <mergeCell ref="R120:AF120"/>
    <mergeCell ref="R130:AF130"/>
    <mergeCell ref="AK5:AT5"/>
    <mergeCell ref="A3:AD3"/>
    <mergeCell ref="R5:AF5"/>
    <mergeCell ref="R15:AF15"/>
    <mergeCell ref="R54:AF54"/>
    <mergeCell ref="R47:AF47"/>
    <mergeCell ref="R26:AF26"/>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42" orientation="portrait" r:id="rId2"/>
  <headerFooter alignWithMargins="0">
    <oddHeader>&amp;L&amp;F</oddHeader>
    <oddFooter xml:space="preserve">&amp;LDAF Dealer Business Plan&amp;CPrint date: &amp;D&amp;R&amp;P/&amp;N | DAF Trucks NV    </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2">
    <tabColor indexed="55"/>
    <pageSetUpPr fitToPage="1"/>
  </sheetPr>
  <dimension ref="A1:L65535"/>
  <sheetViews>
    <sheetView showGridLines="0" zoomScale="110" zoomScaleNormal="110" zoomScaleSheetLayoutView="85" workbookViewId="0">
      <selection activeCell="G27" sqref="G27:K28"/>
    </sheetView>
  </sheetViews>
  <sheetFormatPr baseColWidth="10" defaultColWidth="0" defaultRowHeight="14.4" zeroHeight="1" x14ac:dyDescent="0.35"/>
  <cols>
    <col min="1" max="1" width="47.33203125" style="45" bestFit="1" customWidth="1"/>
    <col min="2" max="2" width="9.109375" style="45" customWidth="1"/>
    <col min="3" max="3" width="3.44140625" style="45" bestFit="1" customWidth="1"/>
    <col min="4" max="4" width="9.109375" style="45" customWidth="1"/>
    <col min="5" max="5" width="22.44140625" style="45" customWidth="1"/>
    <col min="6" max="6" width="9.109375" style="45" customWidth="1"/>
    <col min="7" max="7" width="28.44140625" style="45" bestFit="1" customWidth="1"/>
    <col min="8" max="8" width="9.6640625" style="45" customWidth="1"/>
    <col min="9" max="10" width="9.109375" style="45" customWidth="1"/>
    <col min="11" max="11" width="42" style="45" customWidth="1"/>
    <col min="12" max="12" width="1.44140625" style="45" customWidth="1"/>
    <col min="13" max="16384" width="9.109375" style="45" hidden="1"/>
  </cols>
  <sheetData>
    <row r="1" spans="1:12" s="209" customFormat="1" ht="28.8" x14ac:dyDescent="0.55000000000000004">
      <c r="A1" s="200" t="str">
        <f>'6.0 New Truck Sales'!A1</f>
        <v>Strategy and Implementation</v>
      </c>
      <c r="B1" s="201"/>
      <c r="C1" s="201"/>
      <c r="D1" s="201"/>
      <c r="E1" s="201"/>
      <c r="F1" s="201"/>
      <c r="G1" s="201"/>
      <c r="H1" s="201"/>
      <c r="I1" s="201"/>
      <c r="J1" s="201"/>
      <c r="K1" s="202" t="s">
        <v>21</v>
      </c>
    </row>
    <row r="2" spans="1:12" x14ac:dyDescent="0.35">
      <c r="A2" s="135"/>
      <c r="B2" s="169"/>
      <c r="C2" s="170"/>
      <c r="D2" s="171"/>
      <c r="E2" s="172"/>
      <c r="F2" s="136"/>
      <c r="G2" s="136"/>
      <c r="H2" s="173"/>
      <c r="I2" s="171"/>
      <c r="J2" s="171"/>
      <c r="K2" s="174"/>
    </row>
    <row r="3" spans="1:12" x14ac:dyDescent="0.35">
      <c r="A3" s="135" t="s">
        <v>1049</v>
      </c>
      <c r="B3" s="169"/>
      <c r="C3" s="164" t="str">
        <f>'Reference sheet'!C12</f>
        <v>TRUCK INTERNATIONAL MOBILITY SA</v>
      </c>
      <c r="D3" s="171"/>
      <c r="E3" s="172"/>
      <c r="F3" s="136"/>
      <c r="G3" s="175" t="s">
        <v>1037</v>
      </c>
      <c r="H3" s="862" t="str">
        <f>'Reference sheet'!C17</f>
        <v>October</v>
      </c>
      <c r="I3" s="863">
        <f>'Reference sheet'!D17</f>
        <v>2018</v>
      </c>
      <c r="J3" s="175" t="s">
        <v>1036</v>
      </c>
      <c r="K3" s="177">
        <f>'Reference sheet'!C15</f>
        <v>2</v>
      </c>
    </row>
    <row r="4" spans="1:12" x14ac:dyDescent="0.35">
      <c r="A4" s="145"/>
      <c r="B4" s="178"/>
      <c r="C4" s="146"/>
      <c r="D4" s="146"/>
      <c r="E4" s="146"/>
      <c r="F4" s="146"/>
      <c r="G4" s="179"/>
      <c r="H4" s="146"/>
      <c r="I4" s="146"/>
      <c r="J4" s="146"/>
      <c r="K4" s="180"/>
    </row>
    <row r="5" spans="1:12" x14ac:dyDescent="0.35">
      <c r="A5" s="148"/>
      <c r="B5" s="181"/>
      <c r="C5" s="136"/>
      <c r="D5" s="136"/>
      <c r="E5" s="136"/>
      <c r="F5" s="136"/>
      <c r="G5" s="182"/>
      <c r="H5" s="136"/>
      <c r="I5" s="136"/>
      <c r="J5" s="136"/>
      <c r="K5" s="181"/>
      <c r="L5" s="136"/>
    </row>
    <row r="6" spans="1:12" ht="18" x14ac:dyDescent="0.35">
      <c r="A6" s="1598" t="s">
        <v>920</v>
      </c>
      <c r="B6" s="181"/>
      <c r="C6" s="136"/>
      <c r="D6" s="136"/>
      <c r="E6" s="136"/>
      <c r="F6" s="136"/>
      <c r="G6" s="279" t="s">
        <v>912</v>
      </c>
      <c r="H6" s="136"/>
      <c r="I6" s="136"/>
      <c r="J6" s="136"/>
      <c r="K6" s="181"/>
      <c r="L6" s="136"/>
    </row>
    <row r="7" spans="1:12" ht="13.2" customHeight="1" x14ac:dyDescent="0.35">
      <c r="A7" s="146"/>
      <c r="B7" s="136"/>
      <c r="C7" s="136"/>
      <c r="D7" s="136"/>
      <c r="E7" s="146"/>
      <c r="F7" s="443"/>
      <c r="G7" s="136"/>
      <c r="H7" s="136"/>
      <c r="I7" s="136"/>
      <c r="J7" s="136"/>
      <c r="K7" s="136"/>
      <c r="L7" s="136"/>
    </row>
    <row r="8" spans="1:12" ht="28.5" customHeight="1" x14ac:dyDescent="0.35">
      <c r="A8" s="1042" t="s">
        <v>718</v>
      </c>
      <c r="B8" s="1592"/>
      <c r="C8" s="1592"/>
      <c r="D8" s="1592"/>
      <c r="E8" s="1593"/>
      <c r="F8" s="443"/>
      <c r="G8" s="832" t="s">
        <v>672</v>
      </c>
      <c r="H8" s="833"/>
      <c r="I8" s="833"/>
      <c r="J8" s="833"/>
      <c r="K8" s="834"/>
    </row>
    <row r="9" spans="1:12" x14ac:dyDescent="0.35">
      <c r="A9" s="2141" t="s">
        <v>1351</v>
      </c>
      <c r="B9" s="2231"/>
      <c r="C9" s="2231"/>
      <c r="D9" s="2231"/>
      <c r="E9" s="2232"/>
      <c r="F9" s="443"/>
      <c r="G9" s="2141" t="s">
        <v>1340</v>
      </c>
      <c r="H9" s="2231"/>
      <c r="I9" s="2231"/>
      <c r="J9" s="2231"/>
      <c r="K9" s="2232"/>
    </row>
    <row r="10" spans="1:12" x14ac:dyDescent="0.35">
      <c r="A10" s="2233"/>
      <c r="B10" s="2234"/>
      <c r="C10" s="2234"/>
      <c r="D10" s="2234"/>
      <c r="E10" s="2235"/>
      <c r="F10" s="443"/>
      <c r="G10" s="2233"/>
      <c r="H10" s="2234"/>
      <c r="I10" s="2234"/>
      <c r="J10" s="2234"/>
      <c r="K10" s="2235"/>
    </row>
    <row r="11" spans="1:12" x14ac:dyDescent="0.35">
      <c r="A11" s="2141" t="s">
        <v>1325</v>
      </c>
      <c r="B11" s="2225"/>
      <c r="C11" s="2225"/>
      <c r="D11" s="2225"/>
      <c r="E11" s="2226"/>
      <c r="F11" s="443"/>
      <c r="G11" s="2141" t="s">
        <v>1378</v>
      </c>
      <c r="H11" s="2225"/>
      <c r="I11" s="2225"/>
      <c r="J11" s="2225"/>
      <c r="K11" s="2226"/>
    </row>
    <row r="12" spans="1:12" x14ac:dyDescent="0.35">
      <c r="A12" s="2227"/>
      <c r="B12" s="2228"/>
      <c r="C12" s="2228"/>
      <c r="D12" s="2228"/>
      <c r="E12" s="2229"/>
      <c r="F12" s="443"/>
      <c r="G12" s="2227"/>
      <c r="H12" s="2228"/>
      <c r="I12" s="2228"/>
      <c r="J12" s="2228"/>
      <c r="K12" s="2229"/>
    </row>
    <row r="13" spans="1:12" x14ac:dyDescent="0.35">
      <c r="A13" s="2141" t="s">
        <v>1379</v>
      </c>
      <c r="B13" s="2225"/>
      <c r="C13" s="2225"/>
      <c r="D13" s="2225"/>
      <c r="E13" s="2226"/>
      <c r="F13" s="443"/>
      <c r="G13" s="2141" t="s">
        <v>1349</v>
      </c>
      <c r="H13" s="2225"/>
      <c r="I13" s="2225"/>
      <c r="J13" s="2225"/>
      <c r="K13" s="2226"/>
    </row>
    <row r="14" spans="1:12" x14ac:dyDescent="0.35">
      <c r="A14" s="2227"/>
      <c r="B14" s="2228"/>
      <c r="C14" s="2228"/>
      <c r="D14" s="2228"/>
      <c r="E14" s="2229"/>
      <c r="F14" s="443"/>
      <c r="G14" s="2227"/>
      <c r="H14" s="2228"/>
      <c r="I14" s="2228"/>
      <c r="J14" s="2228"/>
      <c r="K14" s="2229"/>
    </row>
    <row r="15" spans="1:12" x14ac:dyDescent="0.35">
      <c r="A15" s="2141" t="s">
        <v>1352</v>
      </c>
      <c r="B15" s="2225"/>
      <c r="C15" s="2225"/>
      <c r="D15" s="2225"/>
      <c r="E15" s="2226"/>
      <c r="F15" s="443"/>
      <c r="G15" s="2141" t="s">
        <v>1334</v>
      </c>
      <c r="H15" s="2225"/>
      <c r="I15" s="2225"/>
      <c r="J15" s="2225"/>
      <c r="K15" s="2226"/>
    </row>
    <row r="16" spans="1:12" x14ac:dyDescent="0.35">
      <c r="A16" s="2227"/>
      <c r="B16" s="2228"/>
      <c r="C16" s="2228"/>
      <c r="D16" s="2228"/>
      <c r="E16" s="2229"/>
      <c r="F16" s="443"/>
      <c r="G16" s="2227"/>
      <c r="H16" s="2228"/>
      <c r="I16" s="2228"/>
      <c r="J16" s="2228"/>
      <c r="K16" s="2229"/>
    </row>
    <row r="17" spans="1:12" x14ac:dyDescent="0.35">
      <c r="A17" s="2141" t="s">
        <v>1329</v>
      </c>
      <c r="B17" s="2225"/>
      <c r="C17" s="2225"/>
      <c r="D17" s="2225"/>
      <c r="E17" s="2226"/>
      <c r="F17" s="443"/>
      <c r="G17" s="2141" t="s">
        <v>1335</v>
      </c>
      <c r="H17" s="2225"/>
      <c r="I17" s="2225"/>
      <c r="J17" s="2225"/>
      <c r="K17" s="2226"/>
    </row>
    <row r="18" spans="1:12" x14ac:dyDescent="0.35">
      <c r="A18" s="2227"/>
      <c r="B18" s="2228"/>
      <c r="C18" s="2228"/>
      <c r="D18" s="2228"/>
      <c r="E18" s="2229"/>
      <c r="F18" s="443"/>
      <c r="G18" s="2227"/>
      <c r="H18" s="2228"/>
      <c r="I18" s="2228"/>
      <c r="J18" s="2228"/>
      <c r="K18" s="2229"/>
    </row>
    <row r="19" spans="1:12" x14ac:dyDescent="0.35">
      <c r="A19" s="2141" t="s">
        <v>1353</v>
      </c>
      <c r="B19" s="2225"/>
      <c r="C19" s="2225"/>
      <c r="D19" s="2225"/>
      <c r="E19" s="2226"/>
      <c r="F19" s="443"/>
      <c r="G19" s="2141" t="s">
        <v>1350</v>
      </c>
      <c r="H19" s="2225"/>
      <c r="I19" s="2225"/>
      <c r="J19" s="2225"/>
      <c r="K19" s="2226"/>
    </row>
    <row r="20" spans="1:12" x14ac:dyDescent="0.35">
      <c r="A20" s="2227"/>
      <c r="B20" s="2228"/>
      <c r="C20" s="2228"/>
      <c r="D20" s="2228"/>
      <c r="E20" s="2229"/>
      <c r="F20" s="443"/>
      <c r="G20" s="2227"/>
      <c r="H20" s="2228"/>
      <c r="I20" s="2228"/>
      <c r="J20" s="2228"/>
      <c r="K20" s="2229"/>
    </row>
    <row r="21" spans="1:12" x14ac:dyDescent="0.35">
      <c r="A21" s="2230" t="s">
        <v>1344</v>
      </c>
      <c r="B21" s="2225"/>
      <c r="C21" s="2225"/>
      <c r="D21" s="2225"/>
      <c r="E21" s="2226"/>
      <c r="F21" s="443"/>
      <c r="G21" s="2141" t="s">
        <v>1336</v>
      </c>
      <c r="H21" s="2225"/>
      <c r="I21" s="2225"/>
      <c r="J21" s="2225"/>
      <c r="K21" s="2226"/>
    </row>
    <row r="22" spans="1:12" x14ac:dyDescent="0.35">
      <c r="A22" s="2227"/>
      <c r="B22" s="2228"/>
      <c r="C22" s="2228"/>
      <c r="D22" s="2228"/>
      <c r="E22" s="2229"/>
      <c r="F22" s="443"/>
      <c r="G22" s="2227"/>
      <c r="H22" s="2228"/>
      <c r="I22" s="2228"/>
      <c r="J22" s="2228"/>
      <c r="K22" s="2229"/>
    </row>
    <row r="23" spans="1:12" x14ac:dyDescent="0.35">
      <c r="A23" s="2230" t="s">
        <v>1380</v>
      </c>
      <c r="B23" s="2225"/>
      <c r="C23" s="2225"/>
      <c r="D23" s="2225"/>
      <c r="E23" s="2226"/>
      <c r="F23" s="443"/>
      <c r="G23" s="2141" t="s">
        <v>1345</v>
      </c>
      <c r="H23" s="2225"/>
      <c r="I23" s="2225"/>
      <c r="J23" s="2225"/>
      <c r="K23" s="2226"/>
    </row>
    <row r="24" spans="1:12" x14ac:dyDescent="0.35">
      <c r="A24" s="2227"/>
      <c r="B24" s="2228"/>
      <c r="C24" s="2228"/>
      <c r="D24" s="2228"/>
      <c r="E24" s="2229"/>
      <c r="F24" s="443"/>
      <c r="G24" s="2227"/>
      <c r="H24" s="2228"/>
      <c r="I24" s="2228"/>
      <c r="J24" s="2228"/>
      <c r="K24" s="2229"/>
    </row>
    <row r="25" spans="1:12" x14ac:dyDescent="0.35">
      <c r="A25" s="2141" t="s">
        <v>1333</v>
      </c>
      <c r="B25" s="2225"/>
      <c r="C25" s="2225"/>
      <c r="D25" s="2225"/>
      <c r="E25" s="2226"/>
      <c r="F25" s="443"/>
      <c r="G25" s="2230" t="s">
        <v>1346</v>
      </c>
      <c r="H25" s="2225"/>
      <c r="I25" s="2225"/>
      <c r="J25" s="2225"/>
      <c r="K25" s="2226"/>
    </row>
    <row r="26" spans="1:12" x14ac:dyDescent="0.35">
      <c r="A26" s="2227"/>
      <c r="B26" s="2228"/>
      <c r="C26" s="2228"/>
      <c r="D26" s="2228"/>
      <c r="E26" s="2229"/>
      <c r="F26" s="443"/>
      <c r="G26" s="2227"/>
      <c r="H26" s="2228"/>
      <c r="I26" s="2228"/>
      <c r="J26" s="2228"/>
      <c r="K26" s="2229"/>
    </row>
    <row r="27" spans="1:12" x14ac:dyDescent="0.35">
      <c r="A27" s="2230" t="s">
        <v>1393</v>
      </c>
      <c r="B27" s="2225"/>
      <c r="C27" s="2225"/>
      <c r="D27" s="2225"/>
      <c r="E27" s="2226"/>
      <c r="F27" s="443"/>
      <c r="G27" s="2141" t="s">
        <v>1394</v>
      </c>
      <c r="H27" s="2225"/>
      <c r="I27" s="2225"/>
      <c r="J27" s="2225"/>
      <c r="K27" s="2226"/>
    </row>
    <row r="28" spans="1:12" x14ac:dyDescent="0.35">
      <c r="A28" s="2227"/>
      <c r="B28" s="2228"/>
      <c r="C28" s="2228"/>
      <c r="D28" s="2228"/>
      <c r="E28" s="2229"/>
      <c r="F28" s="443"/>
      <c r="G28" s="2227"/>
      <c r="H28" s="2228"/>
      <c r="I28" s="2228"/>
      <c r="J28" s="2228"/>
      <c r="K28" s="2229"/>
    </row>
    <row r="29" spans="1:12" x14ac:dyDescent="0.35">
      <c r="A29" s="1624"/>
      <c r="B29" s="229"/>
      <c r="C29" s="229"/>
      <c r="D29" s="229"/>
      <c r="E29" s="229"/>
      <c r="F29" s="1818"/>
      <c r="G29" s="229"/>
      <c r="H29" s="229"/>
      <c r="I29" s="229"/>
      <c r="J29" s="229"/>
      <c r="K29" s="229"/>
      <c r="L29" s="171"/>
    </row>
    <row r="30" spans="1:12" ht="28.5" customHeight="1" x14ac:dyDescent="0.35">
      <c r="A30" s="1042" t="s">
        <v>719</v>
      </c>
      <c r="B30" s="833"/>
      <c r="C30" s="833"/>
      <c r="D30" s="833"/>
      <c r="E30" s="834"/>
      <c r="F30" s="472"/>
      <c r="G30" s="832" t="s">
        <v>671</v>
      </c>
      <c r="H30" s="833"/>
      <c r="I30" s="833"/>
      <c r="J30" s="833"/>
      <c r="K30" s="834"/>
    </row>
    <row r="31" spans="1:12" x14ac:dyDescent="0.35">
      <c r="A31" s="2230" t="s">
        <v>1360</v>
      </c>
      <c r="B31" s="2231"/>
      <c r="C31" s="2231"/>
      <c r="D31" s="2231"/>
      <c r="E31" s="2232"/>
      <c r="F31" s="472"/>
      <c r="G31" s="2230" t="s">
        <v>1392</v>
      </c>
      <c r="H31" s="2231"/>
      <c r="I31" s="2231"/>
      <c r="J31" s="2231"/>
      <c r="K31" s="2232"/>
    </row>
    <row r="32" spans="1:12" x14ac:dyDescent="0.35">
      <c r="A32" s="2233"/>
      <c r="B32" s="2234"/>
      <c r="C32" s="2234"/>
      <c r="D32" s="2234"/>
      <c r="E32" s="2235"/>
      <c r="F32" s="472"/>
      <c r="G32" s="2233"/>
      <c r="H32" s="2234"/>
      <c r="I32" s="2234"/>
      <c r="J32" s="2234"/>
      <c r="K32" s="2235"/>
    </row>
    <row r="33" spans="1:11" x14ac:dyDescent="0.35">
      <c r="A33" s="2141" t="s">
        <v>1355</v>
      </c>
      <c r="B33" s="2225"/>
      <c r="C33" s="2225"/>
      <c r="D33" s="2225"/>
      <c r="E33" s="2226"/>
      <c r="F33" s="472"/>
      <c r="G33" s="2230" t="s">
        <v>1359</v>
      </c>
      <c r="H33" s="2225"/>
      <c r="I33" s="2225"/>
      <c r="J33" s="2225"/>
      <c r="K33" s="2226"/>
    </row>
    <row r="34" spans="1:11" x14ac:dyDescent="0.35">
      <c r="A34" s="2227"/>
      <c r="B34" s="2228"/>
      <c r="C34" s="2228"/>
      <c r="D34" s="2228"/>
      <c r="E34" s="2229"/>
      <c r="F34" s="472"/>
      <c r="G34" s="2227"/>
      <c r="H34" s="2228"/>
      <c r="I34" s="2228"/>
      <c r="J34" s="2228"/>
      <c r="K34" s="2229"/>
    </row>
    <row r="35" spans="1:11" x14ac:dyDescent="0.35">
      <c r="A35" s="2230" t="s">
        <v>1354</v>
      </c>
      <c r="B35" s="2225"/>
      <c r="C35" s="2225"/>
      <c r="D35" s="2225"/>
      <c r="E35" s="2226"/>
      <c r="F35" s="472"/>
      <c r="G35" s="2141" t="s">
        <v>1361</v>
      </c>
      <c r="H35" s="2225"/>
      <c r="I35" s="2225"/>
      <c r="J35" s="2225"/>
      <c r="K35" s="2226"/>
    </row>
    <row r="36" spans="1:11" x14ac:dyDescent="0.35">
      <c r="A36" s="2227"/>
      <c r="B36" s="2228"/>
      <c r="C36" s="2228"/>
      <c r="D36" s="2228"/>
      <c r="E36" s="2229"/>
      <c r="F36" s="472"/>
      <c r="G36" s="2227"/>
      <c r="H36" s="2228"/>
      <c r="I36" s="2228"/>
      <c r="J36" s="2228"/>
      <c r="K36" s="2229"/>
    </row>
    <row r="37" spans="1:11" x14ac:dyDescent="0.35">
      <c r="A37" s="2141" t="s">
        <v>1326</v>
      </c>
      <c r="B37" s="2225"/>
      <c r="C37" s="2225"/>
      <c r="D37" s="2225"/>
      <c r="E37" s="2226"/>
      <c r="F37" s="472"/>
      <c r="G37" s="2141"/>
      <c r="H37" s="2225"/>
      <c r="I37" s="2225"/>
      <c r="J37" s="2225"/>
      <c r="K37" s="2226"/>
    </row>
    <row r="38" spans="1:11" x14ac:dyDescent="0.35">
      <c r="A38" s="2227"/>
      <c r="B38" s="2228"/>
      <c r="C38" s="2228"/>
      <c r="D38" s="2228"/>
      <c r="E38" s="2229"/>
      <c r="F38" s="472"/>
      <c r="G38" s="2227"/>
      <c r="H38" s="2228"/>
      <c r="I38" s="2228"/>
      <c r="J38" s="2228"/>
      <c r="K38" s="2229"/>
    </row>
    <row r="39" spans="1:11" x14ac:dyDescent="0.35">
      <c r="A39" s="2141" t="s">
        <v>1094</v>
      </c>
      <c r="B39" s="2225"/>
      <c r="C39" s="2225"/>
      <c r="D39" s="2225"/>
      <c r="E39" s="2226"/>
      <c r="F39" s="472"/>
      <c r="G39" s="2141"/>
      <c r="H39" s="2225"/>
      <c r="I39" s="2225"/>
      <c r="J39" s="2225"/>
      <c r="K39" s="2226"/>
    </row>
    <row r="40" spans="1:11" x14ac:dyDescent="0.35">
      <c r="A40" s="2227"/>
      <c r="B40" s="2228"/>
      <c r="C40" s="2228"/>
      <c r="D40" s="2228"/>
      <c r="E40" s="2229"/>
      <c r="F40" s="472"/>
      <c r="G40" s="2227"/>
      <c r="H40" s="2228"/>
      <c r="I40" s="2228"/>
      <c r="J40" s="2228"/>
      <c r="K40" s="2229"/>
    </row>
    <row r="41" spans="1:11" x14ac:dyDescent="0.35">
      <c r="A41" s="2141"/>
      <c r="B41" s="2225"/>
      <c r="C41" s="2225"/>
      <c r="D41" s="2225"/>
      <c r="E41" s="2226"/>
      <c r="F41" s="472"/>
      <c r="G41" s="2141" t="s">
        <v>1328</v>
      </c>
      <c r="H41" s="2225"/>
      <c r="I41" s="2225"/>
      <c r="J41" s="2225"/>
      <c r="K41" s="2226"/>
    </row>
    <row r="42" spans="1:11" x14ac:dyDescent="0.35">
      <c r="A42" s="2227"/>
      <c r="B42" s="2228"/>
      <c r="C42" s="2228"/>
      <c r="D42" s="2228"/>
      <c r="E42" s="2229"/>
      <c r="F42" s="472"/>
      <c r="G42" s="2227"/>
      <c r="H42" s="2228"/>
      <c r="I42" s="2228"/>
      <c r="J42" s="2228"/>
      <c r="K42" s="2229"/>
    </row>
    <row r="43" spans="1:11" x14ac:dyDescent="0.35">
      <c r="A43" s="2141" t="s">
        <v>1324</v>
      </c>
      <c r="B43" s="2225"/>
      <c r="C43" s="2225"/>
      <c r="D43" s="2225"/>
      <c r="E43" s="2226"/>
      <c r="F43" s="472"/>
      <c r="G43" s="2141" t="s">
        <v>1324</v>
      </c>
      <c r="H43" s="2225"/>
      <c r="I43" s="2225"/>
      <c r="J43" s="2225"/>
      <c r="K43" s="2226"/>
    </row>
    <row r="44" spans="1:11" x14ac:dyDescent="0.35">
      <c r="A44" s="2227"/>
      <c r="B44" s="2228"/>
      <c r="C44" s="2228"/>
      <c r="D44" s="2228"/>
      <c r="E44" s="2229"/>
      <c r="F44" s="472"/>
      <c r="G44" s="2227"/>
      <c r="H44" s="2228"/>
      <c r="I44" s="2228"/>
      <c r="J44" s="2228"/>
      <c r="K44" s="2229"/>
    </row>
    <row r="45" spans="1:11" s="199" customFormat="1" x14ac:dyDescent="0.35">
      <c r="A45" s="2141" t="s">
        <v>1095</v>
      </c>
      <c r="B45" s="2225"/>
      <c r="C45" s="2225"/>
      <c r="D45" s="2225"/>
      <c r="E45" s="2226"/>
      <c r="F45" s="472"/>
      <c r="G45" s="2141" t="s">
        <v>1330</v>
      </c>
      <c r="H45" s="2225"/>
      <c r="I45" s="2225"/>
      <c r="J45" s="2225"/>
      <c r="K45" s="2226"/>
    </row>
    <row r="46" spans="1:11" s="199" customFormat="1" x14ac:dyDescent="0.35">
      <c r="A46" s="2227"/>
      <c r="B46" s="2228"/>
      <c r="C46" s="2228"/>
      <c r="D46" s="2228"/>
      <c r="E46" s="2229"/>
      <c r="F46" s="472"/>
      <c r="G46" s="2227"/>
      <c r="H46" s="2228"/>
      <c r="I46" s="2228"/>
      <c r="J46" s="2228"/>
      <c r="K46" s="2229"/>
    </row>
    <row r="47" spans="1:11" s="199" customFormat="1" x14ac:dyDescent="0.35">
      <c r="A47" s="2141" t="s">
        <v>1331</v>
      </c>
      <c r="B47" s="2225"/>
      <c r="C47" s="2225"/>
      <c r="D47" s="2225"/>
      <c r="E47" s="2226"/>
      <c r="F47" s="472"/>
      <c r="G47" s="2141" t="s">
        <v>1331</v>
      </c>
      <c r="H47" s="2225"/>
      <c r="I47" s="2225"/>
      <c r="J47" s="2225"/>
      <c r="K47" s="2226"/>
    </row>
    <row r="48" spans="1:11" s="199" customFormat="1" x14ac:dyDescent="0.35">
      <c r="A48" s="2227"/>
      <c r="B48" s="2228"/>
      <c r="C48" s="2228"/>
      <c r="D48" s="2228"/>
      <c r="E48" s="2229"/>
      <c r="F48" s="472"/>
      <c r="G48" s="2227"/>
      <c r="H48" s="2228"/>
      <c r="I48" s="2228"/>
      <c r="J48" s="2228"/>
      <c r="K48" s="2229"/>
    </row>
    <row r="49" spans="1:12" s="199" customFormat="1" x14ac:dyDescent="0.35">
      <c r="A49" s="2141" t="s">
        <v>1332</v>
      </c>
      <c r="B49" s="2225"/>
      <c r="C49" s="2225"/>
      <c r="D49" s="2225"/>
      <c r="E49" s="2226"/>
      <c r="F49" s="472"/>
      <c r="G49" s="2141" t="s">
        <v>1332</v>
      </c>
      <c r="H49" s="2225"/>
      <c r="I49" s="2225"/>
      <c r="J49" s="2225"/>
      <c r="K49" s="2226"/>
    </row>
    <row r="50" spans="1:12" s="199" customFormat="1" x14ac:dyDescent="0.35">
      <c r="A50" s="2227"/>
      <c r="B50" s="2228"/>
      <c r="C50" s="2228"/>
      <c r="D50" s="2228"/>
      <c r="E50" s="2229"/>
      <c r="F50" s="472"/>
      <c r="G50" s="2227"/>
      <c r="H50" s="2228"/>
      <c r="I50" s="2228"/>
      <c r="J50" s="2228"/>
      <c r="K50" s="2229"/>
    </row>
    <row r="51" spans="1:12" s="199" customFormat="1" x14ac:dyDescent="0.35">
      <c r="A51" s="1624"/>
      <c r="B51" s="229"/>
      <c r="C51" s="229"/>
      <c r="D51" s="229"/>
      <c r="E51" s="229"/>
      <c r="F51" s="1818"/>
      <c r="G51" s="229"/>
      <c r="H51" s="229"/>
      <c r="I51" s="229"/>
      <c r="J51" s="229"/>
      <c r="K51" s="229"/>
      <c r="L51" s="171"/>
    </row>
    <row r="52" spans="1:12" ht="33" customHeight="1" x14ac:dyDescent="0.35">
      <c r="A52" s="1042" t="s">
        <v>902</v>
      </c>
      <c r="B52" s="833"/>
      <c r="C52" s="833"/>
      <c r="D52" s="833"/>
      <c r="E52" s="834"/>
      <c r="F52" s="443"/>
      <c r="G52" s="832" t="s">
        <v>670</v>
      </c>
      <c r="H52" s="833"/>
      <c r="I52" s="833"/>
      <c r="J52" s="833"/>
      <c r="K52" s="834"/>
    </row>
    <row r="53" spans="1:12" x14ac:dyDescent="0.35">
      <c r="A53" s="2141" t="s">
        <v>1356</v>
      </c>
      <c r="B53" s="2231"/>
      <c r="C53" s="2231"/>
      <c r="D53" s="2231"/>
      <c r="E53" s="2232"/>
      <c r="F53" s="443"/>
      <c r="G53" s="2141" t="s">
        <v>1357</v>
      </c>
      <c r="H53" s="2231"/>
      <c r="I53" s="2231"/>
      <c r="J53" s="2231"/>
      <c r="K53" s="2232"/>
    </row>
    <row r="54" spans="1:12" ht="15" customHeight="1" x14ac:dyDescent="0.35">
      <c r="A54" s="2233"/>
      <c r="B54" s="2234"/>
      <c r="C54" s="2234"/>
      <c r="D54" s="2234"/>
      <c r="E54" s="2235"/>
      <c r="F54" s="443"/>
      <c r="G54" s="2233"/>
      <c r="H54" s="2234"/>
      <c r="I54" s="2234"/>
      <c r="J54" s="2234"/>
      <c r="K54" s="2235"/>
    </row>
    <row r="55" spans="1:12" x14ac:dyDescent="0.35">
      <c r="A55" s="2230" t="s">
        <v>1362</v>
      </c>
      <c r="B55" s="2225"/>
      <c r="C55" s="2225"/>
      <c r="D55" s="2225"/>
      <c r="E55" s="2226"/>
      <c r="F55" s="443"/>
      <c r="G55" s="2230" t="s">
        <v>1391</v>
      </c>
      <c r="H55" s="2225"/>
      <c r="I55" s="2225"/>
      <c r="J55" s="2225"/>
      <c r="K55" s="2226"/>
    </row>
    <row r="56" spans="1:12" x14ac:dyDescent="0.35">
      <c r="A56" s="2227"/>
      <c r="B56" s="2228"/>
      <c r="C56" s="2228"/>
      <c r="D56" s="2228"/>
      <c r="E56" s="2229"/>
      <c r="F56" s="443"/>
      <c r="G56" s="2227"/>
      <c r="H56" s="2228"/>
      <c r="I56" s="2228"/>
      <c r="J56" s="2228"/>
      <c r="K56" s="2229"/>
    </row>
    <row r="57" spans="1:12" x14ac:dyDescent="0.35">
      <c r="A57" s="2141" t="s">
        <v>1389</v>
      </c>
      <c r="B57" s="2225"/>
      <c r="C57" s="2225"/>
      <c r="D57" s="2225"/>
      <c r="E57" s="2226"/>
      <c r="F57" s="443"/>
      <c r="G57" s="2141" t="s">
        <v>1390</v>
      </c>
      <c r="H57" s="2225"/>
      <c r="I57" s="2225"/>
      <c r="J57" s="2225"/>
      <c r="K57" s="2226"/>
    </row>
    <row r="58" spans="1:12" x14ac:dyDescent="0.35">
      <c r="A58" s="2227"/>
      <c r="B58" s="2228"/>
      <c r="C58" s="2228"/>
      <c r="D58" s="2228"/>
      <c r="E58" s="2229"/>
      <c r="F58" s="443"/>
      <c r="G58" s="2227"/>
      <c r="H58" s="2228"/>
      <c r="I58" s="2228"/>
      <c r="J58" s="2228"/>
      <c r="K58" s="2229"/>
    </row>
    <row r="59" spans="1:12" x14ac:dyDescent="0.35">
      <c r="A59" s="2141" t="s">
        <v>1326</v>
      </c>
      <c r="B59" s="2225"/>
      <c r="C59" s="2225"/>
      <c r="D59" s="2225"/>
      <c r="E59" s="2226"/>
      <c r="F59" s="443"/>
      <c r="G59" s="2141" t="s">
        <v>1093</v>
      </c>
      <c r="H59" s="2225"/>
      <c r="I59" s="2225"/>
      <c r="J59" s="2225"/>
      <c r="K59" s="2226"/>
    </row>
    <row r="60" spans="1:12" x14ac:dyDescent="0.35">
      <c r="A60" s="2227"/>
      <c r="B60" s="2228"/>
      <c r="C60" s="2228"/>
      <c r="D60" s="2228"/>
      <c r="E60" s="2229"/>
      <c r="F60" s="443"/>
      <c r="G60" s="2227"/>
      <c r="H60" s="2228"/>
      <c r="I60" s="2228"/>
      <c r="J60" s="2228"/>
      <c r="K60" s="2229"/>
    </row>
    <row r="61" spans="1:12" x14ac:dyDescent="0.35">
      <c r="A61" s="2141" t="s">
        <v>1327</v>
      </c>
      <c r="B61" s="2225"/>
      <c r="C61" s="2225"/>
      <c r="D61" s="2225"/>
      <c r="E61" s="2226"/>
      <c r="F61" s="443"/>
      <c r="G61" s="2141" t="s">
        <v>1327</v>
      </c>
      <c r="H61" s="2225"/>
      <c r="I61" s="2225"/>
      <c r="J61" s="2225"/>
      <c r="K61" s="2226"/>
    </row>
    <row r="62" spans="1:12" x14ac:dyDescent="0.35">
      <c r="A62" s="2227"/>
      <c r="B62" s="2228"/>
      <c r="C62" s="2228"/>
      <c r="D62" s="2228"/>
      <c r="E62" s="2229"/>
      <c r="F62" s="443"/>
      <c r="G62" s="2227"/>
      <c r="H62" s="2228"/>
      <c r="I62" s="2228"/>
      <c r="J62" s="2228"/>
      <c r="K62" s="2229"/>
    </row>
    <row r="63" spans="1:12" x14ac:dyDescent="0.35">
      <c r="A63" s="2141" t="s">
        <v>1328</v>
      </c>
      <c r="B63" s="2225"/>
      <c r="C63" s="2225"/>
      <c r="D63" s="2225"/>
      <c r="E63" s="2226"/>
      <c r="F63" s="443"/>
      <c r="G63" s="2141" t="s">
        <v>1328</v>
      </c>
      <c r="H63" s="2225"/>
      <c r="I63" s="2225"/>
      <c r="J63" s="2225"/>
      <c r="K63" s="2226"/>
    </row>
    <row r="64" spans="1:12" x14ac:dyDescent="0.35">
      <c r="A64" s="2227"/>
      <c r="B64" s="2228"/>
      <c r="C64" s="2228"/>
      <c r="D64" s="2228"/>
      <c r="E64" s="2229"/>
      <c r="F64" s="443"/>
      <c r="G64" s="2227"/>
      <c r="H64" s="2228"/>
      <c r="I64" s="2228"/>
      <c r="J64" s="2228"/>
      <c r="K64" s="2229"/>
    </row>
    <row r="65" spans="1:12" x14ac:dyDescent="0.35">
      <c r="A65" s="2141" t="s">
        <v>1324</v>
      </c>
      <c r="B65" s="2225"/>
      <c r="C65" s="2225"/>
      <c r="D65" s="2225"/>
      <c r="E65" s="2226"/>
      <c r="F65" s="443"/>
      <c r="G65" s="2141" t="s">
        <v>1324</v>
      </c>
      <c r="H65" s="2225"/>
      <c r="I65" s="2225"/>
      <c r="J65" s="2225"/>
      <c r="K65" s="2226"/>
    </row>
    <row r="66" spans="1:12" x14ac:dyDescent="0.35">
      <c r="A66" s="2227"/>
      <c r="B66" s="2228"/>
      <c r="C66" s="2228"/>
      <c r="D66" s="2228"/>
      <c r="E66" s="2229"/>
      <c r="F66" s="443"/>
      <c r="G66" s="2227"/>
      <c r="H66" s="2228"/>
      <c r="I66" s="2228"/>
      <c r="J66" s="2228"/>
      <c r="K66" s="2229"/>
    </row>
    <row r="67" spans="1:12" x14ac:dyDescent="0.35">
      <c r="A67" s="2141" t="s">
        <v>1330</v>
      </c>
      <c r="B67" s="2225"/>
      <c r="C67" s="2225"/>
      <c r="D67" s="2225"/>
      <c r="E67" s="2226"/>
      <c r="F67" s="443"/>
      <c r="G67" s="2141" t="s">
        <v>1095</v>
      </c>
      <c r="H67" s="2225"/>
      <c r="I67" s="2225"/>
      <c r="J67" s="2225"/>
      <c r="K67" s="2226"/>
    </row>
    <row r="68" spans="1:12" x14ac:dyDescent="0.35">
      <c r="A68" s="2227"/>
      <c r="B68" s="2228"/>
      <c r="C68" s="2228"/>
      <c r="D68" s="2228"/>
      <c r="E68" s="2229"/>
      <c r="F68" s="443"/>
      <c r="G68" s="2227"/>
      <c r="H68" s="2228"/>
      <c r="I68" s="2228"/>
      <c r="J68" s="2228"/>
      <c r="K68" s="2229"/>
    </row>
    <row r="69" spans="1:12" x14ac:dyDescent="0.35">
      <c r="A69" s="2141" t="s">
        <v>1331</v>
      </c>
      <c r="B69" s="2225"/>
      <c r="C69" s="2225"/>
      <c r="D69" s="2225"/>
      <c r="E69" s="2226"/>
      <c r="F69" s="443"/>
      <c r="G69" s="2141" t="s">
        <v>1331</v>
      </c>
      <c r="H69" s="2225"/>
      <c r="I69" s="2225"/>
      <c r="J69" s="2225"/>
      <c r="K69" s="2226"/>
    </row>
    <row r="70" spans="1:12" x14ac:dyDescent="0.35">
      <c r="A70" s="2227"/>
      <c r="B70" s="2228"/>
      <c r="C70" s="2228"/>
      <c r="D70" s="2228"/>
      <c r="E70" s="2229"/>
      <c r="F70" s="443"/>
      <c r="G70" s="2227"/>
      <c r="H70" s="2228"/>
      <c r="I70" s="2228"/>
      <c r="J70" s="2228"/>
      <c r="K70" s="2229"/>
    </row>
    <row r="71" spans="1:12" x14ac:dyDescent="0.35">
      <c r="A71" s="2141" t="s">
        <v>1332</v>
      </c>
      <c r="B71" s="2225"/>
      <c r="C71" s="2225"/>
      <c r="D71" s="2225"/>
      <c r="E71" s="2226"/>
      <c r="F71" s="443"/>
      <c r="G71" s="2141" t="s">
        <v>1096</v>
      </c>
      <c r="H71" s="2225"/>
      <c r="I71" s="2225"/>
      <c r="J71" s="2225"/>
      <c r="K71" s="2226"/>
    </row>
    <row r="72" spans="1:12" x14ac:dyDescent="0.35">
      <c r="A72" s="2227"/>
      <c r="B72" s="2228"/>
      <c r="C72" s="2228"/>
      <c r="D72" s="2228"/>
      <c r="E72" s="2229"/>
      <c r="F72" s="443"/>
      <c r="G72" s="2227"/>
      <c r="H72" s="2228"/>
      <c r="I72" s="2228"/>
      <c r="J72" s="2228"/>
      <c r="K72" s="2229"/>
    </row>
    <row r="73" spans="1:12" x14ac:dyDescent="0.35">
      <c r="A73" s="184"/>
      <c r="B73" s="136"/>
      <c r="C73" s="136"/>
      <c r="D73" s="136"/>
      <c r="E73" s="136"/>
      <c r="F73" s="443"/>
      <c r="G73" s="136"/>
      <c r="H73" s="136"/>
      <c r="I73" s="136"/>
      <c r="J73" s="136"/>
      <c r="K73" s="136"/>
      <c r="L73" s="136"/>
    </row>
    <row r="74" spans="1:12" ht="40.5" customHeight="1" x14ac:dyDescent="0.35">
      <c r="A74" s="1042" t="s">
        <v>903</v>
      </c>
      <c r="B74" s="833"/>
      <c r="C74" s="833"/>
      <c r="D74" s="833"/>
      <c r="E74" s="834"/>
      <c r="F74" s="443"/>
      <c r="G74" s="832" t="s">
        <v>669</v>
      </c>
      <c r="H74" s="833"/>
      <c r="I74" s="833"/>
      <c r="J74" s="833"/>
      <c r="K74" s="834"/>
    </row>
    <row r="75" spans="1:12" x14ac:dyDescent="0.35">
      <c r="A75" s="2141" t="s">
        <v>1363</v>
      </c>
      <c r="B75" s="2231"/>
      <c r="C75" s="2231"/>
      <c r="D75" s="2231"/>
      <c r="E75" s="2232"/>
      <c r="F75" s="443"/>
      <c r="G75" s="2230" t="s">
        <v>1364</v>
      </c>
      <c r="H75" s="2231"/>
      <c r="I75" s="2231"/>
      <c r="J75" s="2231"/>
      <c r="K75" s="2232"/>
    </row>
    <row r="76" spans="1:12" x14ac:dyDescent="0.35">
      <c r="A76" s="2233"/>
      <c r="B76" s="2234"/>
      <c r="C76" s="2234"/>
      <c r="D76" s="2234"/>
      <c r="E76" s="2235"/>
      <c r="F76" s="443"/>
      <c r="G76" s="2233"/>
      <c r="H76" s="2234"/>
      <c r="I76" s="2234"/>
      <c r="J76" s="2234"/>
      <c r="K76" s="2235"/>
    </row>
    <row r="77" spans="1:12" x14ac:dyDescent="0.35">
      <c r="A77" s="2141" t="s">
        <v>1365</v>
      </c>
      <c r="B77" s="2225"/>
      <c r="C77" s="2225"/>
      <c r="D77" s="2225"/>
      <c r="E77" s="2226"/>
      <c r="F77" s="443"/>
      <c r="G77" s="2230" t="s">
        <v>1366</v>
      </c>
      <c r="H77" s="2225"/>
      <c r="I77" s="2225"/>
      <c r="J77" s="2225"/>
      <c r="K77" s="2226"/>
    </row>
    <row r="78" spans="1:12" x14ac:dyDescent="0.35">
      <c r="A78" s="2227"/>
      <c r="B78" s="2228"/>
      <c r="C78" s="2228"/>
      <c r="D78" s="2228"/>
      <c r="E78" s="2229"/>
      <c r="F78" s="443"/>
      <c r="G78" s="2227"/>
      <c r="H78" s="2228"/>
      <c r="I78" s="2228"/>
      <c r="J78" s="2228"/>
      <c r="K78" s="2229"/>
    </row>
    <row r="79" spans="1:12" x14ac:dyDescent="0.35">
      <c r="A79" s="2230" t="s">
        <v>1358</v>
      </c>
      <c r="B79" s="2225"/>
      <c r="C79" s="2225"/>
      <c r="D79" s="2225"/>
      <c r="E79" s="2226"/>
      <c r="F79" s="443"/>
      <c r="G79" s="2230" t="s">
        <v>1367</v>
      </c>
      <c r="H79" s="2225"/>
      <c r="I79" s="2225"/>
      <c r="J79" s="2225"/>
      <c r="K79" s="2226"/>
    </row>
    <row r="80" spans="1:12" x14ac:dyDescent="0.35">
      <c r="A80" s="2227"/>
      <c r="B80" s="2228"/>
      <c r="C80" s="2228"/>
      <c r="D80" s="2228"/>
      <c r="E80" s="2229"/>
      <c r="F80" s="443"/>
      <c r="G80" s="2227"/>
      <c r="H80" s="2228"/>
      <c r="I80" s="2228"/>
      <c r="J80" s="2228"/>
      <c r="K80" s="2229"/>
    </row>
    <row r="81" spans="1:11" x14ac:dyDescent="0.35">
      <c r="A81" s="2141" t="s">
        <v>1341</v>
      </c>
      <c r="B81" s="2225"/>
      <c r="C81" s="2225"/>
      <c r="D81" s="2225"/>
      <c r="E81" s="2226"/>
      <c r="F81" s="443"/>
      <c r="G81" s="2230" t="s">
        <v>1368</v>
      </c>
      <c r="H81" s="2225"/>
      <c r="I81" s="2225"/>
      <c r="J81" s="2225"/>
      <c r="K81" s="2226"/>
    </row>
    <row r="82" spans="1:11" x14ac:dyDescent="0.35">
      <c r="A82" s="2227"/>
      <c r="B82" s="2228"/>
      <c r="C82" s="2228"/>
      <c r="D82" s="2228"/>
      <c r="E82" s="2229"/>
      <c r="F82" s="443"/>
      <c r="G82" s="2227"/>
      <c r="H82" s="2228"/>
      <c r="I82" s="2228"/>
      <c r="J82" s="2228"/>
      <c r="K82" s="2229"/>
    </row>
    <row r="83" spans="1:11" x14ac:dyDescent="0.35">
      <c r="A83" s="2141" t="s">
        <v>1370</v>
      </c>
      <c r="B83" s="2225"/>
      <c r="C83" s="2225"/>
      <c r="D83" s="2225"/>
      <c r="E83" s="2226"/>
      <c r="F83" s="443"/>
      <c r="G83" s="2230" t="s">
        <v>1371</v>
      </c>
      <c r="H83" s="2225"/>
      <c r="I83" s="2225"/>
      <c r="J83" s="2225"/>
      <c r="K83" s="2226"/>
    </row>
    <row r="84" spans="1:11" x14ac:dyDescent="0.35">
      <c r="A84" s="2227"/>
      <c r="B84" s="2228"/>
      <c r="C84" s="2228"/>
      <c r="D84" s="2228"/>
      <c r="E84" s="2229"/>
      <c r="F84" s="443"/>
      <c r="G84" s="2227"/>
      <c r="H84" s="2228"/>
      <c r="I84" s="2228"/>
      <c r="J84" s="2228"/>
      <c r="K84" s="2229"/>
    </row>
    <row r="85" spans="1:11" x14ac:dyDescent="0.35">
      <c r="A85" s="2230" t="s">
        <v>1342</v>
      </c>
      <c r="B85" s="2225"/>
      <c r="C85" s="2225"/>
      <c r="D85" s="2225"/>
      <c r="E85" s="2226"/>
      <c r="F85" s="443"/>
      <c r="G85" s="2141" t="s">
        <v>1369</v>
      </c>
      <c r="H85" s="2225"/>
      <c r="I85" s="2225"/>
      <c r="J85" s="2225"/>
      <c r="K85" s="2226"/>
    </row>
    <row r="86" spans="1:11" x14ac:dyDescent="0.35">
      <c r="A86" s="2227"/>
      <c r="B86" s="2228"/>
      <c r="C86" s="2228"/>
      <c r="D86" s="2228"/>
      <c r="E86" s="2229"/>
      <c r="F86" s="443"/>
      <c r="G86" s="2227"/>
      <c r="H86" s="2228"/>
      <c r="I86" s="2228"/>
      <c r="J86" s="2228"/>
      <c r="K86" s="2229"/>
    </row>
    <row r="87" spans="1:11" x14ac:dyDescent="0.35">
      <c r="A87" s="2141" t="s">
        <v>1372</v>
      </c>
      <c r="B87" s="2225"/>
      <c r="C87" s="2225"/>
      <c r="D87" s="2225"/>
      <c r="E87" s="2226"/>
      <c r="F87" s="443"/>
      <c r="G87" s="2141" t="s">
        <v>1373</v>
      </c>
      <c r="H87" s="2225"/>
      <c r="I87" s="2225"/>
      <c r="J87" s="2225"/>
      <c r="K87" s="2226"/>
    </row>
    <row r="88" spans="1:11" x14ac:dyDescent="0.35">
      <c r="A88" s="2227"/>
      <c r="B88" s="2228"/>
      <c r="C88" s="2228"/>
      <c r="D88" s="2228"/>
      <c r="E88" s="2229"/>
      <c r="F88" s="443"/>
      <c r="G88" s="2227"/>
      <c r="H88" s="2228"/>
      <c r="I88" s="2228"/>
      <c r="J88" s="2228"/>
      <c r="K88" s="2229"/>
    </row>
    <row r="89" spans="1:11" x14ac:dyDescent="0.35">
      <c r="A89" s="2141" t="s">
        <v>1330</v>
      </c>
      <c r="B89" s="2225"/>
      <c r="C89" s="2225"/>
      <c r="D89" s="2225"/>
      <c r="E89" s="2226"/>
      <c r="F89" s="443"/>
      <c r="G89" s="2141" t="s">
        <v>1095</v>
      </c>
      <c r="H89" s="2225"/>
      <c r="I89" s="2225"/>
      <c r="J89" s="2225"/>
      <c r="K89" s="2226"/>
    </row>
    <row r="90" spans="1:11" x14ac:dyDescent="0.35">
      <c r="A90" s="2227"/>
      <c r="B90" s="2228"/>
      <c r="C90" s="2228"/>
      <c r="D90" s="2228"/>
      <c r="E90" s="2229"/>
      <c r="F90" s="443"/>
      <c r="G90" s="2227"/>
      <c r="H90" s="2228"/>
      <c r="I90" s="2228"/>
      <c r="J90" s="2228"/>
      <c r="K90" s="2229"/>
    </row>
    <row r="91" spans="1:11" x14ac:dyDescent="0.35">
      <c r="A91" s="2141" t="s">
        <v>1331</v>
      </c>
      <c r="B91" s="2225"/>
      <c r="C91" s="2225"/>
      <c r="D91" s="2225"/>
      <c r="E91" s="2226"/>
      <c r="F91" s="443"/>
      <c r="G91" s="2230" t="s">
        <v>1331</v>
      </c>
      <c r="H91" s="2225"/>
      <c r="I91" s="2225"/>
      <c r="J91" s="2225"/>
      <c r="K91" s="2226"/>
    </row>
    <row r="92" spans="1:11" x14ac:dyDescent="0.35">
      <c r="A92" s="2227"/>
      <c r="B92" s="2228"/>
      <c r="C92" s="2228"/>
      <c r="D92" s="2228"/>
      <c r="E92" s="2229"/>
      <c r="F92" s="443"/>
      <c r="G92" s="2227"/>
      <c r="H92" s="2228"/>
      <c r="I92" s="2228"/>
      <c r="J92" s="2228"/>
      <c r="K92" s="2229"/>
    </row>
    <row r="93" spans="1:11" x14ac:dyDescent="0.35">
      <c r="A93" s="2141" t="s">
        <v>1332</v>
      </c>
      <c r="B93" s="2225"/>
      <c r="C93" s="2225"/>
      <c r="D93" s="2225"/>
      <c r="E93" s="2226"/>
      <c r="F93" s="443"/>
      <c r="G93" s="2141" t="s">
        <v>1332</v>
      </c>
      <c r="H93" s="2225"/>
      <c r="I93" s="2225"/>
      <c r="J93" s="2225"/>
      <c r="K93" s="2226"/>
    </row>
    <row r="94" spans="1:11" x14ac:dyDescent="0.35">
      <c r="A94" s="2227"/>
      <c r="B94" s="2228"/>
      <c r="C94" s="2228"/>
      <c r="D94" s="2228"/>
      <c r="E94" s="2229"/>
      <c r="F94" s="443"/>
      <c r="G94" s="2227"/>
      <c r="H94" s="2228"/>
      <c r="I94" s="2228"/>
      <c r="J94" s="2228"/>
      <c r="K94" s="2229"/>
    </row>
    <row r="95" spans="1:11" hidden="1" x14ac:dyDescent="0.35">
      <c r="A95" s="1594"/>
      <c r="B95" s="931"/>
      <c r="C95" s="931"/>
      <c r="D95" s="931"/>
      <c r="E95" s="931"/>
      <c r="F95" s="136"/>
      <c r="G95" s="931"/>
      <c r="H95" s="931"/>
      <c r="I95" s="931"/>
      <c r="J95" s="931"/>
      <c r="K95" s="1595"/>
    </row>
    <row r="96" spans="1:11" hidden="1" x14ac:dyDescent="0.35">
      <c r="A96" s="1594"/>
      <c r="B96" s="931"/>
      <c r="C96" s="931"/>
      <c r="D96" s="931"/>
      <c r="E96" s="931"/>
      <c r="F96" s="136"/>
      <c r="G96" s="931"/>
      <c r="H96" s="931"/>
      <c r="I96" s="931"/>
      <c r="J96" s="931"/>
      <c r="K96" s="1595"/>
    </row>
    <row r="97" spans="1:12" hidden="1" x14ac:dyDescent="0.35">
      <c r="A97" s="135"/>
      <c r="B97" s="136"/>
      <c r="C97" s="136"/>
      <c r="D97" s="136"/>
      <c r="E97" s="136"/>
      <c r="F97" s="136"/>
      <c r="G97" s="136"/>
      <c r="H97" s="136"/>
      <c r="I97" s="136"/>
      <c r="J97" s="136"/>
      <c r="K97" s="79"/>
    </row>
    <row r="98" spans="1:12" hidden="1" x14ac:dyDescent="0.35">
      <c r="A98" s="135"/>
      <c r="B98" s="136"/>
      <c r="C98" s="136"/>
      <c r="D98" s="136"/>
      <c r="E98" s="136"/>
      <c r="F98" s="136"/>
      <c r="G98" s="136"/>
      <c r="H98" s="136"/>
      <c r="I98" s="136"/>
      <c r="J98" s="136"/>
      <c r="K98" s="79"/>
    </row>
    <row r="99" spans="1:12" hidden="1" x14ac:dyDescent="0.35">
      <c r="A99" s="136"/>
      <c r="B99" s="136"/>
      <c r="C99" s="136"/>
      <c r="D99" s="136"/>
      <c r="E99" s="136"/>
      <c r="F99" s="136"/>
      <c r="G99" s="136"/>
      <c r="H99" s="136"/>
      <c r="I99" s="136"/>
      <c r="J99" s="136"/>
      <c r="K99" s="136"/>
      <c r="L99" s="136"/>
    </row>
    <row r="100" spans="1:12" hidden="1" x14ac:dyDescent="0.35"/>
    <row r="101" spans="1:12" hidden="1" x14ac:dyDescent="0.35"/>
    <row r="102" spans="1:12" hidden="1" x14ac:dyDescent="0.35"/>
    <row r="103" spans="1:12" hidden="1" x14ac:dyDescent="0.35"/>
    <row r="104" spans="1:12" hidden="1" x14ac:dyDescent="0.35"/>
    <row r="105" spans="1:12" hidden="1" x14ac:dyDescent="0.35"/>
    <row r="106" spans="1:12" hidden="1" x14ac:dyDescent="0.35"/>
    <row r="107" spans="1:12" hidden="1" x14ac:dyDescent="0.35"/>
    <row r="108" spans="1:12" hidden="1" x14ac:dyDescent="0.35"/>
    <row r="109" spans="1:12" hidden="1" x14ac:dyDescent="0.35"/>
    <row r="110" spans="1:12" hidden="1" x14ac:dyDescent="0.35"/>
    <row r="111" spans="1:12" hidden="1" x14ac:dyDescent="0.35"/>
    <row r="112" spans="1:12" hidden="1" x14ac:dyDescent="0.35"/>
    <row r="65535" spans="3:5" hidden="1" x14ac:dyDescent="0.35">
      <c r="C65535" s="136"/>
      <c r="E65535" s="136"/>
    </row>
  </sheetData>
  <sheetProtection password="813F" sheet="1" objects="1" scenarios="1" selectLockedCells="1"/>
  <customSheetViews>
    <customSheetView guid="{51165254-F18A-4CD1-9981-8F2DE14CC76C}" scale="85" showGridLines="0" fitToPage="1" hiddenRows="1" hiddenColumns="1" showRuler="0">
      <selection activeCell="A43" sqref="A43:E44"/>
      <rowBreaks count="1" manualBreakCount="1">
        <brk id="104" max="37" man="1"/>
      </rowBreaks>
      <pageMargins left="0.78740157480314965" right="0.78740157480314965" top="1.1299999999999999" bottom="1.72" header="0.51181102362204722" footer="0.51181102362204722"/>
      <printOptions horizontalCentered="1" verticalCentered="1"/>
      <pageSetup paperSize="9" scale="43" orientation="portrait" r:id="rId1"/>
      <headerFooter alignWithMargins="0">
        <oddHeader>&amp;L&amp;F</oddHeader>
        <oddFooter xml:space="preserve">&amp;LDAF Dealer Business Plan&amp;CPrint date: &amp;D&amp;R&amp;P/&amp;N | DAF Trucks NV    </oddFooter>
      </headerFooter>
    </customSheetView>
  </customSheetViews>
  <mergeCells count="80">
    <mergeCell ref="A15:E16"/>
    <mergeCell ref="A31:E32"/>
    <mergeCell ref="A21:E22"/>
    <mergeCell ref="A23:E24"/>
    <mergeCell ref="A17:E18"/>
    <mergeCell ref="A19:E20"/>
    <mergeCell ref="A25:E26"/>
    <mergeCell ref="A27:E28"/>
    <mergeCell ref="G21:K22"/>
    <mergeCell ref="G23:K24"/>
    <mergeCell ref="G9:K10"/>
    <mergeCell ref="G11:K12"/>
    <mergeCell ref="G13:K14"/>
    <mergeCell ref="G15:K16"/>
    <mergeCell ref="A9:E10"/>
    <mergeCell ref="A11:E12"/>
    <mergeCell ref="A13:E14"/>
    <mergeCell ref="G47:K48"/>
    <mergeCell ref="A41:E42"/>
    <mergeCell ref="A43:E44"/>
    <mergeCell ref="A45:E46"/>
    <mergeCell ref="A47:E48"/>
    <mergeCell ref="G17:K18"/>
    <mergeCell ref="G19:K20"/>
    <mergeCell ref="G31:K32"/>
    <mergeCell ref="G33:K34"/>
    <mergeCell ref="G35:K36"/>
    <mergeCell ref="G37:K38"/>
    <mergeCell ref="G25:K26"/>
    <mergeCell ref="G27:K28"/>
    <mergeCell ref="G45:K46"/>
    <mergeCell ref="A33:E34"/>
    <mergeCell ref="A35:E36"/>
    <mergeCell ref="A37:E38"/>
    <mergeCell ref="G39:K40"/>
    <mergeCell ref="A39:E40"/>
    <mergeCell ref="G41:K42"/>
    <mergeCell ref="G43:K44"/>
    <mergeCell ref="G49:K50"/>
    <mergeCell ref="A53:E54"/>
    <mergeCell ref="A55:E56"/>
    <mergeCell ref="A57:E58"/>
    <mergeCell ref="A49:E50"/>
    <mergeCell ref="G53:K54"/>
    <mergeCell ref="G55:K56"/>
    <mergeCell ref="G57:K58"/>
    <mergeCell ref="G61:K62"/>
    <mergeCell ref="G63:K64"/>
    <mergeCell ref="G65:K66"/>
    <mergeCell ref="A59:E60"/>
    <mergeCell ref="A61:E62"/>
    <mergeCell ref="A63:E64"/>
    <mergeCell ref="A65:E66"/>
    <mergeCell ref="G59:K60"/>
    <mergeCell ref="A87:E88"/>
    <mergeCell ref="A89:E90"/>
    <mergeCell ref="A91:E92"/>
    <mergeCell ref="G67:K68"/>
    <mergeCell ref="G69:K70"/>
    <mergeCell ref="G71:K72"/>
    <mergeCell ref="A75:E76"/>
    <mergeCell ref="A67:E68"/>
    <mergeCell ref="A69:E70"/>
    <mergeCell ref="A71:E72"/>
    <mergeCell ref="G93:K94"/>
    <mergeCell ref="A93:E94"/>
    <mergeCell ref="G75:K76"/>
    <mergeCell ref="G77:K78"/>
    <mergeCell ref="G79:K80"/>
    <mergeCell ref="G81:K82"/>
    <mergeCell ref="G83:K84"/>
    <mergeCell ref="G85:K86"/>
    <mergeCell ref="G87:K88"/>
    <mergeCell ref="G89:K90"/>
    <mergeCell ref="A77:E78"/>
    <mergeCell ref="A79:E80"/>
    <mergeCell ref="A81:E82"/>
    <mergeCell ref="A83:E84"/>
    <mergeCell ref="G91:K92"/>
    <mergeCell ref="A85:E86"/>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43" orientation="portrait" r:id="rId2"/>
  <headerFooter alignWithMargins="0">
    <oddHeader>&amp;L&amp;F</oddHeader>
    <oddFooter xml:space="preserve">&amp;LDAF Dealer Business Plan - Version January 2011&amp;CPrint date: &amp;D&amp;R&amp;P/&amp;N | DAF Trucks NV    </oddFooter>
  </headerFooter>
  <rowBreaks count="1" manualBreakCount="1">
    <brk id="104" max="37" man="1"/>
  </rowBreaks>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6">
    <tabColor indexed="22"/>
    <pageSetUpPr fitToPage="1"/>
  </sheetPr>
  <dimension ref="A1:Z78"/>
  <sheetViews>
    <sheetView showGridLines="0" zoomScaleNormal="100" workbookViewId="0">
      <pane ySplit="5" topLeftCell="A6" activePane="bottomLeft" state="frozen"/>
      <selection activeCell="C21" sqref="C21"/>
      <selection pane="bottomLeft" activeCell="D39" sqref="D39"/>
    </sheetView>
  </sheetViews>
  <sheetFormatPr baseColWidth="10" defaultColWidth="0" defaultRowHeight="14.4" zeroHeight="1" x14ac:dyDescent="0.35"/>
  <cols>
    <col min="1" max="6" width="16" style="45" customWidth="1"/>
    <col min="7" max="7" width="15.44140625" style="45" customWidth="1"/>
    <col min="8" max="11" width="16" style="45" customWidth="1"/>
    <col min="12" max="12" width="1.6640625" style="44" customWidth="1"/>
    <col min="13" max="16384" width="9.44140625" style="45" hidden="1"/>
  </cols>
  <sheetData>
    <row r="1" spans="1:21" s="209" customFormat="1" ht="28.8" x14ac:dyDescent="0.55000000000000004">
      <c r="A1" s="200" t="s">
        <v>1173</v>
      </c>
      <c r="B1" s="201"/>
      <c r="C1" s="201"/>
      <c r="D1" s="201"/>
      <c r="E1" s="201"/>
      <c r="F1" s="201"/>
      <c r="G1" s="201"/>
      <c r="H1" s="201"/>
      <c r="I1" s="201"/>
      <c r="J1" s="201"/>
      <c r="K1" s="202" t="s">
        <v>1174</v>
      </c>
      <c r="L1" s="1569"/>
    </row>
    <row r="2" spans="1:21" x14ac:dyDescent="0.35">
      <c r="A2" s="135"/>
      <c r="B2" s="136"/>
      <c r="C2" s="136"/>
      <c r="D2" s="136"/>
      <c r="E2" s="280"/>
      <c r="F2" s="136"/>
      <c r="G2" s="136"/>
      <c r="H2" s="136"/>
      <c r="I2" s="136"/>
      <c r="J2" s="136"/>
      <c r="K2" s="137"/>
    </row>
    <row r="3" spans="1:21" ht="16.2" x14ac:dyDescent="0.35">
      <c r="A3" s="138" t="s">
        <v>1035</v>
      </c>
      <c r="B3" s="281" t="str">
        <f>'Reference sheet'!C12</f>
        <v>TRUCK INTERNATIONAL MOBILITY SA</v>
      </c>
      <c r="C3" s="240"/>
      <c r="E3" s="242" t="s">
        <v>1036</v>
      </c>
      <c r="F3" s="282">
        <f>'Reference sheet'!C15</f>
        <v>2</v>
      </c>
      <c r="G3" s="283" t="s">
        <v>1037</v>
      </c>
      <c r="H3" s="243" t="str">
        <f>'Reference sheet'!C17</f>
        <v>October</v>
      </c>
      <c r="I3" s="982">
        <f>'Reference sheet'!D17</f>
        <v>2018</v>
      </c>
      <c r="J3" s="143" t="s">
        <v>1175</v>
      </c>
      <c r="K3" s="284" t="str">
        <f>'Reference sheet'!C21</f>
        <v>EUR</v>
      </c>
    </row>
    <row r="4" spans="1:21" x14ac:dyDescent="0.35">
      <c r="A4" s="135"/>
      <c r="B4" s="285"/>
      <c r="C4" s="286" t="s">
        <v>1176</v>
      </c>
      <c r="D4" s="287"/>
      <c r="E4" s="287"/>
      <c r="F4" s="136"/>
      <c r="G4" s="136"/>
      <c r="H4" s="136"/>
      <c r="I4" s="136"/>
      <c r="J4" s="136"/>
      <c r="K4" s="79"/>
    </row>
    <row r="5" spans="1:21" x14ac:dyDescent="0.35">
      <c r="A5" s="145"/>
      <c r="B5" s="146"/>
      <c r="C5" s="1267">
        <v>2019</v>
      </c>
      <c r="D5" s="164"/>
      <c r="E5" s="288">
        <f>C5+1</f>
        <v>2020</v>
      </c>
      <c r="F5" s="289"/>
      <c r="G5" s="288">
        <f>E5+1</f>
        <v>2021</v>
      </c>
      <c r="H5" s="290"/>
      <c r="I5" s="288">
        <f>G5+1</f>
        <v>2022</v>
      </c>
      <c r="J5" s="290"/>
      <c r="K5" s="288">
        <f>I5+1</f>
        <v>2023</v>
      </c>
    </row>
    <row r="6" spans="1:21" ht="18" x14ac:dyDescent="0.35">
      <c r="A6" s="1042" t="s">
        <v>552</v>
      </c>
      <c r="B6" s="1043"/>
      <c r="C6" s="833"/>
      <c r="D6" s="833"/>
      <c r="E6" s="833"/>
      <c r="F6" s="833"/>
      <c r="G6" s="833"/>
      <c r="H6" s="833"/>
      <c r="I6" s="833"/>
      <c r="J6" s="1044"/>
      <c r="K6" s="834"/>
      <c r="O6" s="199"/>
    </row>
    <row r="7" spans="1:21" x14ac:dyDescent="0.35">
      <c r="A7" s="263" t="s">
        <v>726</v>
      </c>
      <c r="B7" s="254">
        <f>'9.0 Scenario''s'!D9</f>
        <v>1</v>
      </c>
      <c r="C7" s="79"/>
      <c r="D7" s="136"/>
      <c r="E7" s="292"/>
      <c r="F7" s="292"/>
      <c r="G7" s="292"/>
      <c r="H7" s="293"/>
      <c r="I7" s="293"/>
      <c r="J7" s="293"/>
      <c r="K7" s="294"/>
    </row>
    <row r="8" spans="1:21" x14ac:dyDescent="0.35">
      <c r="A8" s="295" t="s">
        <v>1177</v>
      </c>
      <c r="B8" s="136"/>
      <c r="C8" s="489">
        <f>'5.1.2 NT market-Dealer area'!G8*$B$7</f>
        <v>420</v>
      </c>
      <c r="D8" s="488"/>
      <c r="E8" s="488">
        <f>'5.1.2 NT market-Dealer area'!H8*$B$7</f>
        <v>500</v>
      </c>
      <c r="F8" s="1748"/>
      <c r="G8" s="488">
        <f>'5.1.2 NT market-Dealer area'!I8*$B$7</f>
        <v>600</v>
      </c>
      <c r="H8" s="1678"/>
      <c r="I8" s="488">
        <f>'5.1.2 NT market-Dealer area'!J8*$B$7</f>
        <v>700</v>
      </c>
      <c r="J8" s="1748"/>
      <c r="K8" s="489">
        <f>'5.1.2 NT market-Dealer area'!K8*$B$7</f>
        <v>800</v>
      </c>
      <c r="N8" s="199"/>
      <c r="P8" s="269"/>
      <c r="U8" s="269"/>
    </row>
    <row r="9" spans="1:21" x14ac:dyDescent="0.35">
      <c r="A9" s="135" t="s">
        <v>1178</v>
      </c>
      <c r="B9" s="136"/>
      <c r="C9" s="508">
        <f>'5.1.2 NT market-Dealer area'!G9*$B$7</f>
        <v>730</v>
      </c>
      <c r="D9" s="488"/>
      <c r="E9" s="509">
        <f>'5.1.2 NT market-Dealer area'!H9*$B$7</f>
        <v>910</v>
      </c>
      <c r="F9" s="1748"/>
      <c r="G9" s="509">
        <f>'5.1.2 NT market-Dealer area'!I9*$B$7</f>
        <v>1250</v>
      </c>
      <c r="H9" s="1678"/>
      <c r="I9" s="509">
        <f>'5.1.2 NT market-Dealer area'!J9*$B$7</f>
        <v>1400</v>
      </c>
      <c r="J9" s="1748"/>
      <c r="K9" s="489">
        <f>'5.1.2 NT market-Dealer area'!K9*$B$7</f>
        <v>1535</v>
      </c>
      <c r="N9" s="199"/>
      <c r="P9" s="269"/>
      <c r="U9" s="269"/>
    </row>
    <row r="10" spans="1:21" x14ac:dyDescent="0.35">
      <c r="A10" s="263" t="s">
        <v>1056</v>
      </c>
      <c r="B10" s="136"/>
      <c r="C10" s="353">
        <f>+C8+C9</f>
        <v>1150</v>
      </c>
      <c r="D10" s="352"/>
      <c r="E10" s="352">
        <f>+E8+E9</f>
        <v>1410</v>
      </c>
      <c r="F10" s="352"/>
      <c r="G10" s="352">
        <f>+G8+G9</f>
        <v>1850</v>
      </c>
      <c r="H10" s="352"/>
      <c r="I10" s="352">
        <f>+I8+I9</f>
        <v>2100</v>
      </c>
      <c r="J10" s="352"/>
      <c r="K10" s="537">
        <f>+K8+K9</f>
        <v>2335</v>
      </c>
    </row>
    <row r="11" spans="1:21" x14ac:dyDescent="0.35">
      <c r="A11" s="145"/>
      <c r="B11" s="146"/>
      <c r="C11" s="85"/>
      <c r="D11" s="146"/>
      <c r="E11" s="146"/>
      <c r="F11" s="146"/>
      <c r="G11" s="146"/>
      <c r="H11" s="146"/>
      <c r="I11" s="146"/>
      <c r="J11" s="146"/>
      <c r="K11" s="85"/>
    </row>
    <row r="12" spans="1:21" ht="18" x14ac:dyDescent="0.35">
      <c r="A12" s="1042" t="s">
        <v>844</v>
      </c>
      <c r="B12" s="833"/>
      <c r="C12" s="833"/>
      <c r="D12" s="833"/>
      <c r="E12" s="833"/>
      <c r="F12" s="833"/>
      <c r="G12" s="833"/>
      <c r="H12" s="833"/>
      <c r="I12" s="833"/>
      <c r="J12" s="833"/>
      <c r="K12" s="834"/>
    </row>
    <row r="13" spans="1:21" x14ac:dyDescent="0.35">
      <c r="A13" s="263"/>
      <c r="B13" s="254"/>
      <c r="C13" s="79"/>
      <c r="D13" s="136"/>
      <c r="E13" s="136"/>
      <c r="F13" s="443"/>
      <c r="G13" s="136"/>
      <c r="H13" s="136"/>
      <c r="I13" s="136"/>
      <c r="J13" s="443"/>
      <c r="K13" s="79"/>
    </row>
    <row r="14" spans="1:21" x14ac:dyDescent="0.35">
      <c r="A14" s="295" t="s">
        <v>1177</v>
      </c>
      <c r="B14" s="136"/>
      <c r="C14" s="298">
        <v>0</v>
      </c>
      <c r="D14" s="1830"/>
      <c r="E14" s="300">
        <v>0</v>
      </c>
      <c r="F14" s="1830"/>
      <c r="G14" s="300">
        <v>0</v>
      </c>
      <c r="H14" s="1830"/>
      <c r="I14" s="300">
        <v>0</v>
      </c>
      <c r="J14" s="1830"/>
      <c r="K14" s="298">
        <v>0</v>
      </c>
    </row>
    <row r="15" spans="1:21" x14ac:dyDescent="0.35">
      <c r="A15" s="135" t="s">
        <v>1178</v>
      </c>
      <c r="B15" s="136"/>
      <c r="C15" s="298">
        <v>0.04</v>
      </c>
      <c r="D15" s="1830"/>
      <c r="E15" s="300">
        <v>0.08</v>
      </c>
      <c r="F15" s="1830"/>
      <c r="G15" s="300">
        <v>0.1</v>
      </c>
      <c r="H15" s="1830"/>
      <c r="I15" s="300">
        <v>0.11</v>
      </c>
      <c r="J15" s="1830"/>
      <c r="K15" s="298">
        <v>0.12</v>
      </c>
    </row>
    <row r="16" spans="1:21" x14ac:dyDescent="0.35">
      <c r="A16" s="263" t="str">
        <f>+A10</f>
        <v>Total</v>
      </c>
      <c r="B16" s="136"/>
      <c r="C16" s="301">
        <f>IF(C10=0,0,((C8*C14)+(C9*C15))/C10)</f>
        <v>2.5391304347826087E-2</v>
      </c>
      <c r="D16" s="302"/>
      <c r="E16" s="303">
        <f>IF(E10=0,0,((E8*E14)+(E9*E15))/E10)</f>
        <v>5.1631205673758861E-2</v>
      </c>
      <c r="F16" s="256"/>
      <c r="G16" s="303">
        <f>IF(G10=0,0,((G8*G14)+(G9*G15))/G10)</f>
        <v>6.7567567567567571E-2</v>
      </c>
      <c r="H16" s="1831"/>
      <c r="I16" s="303">
        <f>IF(I10=0,0,((I8*I14)+(I9*I15))/I10)</f>
        <v>7.3333333333333334E-2</v>
      </c>
      <c r="J16" s="1831"/>
      <c r="K16" s="301">
        <f>IF(K10=0,0,((K8*K14)+(K9*K15))/K10)</f>
        <v>7.8886509635974295E-2</v>
      </c>
    </row>
    <row r="17" spans="1:16" x14ac:dyDescent="0.35">
      <c r="A17" s="145"/>
      <c r="B17" s="146"/>
      <c r="C17" s="304"/>
      <c r="D17" s="305"/>
      <c r="E17" s="305"/>
      <c r="F17" s="305"/>
      <c r="G17" s="305"/>
      <c r="H17" s="305"/>
      <c r="I17" s="305"/>
      <c r="J17" s="305"/>
      <c r="K17" s="304"/>
    </row>
    <row r="18" spans="1:16" ht="18" hidden="1" x14ac:dyDescent="0.35">
      <c r="A18" s="291" t="s">
        <v>845</v>
      </c>
      <c r="B18" s="184"/>
      <c r="C18" s="184"/>
      <c r="D18" s="184"/>
      <c r="E18" s="184"/>
      <c r="F18" s="184"/>
      <c r="G18" s="184"/>
      <c r="H18" s="184"/>
      <c r="I18" s="184"/>
      <c r="J18" s="184"/>
      <c r="K18" s="185"/>
    </row>
    <row r="19" spans="1:16" hidden="1" x14ac:dyDescent="0.35">
      <c r="A19" s="263" t="s">
        <v>726</v>
      </c>
      <c r="B19" s="254">
        <f>'9.0 Scenario''s'!D10</f>
        <v>1</v>
      </c>
      <c r="C19" s="79"/>
      <c r="D19" s="136"/>
      <c r="E19" s="136"/>
      <c r="F19" s="136"/>
      <c r="G19" s="136"/>
      <c r="H19" s="136"/>
      <c r="I19" s="136"/>
      <c r="J19" s="136"/>
      <c r="K19" s="79"/>
    </row>
    <row r="20" spans="1:16" hidden="1" x14ac:dyDescent="0.35">
      <c r="A20" s="295" t="s">
        <v>1177</v>
      </c>
      <c r="B20" s="136"/>
      <c r="C20" s="300">
        <f>IF(AND(C14&lt;&gt;"",ISNUMBER(C14)),C14*$B$19,0)</f>
        <v>0</v>
      </c>
      <c r="D20" s="306"/>
      <c r="E20" s="300">
        <f>IF(AND(E14&lt;&gt;"",ISNUMBER(E14)),E14*$B$19,0)</f>
        <v>0</v>
      </c>
      <c r="F20" s="299"/>
      <c r="G20" s="300">
        <f>IF(AND(G14&lt;&gt;"",ISNUMBER(G14)),G14*$B$19,0)</f>
        <v>0</v>
      </c>
      <c r="H20" s="299"/>
      <c r="I20" s="300">
        <f>IF(AND(I14&lt;&gt;"",ISNUMBER(I14)),I14*$B$19,0)</f>
        <v>0</v>
      </c>
      <c r="J20" s="299"/>
      <c r="K20" s="298">
        <f>IF(AND(K14&lt;&gt;"",ISNUMBER(K14)),K14*$B$19,0)</f>
        <v>0</v>
      </c>
    </row>
    <row r="21" spans="1:16" hidden="1" x14ac:dyDescent="0.35">
      <c r="A21" s="135" t="s">
        <v>1178</v>
      </c>
      <c r="B21" s="136"/>
      <c r="C21" s="308">
        <f>IF(AND(C15&lt;&gt;"",ISNUMBER(C15)),C15*$B$19,0)</f>
        <v>0.04</v>
      </c>
      <c r="D21" s="306"/>
      <c r="E21" s="308">
        <f>IF(AND(E15&lt;&gt;"",ISNUMBER(E15)),E15*$B$19,0)</f>
        <v>0.08</v>
      </c>
      <c r="F21" s="299"/>
      <c r="G21" s="308">
        <f>IF(AND(G15&lt;&gt;"",ISNUMBER(G15)),G15*$B$19,0)</f>
        <v>0.1</v>
      </c>
      <c r="H21" s="299"/>
      <c r="I21" s="308">
        <f>IF(AND(I15&lt;&gt;"",ISNUMBER(I15)),I15*$B$19,0)</f>
        <v>0.11</v>
      </c>
      <c r="J21" s="299"/>
      <c r="K21" s="307">
        <f>IF(AND(K15&lt;&gt;"",ISNUMBER(K15)),K15*$B$19,0)</f>
        <v>0.12</v>
      </c>
    </row>
    <row r="22" spans="1:16" hidden="1" x14ac:dyDescent="0.35">
      <c r="A22" s="263" t="str">
        <f>+A10</f>
        <v>Total</v>
      </c>
      <c r="B22" s="136"/>
      <c r="C22" s="309">
        <f>IF(C10=0,0,((C20*C8)+(C21*C9))/C10)</f>
        <v>2.5391304347826087E-2</v>
      </c>
      <c r="D22" s="256"/>
      <c r="E22" s="1877">
        <f>IF(E10=0,0,((E20*E8)+(E21*E9))/E10)</f>
        <v>5.1631205673758861E-2</v>
      </c>
      <c r="F22" s="256"/>
      <c r="G22" s="1877">
        <f>IF(G10=0,0,((G20*G8)+(G21*G9))/G10)</f>
        <v>6.7567567567567571E-2</v>
      </c>
      <c r="H22" s="256"/>
      <c r="I22" s="1877">
        <f>IF(I10=0,0,((I20*I8)+(I21*I9))/I10)</f>
        <v>7.3333333333333334E-2</v>
      </c>
      <c r="J22" s="256"/>
      <c r="K22" s="309">
        <f>IF(K10=0,0,((K20*K8)+(K21*K9))/K10)</f>
        <v>7.8886509635974295E-2</v>
      </c>
    </row>
    <row r="23" spans="1:16" hidden="1" x14ac:dyDescent="0.35">
      <c r="A23" s="145"/>
      <c r="B23" s="146"/>
      <c r="C23" s="304"/>
      <c r="D23" s="305"/>
      <c r="E23" s="305"/>
      <c r="F23" s="305"/>
      <c r="G23" s="305"/>
      <c r="H23" s="305"/>
      <c r="I23" s="305"/>
      <c r="J23" s="305"/>
      <c r="K23" s="304"/>
    </row>
    <row r="24" spans="1:16" hidden="1" x14ac:dyDescent="0.35">
      <c r="A24" s="145"/>
      <c r="B24" s="146"/>
      <c r="C24" s="305"/>
      <c r="D24" s="305"/>
      <c r="E24" s="305"/>
      <c r="F24" s="305"/>
      <c r="G24" s="305"/>
      <c r="H24" s="305"/>
      <c r="I24" s="305"/>
      <c r="J24" s="305"/>
      <c r="K24" s="304"/>
    </row>
    <row r="25" spans="1:16" ht="16.2" x14ac:dyDescent="0.35">
      <c r="A25" s="878" t="s">
        <v>846</v>
      </c>
      <c r="B25" s="833"/>
      <c r="C25" s="1045"/>
      <c r="D25" s="1045"/>
      <c r="E25" s="1045"/>
      <c r="F25" s="1045"/>
      <c r="G25" s="1045"/>
      <c r="H25" s="1045"/>
      <c r="I25" s="1045"/>
      <c r="J25" s="1045"/>
      <c r="K25" s="1046"/>
    </row>
    <row r="26" spans="1:16" x14ac:dyDescent="0.35">
      <c r="A26" s="135"/>
      <c r="B26" s="136"/>
      <c r="C26" s="310"/>
      <c r="D26" s="311"/>
      <c r="E26" s="311"/>
      <c r="F26" s="311"/>
      <c r="G26" s="311"/>
      <c r="H26" s="311"/>
      <c r="I26" s="311"/>
      <c r="J26" s="311"/>
      <c r="K26" s="312"/>
    </row>
    <row r="27" spans="1:16" x14ac:dyDescent="0.35">
      <c r="A27" s="295" t="s">
        <v>1177</v>
      </c>
      <c r="B27" s="136"/>
      <c r="C27" s="313">
        <f>ROUND(C8*C20,0)</f>
        <v>0</v>
      </c>
      <c r="D27" s="314"/>
      <c r="E27" s="314">
        <f>ROUND(E8*E20,0)</f>
        <v>0</v>
      </c>
      <c r="F27" s="314"/>
      <c r="G27" s="314">
        <f>ROUND(G8*G20,0)</f>
        <v>0</v>
      </c>
      <c r="H27" s="314"/>
      <c r="I27" s="314">
        <f>ROUND(I8*I20,0)</f>
        <v>0</v>
      </c>
      <c r="J27" s="314"/>
      <c r="K27" s="313">
        <f>ROUND(K8*K20,0)</f>
        <v>0</v>
      </c>
      <c r="N27" s="315"/>
      <c r="P27" s="315"/>
    </row>
    <row r="28" spans="1:16" x14ac:dyDescent="0.35">
      <c r="A28" s="135" t="s">
        <v>1178</v>
      </c>
      <c r="B28" s="136"/>
      <c r="C28" s="316">
        <f>ROUND(C9*C21,0)</f>
        <v>29</v>
      </c>
      <c r="D28" s="314"/>
      <c r="E28" s="317">
        <f>ROUND(E9*E21,0)</f>
        <v>73</v>
      </c>
      <c r="F28" s="314"/>
      <c r="G28" s="317">
        <f>ROUND(G9*G21,0)</f>
        <v>125</v>
      </c>
      <c r="H28" s="314"/>
      <c r="I28" s="317">
        <f>ROUND(I9*I21,0)</f>
        <v>154</v>
      </c>
      <c r="J28" s="314"/>
      <c r="K28" s="316">
        <f>ROUND(K9*K21,0)</f>
        <v>184</v>
      </c>
      <c r="N28" s="315"/>
      <c r="P28" s="315"/>
    </row>
    <row r="29" spans="1:16" x14ac:dyDescent="0.35">
      <c r="A29" s="263" t="str">
        <f>A10</f>
        <v>Total</v>
      </c>
      <c r="B29" s="136"/>
      <c r="C29" s="397">
        <f>+C27+C28</f>
        <v>29</v>
      </c>
      <c r="D29" s="352"/>
      <c r="E29" s="372">
        <f>(E27+E28)</f>
        <v>73</v>
      </c>
      <c r="F29" s="352"/>
      <c r="G29" s="372">
        <f>(G27+G28)</f>
        <v>125</v>
      </c>
      <c r="H29" s="352"/>
      <c r="I29" s="372">
        <f>(I27+I28)</f>
        <v>154</v>
      </c>
      <c r="J29" s="352"/>
      <c r="K29" s="397">
        <f>(K27+K28)</f>
        <v>184</v>
      </c>
    </row>
    <row r="30" spans="1:16" x14ac:dyDescent="0.35">
      <c r="A30" s="145"/>
      <c r="B30" s="146"/>
      <c r="C30" s="304"/>
      <c r="D30" s="305"/>
      <c r="E30" s="305"/>
      <c r="F30" s="305"/>
      <c r="G30" s="305"/>
      <c r="H30" s="305"/>
      <c r="I30" s="305"/>
      <c r="J30" s="305"/>
      <c r="K30" s="304"/>
    </row>
    <row r="31" spans="1:16" ht="18" hidden="1" x14ac:dyDescent="0.35">
      <c r="A31" s="291" t="s">
        <v>847</v>
      </c>
      <c r="B31" s="184"/>
      <c r="C31" s="184"/>
      <c r="D31" s="184"/>
      <c r="E31" s="184"/>
      <c r="F31" s="184"/>
      <c r="G31" s="184"/>
      <c r="H31" s="184"/>
      <c r="I31" s="184"/>
      <c r="J31" s="184"/>
      <c r="K31" s="185"/>
    </row>
    <row r="32" spans="1:16" hidden="1" x14ac:dyDescent="0.35">
      <c r="A32" s="263" t="s">
        <v>726</v>
      </c>
      <c r="B32" s="254">
        <v>1</v>
      </c>
      <c r="C32" s="79"/>
      <c r="D32" s="136"/>
      <c r="E32" s="136"/>
      <c r="F32" s="136"/>
      <c r="G32" s="136"/>
      <c r="H32" s="136"/>
      <c r="I32" s="136"/>
      <c r="J32" s="136"/>
      <c r="K32" s="79"/>
    </row>
    <row r="33" spans="1:16" hidden="1" x14ac:dyDescent="0.35">
      <c r="A33" s="295" t="s">
        <v>1177</v>
      </c>
      <c r="B33" s="136"/>
      <c r="C33" s="313">
        <f>$B$32*C27</f>
        <v>0</v>
      </c>
      <c r="D33" s="318"/>
      <c r="E33" s="314">
        <f>$B$32*E27</f>
        <v>0</v>
      </c>
      <c r="F33" s="314"/>
      <c r="G33" s="314">
        <f>$B$32*G27</f>
        <v>0</v>
      </c>
      <c r="H33" s="314"/>
      <c r="I33" s="314">
        <f>$B$32*I27</f>
        <v>0</v>
      </c>
      <c r="J33" s="314"/>
      <c r="K33" s="313">
        <f>$B$32*K27</f>
        <v>0</v>
      </c>
    </row>
    <row r="34" spans="1:16" hidden="1" x14ac:dyDescent="0.35">
      <c r="A34" s="135" t="s">
        <v>1178</v>
      </c>
      <c r="B34" s="136"/>
      <c r="C34" s="316">
        <f>$B$32*C28</f>
        <v>29</v>
      </c>
      <c r="D34" s="314"/>
      <c r="E34" s="317">
        <f>$B$32*E28</f>
        <v>73</v>
      </c>
      <c r="F34" s="314"/>
      <c r="G34" s="317">
        <f>$B$32*G28</f>
        <v>125</v>
      </c>
      <c r="H34" s="314"/>
      <c r="I34" s="317">
        <f>$B$32*I28</f>
        <v>154</v>
      </c>
      <c r="J34" s="314"/>
      <c r="K34" s="316">
        <f>$B$32*K28</f>
        <v>184</v>
      </c>
    </row>
    <row r="35" spans="1:16" hidden="1" x14ac:dyDescent="0.35">
      <c r="A35" s="263" t="str">
        <f>+A10</f>
        <v>Total</v>
      </c>
      <c r="B35" s="136"/>
      <c r="C35" s="296">
        <f>+C33+C34</f>
        <v>29</v>
      </c>
      <c r="D35" s="254"/>
      <c r="E35" s="253">
        <f>(E33+E34)</f>
        <v>73</v>
      </c>
      <c r="F35" s="253"/>
      <c r="G35" s="253">
        <f>(G33+G34)</f>
        <v>125</v>
      </c>
      <c r="H35" s="253"/>
      <c r="I35" s="253">
        <f>(I33+I34)</f>
        <v>154</v>
      </c>
      <c r="J35" s="253"/>
      <c r="K35" s="296">
        <f>(K33+K34)</f>
        <v>184</v>
      </c>
    </row>
    <row r="36" spans="1:16" hidden="1" x14ac:dyDescent="0.35">
      <c r="A36" s="145"/>
      <c r="B36" s="146"/>
      <c r="C36" s="85"/>
      <c r="D36" s="146"/>
      <c r="E36" s="146"/>
      <c r="F36" s="146"/>
      <c r="G36" s="146"/>
      <c r="H36" s="146"/>
      <c r="I36" s="146"/>
      <c r="J36" s="146"/>
      <c r="K36" s="85"/>
    </row>
    <row r="37" spans="1:16" s="167" customFormat="1" ht="18" x14ac:dyDescent="0.35">
      <c r="A37" s="1042" t="s">
        <v>428</v>
      </c>
      <c r="B37" s="833"/>
      <c r="C37" s="833"/>
      <c r="D37" s="833"/>
      <c r="E37" s="833"/>
      <c r="F37" s="833"/>
      <c r="G37" s="833"/>
      <c r="H37" s="833"/>
      <c r="I37" s="833"/>
      <c r="J37" s="833"/>
      <c r="K37" s="834"/>
      <c r="L37" s="44"/>
    </row>
    <row r="38" spans="1:16" x14ac:dyDescent="0.35">
      <c r="A38" s="263"/>
      <c r="B38" s="136"/>
      <c r="C38" s="136"/>
      <c r="D38" s="147"/>
      <c r="E38" s="148"/>
      <c r="F38" s="148"/>
      <c r="G38" s="148"/>
      <c r="H38" s="148"/>
      <c r="I38" s="148"/>
      <c r="J38" s="148"/>
      <c r="K38" s="78"/>
    </row>
    <row r="39" spans="1:16" x14ac:dyDescent="0.35">
      <c r="A39" s="135" t="s">
        <v>1061</v>
      </c>
      <c r="B39" s="235">
        <v>0</v>
      </c>
      <c r="C39" s="488">
        <f>ROUND(B39*C$27,0)</f>
        <v>0</v>
      </c>
      <c r="D39" s="320">
        <f>B39</f>
        <v>0</v>
      </c>
      <c r="E39" s="488">
        <f>ROUND(D39*E$27,0)</f>
        <v>0</v>
      </c>
      <c r="F39" s="235">
        <f t="shared" ref="F39:F46" si="0">D39</f>
        <v>0</v>
      </c>
      <c r="G39" s="488">
        <f>ROUND(F39*G$27,0)</f>
        <v>0</v>
      </c>
      <c r="H39" s="235">
        <f t="shared" ref="H39:H46" si="1">F39</f>
        <v>0</v>
      </c>
      <c r="I39" s="488">
        <f>ROUND(H39*I$27,0)</f>
        <v>0</v>
      </c>
      <c r="J39" s="235">
        <f t="shared" ref="J39:J46" si="2">H39</f>
        <v>0</v>
      </c>
      <c r="K39" s="321">
        <f>ROUND(J39*K$27,0)</f>
        <v>0</v>
      </c>
      <c r="P39" s="315"/>
    </row>
    <row r="40" spans="1:16" x14ac:dyDescent="0.35">
      <c r="A40" s="135" t="s">
        <v>1062</v>
      </c>
      <c r="B40" s="278">
        <v>0</v>
      </c>
      <c r="C40" s="488">
        <f>ROUND(B40*C$27,0)</f>
        <v>0</v>
      </c>
      <c r="D40" s="322">
        <f>B40</f>
        <v>0</v>
      </c>
      <c r="E40" s="488">
        <f>ROUND(D40*E$27,0)</f>
        <v>0</v>
      </c>
      <c r="F40" s="278">
        <f t="shared" si="0"/>
        <v>0</v>
      </c>
      <c r="G40" s="488">
        <f>ROUND(F40*G$27,0)</f>
        <v>0</v>
      </c>
      <c r="H40" s="278">
        <f t="shared" si="1"/>
        <v>0</v>
      </c>
      <c r="I40" s="488">
        <f>ROUND(H40*I$27,0)</f>
        <v>0</v>
      </c>
      <c r="J40" s="278">
        <f t="shared" si="2"/>
        <v>0</v>
      </c>
      <c r="K40" s="321">
        <f>ROUND(J40*K$27,0)</f>
        <v>0</v>
      </c>
      <c r="P40" s="315"/>
    </row>
    <row r="41" spans="1:16" x14ac:dyDescent="0.35">
      <c r="A41" s="263" t="s">
        <v>499</v>
      </c>
      <c r="B41" s="323">
        <f t="shared" ref="B41:K41" si="3">SUM(B39:B40)</f>
        <v>0</v>
      </c>
      <c r="C41" s="412">
        <f t="shared" si="3"/>
        <v>0</v>
      </c>
      <c r="D41" s="324">
        <f t="shared" si="3"/>
        <v>0</v>
      </c>
      <c r="E41" s="412">
        <f t="shared" si="3"/>
        <v>0</v>
      </c>
      <c r="F41" s="323">
        <f t="shared" si="3"/>
        <v>0</v>
      </c>
      <c r="G41" s="412">
        <f t="shared" si="3"/>
        <v>0</v>
      </c>
      <c r="H41" s="323">
        <f t="shared" si="3"/>
        <v>0</v>
      </c>
      <c r="I41" s="412">
        <f t="shared" si="3"/>
        <v>0</v>
      </c>
      <c r="J41" s="323">
        <f t="shared" si="3"/>
        <v>0</v>
      </c>
      <c r="K41" s="1620">
        <f t="shared" si="3"/>
        <v>0</v>
      </c>
      <c r="P41" s="315"/>
    </row>
    <row r="42" spans="1:16" x14ac:dyDescent="0.35">
      <c r="A42" s="221"/>
      <c r="B42" s="326" t="str">
        <f>IF(B41&lt;&gt;100%,"MIX DOES NOT EQUAL 100%"," ")</f>
        <v>MIX DOES NOT EQUAL 100%</v>
      </c>
      <c r="C42" s="325"/>
      <c r="D42" s="326" t="str">
        <f>IF(D41&lt;&gt;100%,"MIX DOES NOT EQUAL 100%"," ")</f>
        <v>MIX DOES NOT EQUAL 100%</v>
      </c>
      <c r="E42" s="261"/>
      <c r="F42" s="326" t="str">
        <f>IF(F41&lt;&gt;100%,"MIX DOES NOT EQUAL 100%"," ")</f>
        <v>MIX DOES NOT EQUAL 100%</v>
      </c>
      <c r="G42" s="261"/>
      <c r="H42" s="326" t="str">
        <f>IF(H41&lt;&gt;100%,"MIX DOES NOT EQUAL 100%"," ")</f>
        <v>MIX DOES NOT EQUAL 100%</v>
      </c>
      <c r="I42" s="261"/>
      <c r="J42" s="326" t="str">
        <f>IF(J41&lt;&gt;100%,"MIX DOES NOT EQUAL 100%"," ")</f>
        <v>MIX DOES NOT EQUAL 100%</v>
      </c>
      <c r="K42" s="325"/>
      <c r="P42" s="315"/>
    </row>
    <row r="43" spans="1:16" x14ac:dyDescent="0.35">
      <c r="A43" s="135" t="s">
        <v>1063</v>
      </c>
      <c r="B43" s="235">
        <v>0</v>
      </c>
      <c r="C43" s="261">
        <f>ROUND(B43*C$28,0)</f>
        <v>0</v>
      </c>
      <c r="D43" s="320">
        <f>B43</f>
        <v>0</v>
      </c>
      <c r="E43" s="261">
        <f>ROUND(D43*E$28,0)</f>
        <v>0</v>
      </c>
      <c r="F43" s="235">
        <f t="shared" si="0"/>
        <v>0</v>
      </c>
      <c r="G43" s="261">
        <f>ROUND(F43*G$28,0)</f>
        <v>0</v>
      </c>
      <c r="H43" s="235">
        <f t="shared" si="1"/>
        <v>0</v>
      </c>
      <c r="I43" s="261">
        <f>ROUND(H43*I$28,0)</f>
        <v>0</v>
      </c>
      <c r="J43" s="235">
        <f t="shared" si="2"/>
        <v>0</v>
      </c>
      <c r="K43" s="325">
        <f>ROUND(J43*K$28,0)</f>
        <v>0</v>
      </c>
    </row>
    <row r="44" spans="1:16" x14ac:dyDescent="0.35">
      <c r="A44" s="135" t="s">
        <v>1064</v>
      </c>
      <c r="B44" s="235">
        <v>0</v>
      </c>
      <c r="C44" s="261">
        <f>ROUND(B44*C$28,0)</f>
        <v>0</v>
      </c>
      <c r="D44" s="320">
        <f>B44</f>
        <v>0</v>
      </c>
      <c r="E44" s="261">
        <f>ROUND(D44*E$28,0)</f>
        <v>0</v>
      </c>
      <c r="F44" s="235">
        <f t="shared" si="0"/>
        <v>0</v>
      </c>
      <c r="G44" s="261">
        <f>ROUND(F44*G$28,0)</f>
        <v>0</v>
      </c>
      <c r="H44" s="235">
        <f t="shared" si="1"/>
        <v>0</v>
      </c>
      <c r="I44" s="261">
        <f>ROUND(H44*I$28,0)</f>
        <v>0</v>
      </c>
      <c r="J44" s="235">
        <f t="shared" si="2"/>
        <v>0</v>
      </c>
      <c r="K44" s="325">
        <f>ROUND(J44*K$28,0)</f>
        <v>0</v>
      </c>
    </row>
    <row r="45" spans="1:16" x14ac:dyDescent="0.35">
      <c r="A45" s="135" t="s">
        <v>1065</v>
      </c>
      <c r="B45" s="235">
        <v>1</v>
      </c>
      <c r="C45" s="261">
        <f>ROUND(B45*C$28,0)</f>
        <v>29</v>
      </c>
      <c r="D45" s="320">
        <f>B45</f>
        <v>1</v>
      </c>
      <c r="E45" s="261">
        <f>ROUND(D45*E$28,0)</f>
        <v>73</v>
      </c>
      <c r="F45" s="235">
        <f t="shared" si="0"/>
        <v>1</v>
      </c>
      <c r="G45" s="261">
        <f>ROUND(F45*G$28,0)</f>
        <v>125</v>
      </c>
      <c r="H45" s="235">
        <f t="shared" si="1"/>
        <v>1</v>
      </c>
      <c r="I45" s="261">
        <f>ROUND(H45*I$28,0)</f>
        <v>154</v>
      </c>
      <c r="J45" s="235">
        <f t="shared" si="2"/>
        <v>1</v>
      </c>
      <c r="K45" s="325">
        <f>ROUND(J45*K$28,0)</f>
        <v>184</v>
      </c>
    </row>
    <row r="46" spans="1:16" x14ac:dyDescent="0.35">
      <c r="A46" s="135" t="s">
        <v>562</v>
      </c>
      <c r="B46" s="278">
        <v>0</v>
      </c>
      <c r="C46" s="261">
        <f>ROUND(B46*C$28,0)</f>
        <v>0</v>
      </c>
      <c r="D46" s="322">
        <f>B46</f>
        <v>0</v>
      </c>
      <c r="E46" s="261">
        <f>ROUND(D46*E$28,0)</f>
        <v>0</v>
      </c>
      <c r="F46" s="278">
        <f t="shared" si="0"/>
        <v>0</v>
      </c>
      <c r="G46" s="261">
        <f>ROUND(F46*G$28,0)</f>
        <v>0</v>
      </c>
      <c r="H46" s="278">
        <f t="shared" si="1"/>
        <v>0</v>
      </c>
      <c r="I46" s="261">
        <f>ROUND(H46*I$28,0)</f>
        <v>0</v>
      </c>
      <c r="J46" s="278">
        <f t="shared" si="2"/>
        <v>0</v>
      </c>
      <c r="K46" s="325">
        <f>ROUND(J46*K$28,0)</f>
        <v>0</v>
      </c>
    </row>
    <row r="47" spans="1:16" x14ac:dyDescent="0.35">
      <c r="A47" s="263" t="s">
        <v>500</v>
      </c>
      <c r="B47" s="254">
        <f t="shared" ref="B47:K47" si="4">SUM(B43:B46)</f>
        <v>1</v>
      </c>
      <c r="C47" s="1829">
        <f t="shared" si="4"/>
        <v>29</v>
      </c>
      <c r="D47" s="254">
        <f t="shared" si="4"/>
        <v>1</v>
      </c>
      <c r="E47" s="621">
        <f t="shared" si="4"/>
        <v>73</v>
      </c>
      <c r="F47" s="254">
        <f t="shared" si="4"/>
        <v>1</v>
      </c>
      <c r="G47" s="621">
        <f t="shared" si="4"/>
        <v>125</v>
      </c>
      <c r="H47" s="254">
        <f t="shared" si="4"/>
        <v>1</v>
      </c>
      <c r="I47" s="621">
        <f t="shared" si="4"/>
        <v>154</v>
      </c>
      <c r="J47" s="254">
        <f t="shared" si="4"/>
        <v>1</v>
      </c>
      <c r="K47" s="1829">
        <f t="shared" si="4"/>
        <v>184</v>
      </c>
    </row>
    <row r="48" spans="1:16" s="330" customFormat="1" ht="12" x14ac:dyDescent="0.3">
      <c r="A48" s="327"/>
      <c r="B48" s="326" t="str">
        <f>IF(B47&lt;&gt;100%,"MIX DOES NOT EQUAL 100%"," ")</f>
        <v xml:space="preserve"> </v>
      </c>
      <c r="C48" s="328"/>
      <c r="D48" s="326" t="str">
        <f>IF(D47&lt;&gt;100%,"MIX DOES NOT EQUAL 100%"," ")</f>
        <v xml:space="preserve"> </v>
      </c>
      <c r="E48" s="329"/>
      <c r="F48" s="326" t="str">
        <f>IF(F47&lt;&gt;100%,"MIX DOES NOT EQUAL 100%"," ")</f>
        <v xml:space="preserve"> </v>
      </c>
      <c r="G48" s="329"/>
      <c r="H48" s="326" t="str">
        <f>IF(H47&lt;&gt;100%,"MIX DOES NOT EQUAL 100%"," ")</f>
        <v xml:space="preserve"> </v>
      </c>
      <c r="I48" s="329"/>
      <c r="J48" s="326" t="str">
        <f>IF(J47&lt;&gt;100%,"MIX DOES NOT EQUAL 100%"," ")</f>
        <v xml:space="preserve"> </v>
      </c>
      <c r="K48" s="328"/>
      <c r="L48" s="1581"/>
    </row>
    <row r="49" spans="1:26" s="167" customFormat="1" ht="18" x14ac:dyDescent="0.35">
      <c r="A49" s="1042" t="s">
        <v>1179</v>
      </c>
      <c r="B49" s="833"/>
      <c r="C49" s="833"/>
      <c r="D49" s="833"/>
      <c r="E49" s="833"/>
      <c r="F49" s="833"/>
      <c r="G49" s="833"/>
      <c r="H49" s="833"/>
      <c r="I49" s="833"/>
      <c r="J49" s="833"/>
      <c r="K49" s="834"/>
      <c r="L49" s="44"/>
    </row>
    <row r="50" spans="1:26" x14ac:dyDescent="0.35">
      <c r="A50" s="263"/>
      <c r="B50" s="256"/>
      <c r="C50" s="297"/>
      <c r="D50" s="256"/>
      <c r="E50" s="253"/>
      <c r="F50" s="136"/>
      <c r="G50" s="253"/>
      <c r="H50" s="136"/>
      <c r="I50" s="253"/>
      <c r="J50" s="136"/>
      <c r="K50" s="297"/>
    </row>
    <row r="51" spans="1:26" x14ac:dyDescent="0.35">
      <c r="A51" s="135" t="s">
        <v>1061</v>
      </c>
      <c r="B51" s="331">
        <v>0</v>
      </c>
      <c r="C51" s="332">
        <f>TRUNC(C39*$B51)</f>
        <v>0</v>
      </c>
      <c r="D51" s="235">
        <f t="shared" ref="D51:D56" si="5">B51</f>
        <v>0</v>
      </c>
      <c r="E51" s="357">
        <f>TRUNC(E39*D51)</f>
        <v>0</v>
      </c>
      <c r="F51" s="235">
        <f t="shared" ref="F51:F56" si="6">D51</f>
        <v>0</v>
      </c>
      <c r="G51" s="357">
        <f>TRUNC(G39*F51)</f>
        <v>0</v>
      </c>
      <c r="H51" s="235">
        <f t="shared" ref="H51:H56" si="7">F51</f>
        <v>0</v>
      </c>
      <c r="I51" s="357">
        <f>TRUNC(I39*H51)</f>
        <v>0</v>
      </c>
      <c r="J51" s="235">
        <f t="shared" ref="J51:J56" si="8">H51</f>
        <v>0</v>
      </c>
      <c r="K51" s="332">
        <f>TRUNC(K39*J51)</f>
        <v>0</v>
      </c>
    </row>
    <row r="52" spans="1:26" x14ac:dyDescent="0.35">
      <c r="A52" s="135" t="s">
        <v>1062</v>
      </c>
      <c r="B52" s="331">
        <v>0</v>
      </c>
      <c r="C52" s="332">
        <f>TRUNC(C40*$B52)</f>
        <v>0</v>
      </c>
      <c r="D52" s="235">
        <f t="shared" si="5"/>
        <v>0</v>
      </c>
      <c r="E52" s="357">
        <f>TRUNC(E40*D52)</f>
        <v>0</v>
      </c>
      <c r="F52" s="235">
        <f t="shared" si="6"/>
        <v>0</v>
      </c>
      <c r="G52" s="357">
        <f>TRUNC(G40*F52)</f>
        <v>0</v>
      </c>
      <c r="H52" s="235">
        <f t="shared" si="7"/>
        <v>0</v>
      </c>
      <c r="I52" s="357">
        <f>TRUNC(I40*H52)</f>
        <v>0</v>
      </c>
      <c r="J52" s="235">
        <f t="shared" si="8"/>
        <v>0</v>
      </c>
      <c r="K52" s="332">
        <f>TRUNC(K40*J52)</f>
        <v>0</v>
      </c>
    </row>
    <row r="53" spans="1:26" x14ac:dyDescent="0.35">
      <c r="A53" s="135" t="s">
        <v>1063</v>
      </c>
      <c r="B53" s="331">
        <v>0</v>
      </c>
      <c r="C53" s="332">
        <f>TRUNC(C43*$B53)</f>
        <v>0</v>
      </c>
      <c r="D53" s="235">
        <f t="shared" si="5"/>
        <v>0</v>
      </c>
      <c r="E53" s="357">
        <f>TRUNC(E43*D53)</f>
        <v>0</v>
      </c>
      <c r="F53" s="235">
        <f t="shared" si="6"/>
        <v>0</v>
      </c>
      <c r="G53" s="357">
        <f>TRUNC(G43*F53)</f>
        <v>0</v>
      </c>
      <c r="H53" s="235">
        <f t="shared" si="7"/>
        <v>0</v>
      </c>
      <c r="I53" s="357">
        <f>TRUNC(I43*H53)</f>
        <v>0</v>
      </c>
      <c r="J53" s="235">
        <f t="shared" si="8"/>
        <v>0</v>
      </c>
      <c r="K53" s="332">
        <f>TRUNC(K43*J53)</f>
        <v>0</v>
      </c>
    </row>
    <row r="54" spans="1:26" x14ac:dyDescent="0.35">
      <c r="A54" s="135" t="s">
        <v>1064</v>
      </c>
      <c r="B54" s="331">
        <v>0</v>
      </c>
      <c r="C54" s="332">
        <f>TRUNC(C44*$B54)</f>
        <v>0</v>
      </c>
      <c r="D54" s="235">
        <f t="shared" si="5"/>
        <v>0</v>
      </c>
      <c r="E54" s="357">
        <f>TRUNC(E44*D54)</f>
        <v>0</v>
      </c>
      <c r="F54" s="235">
        <f t="shared" si="6"/>
        <v>0</v>
      </c>
      <c r="G54" s="357">
        <f>TRUNC(G44*F54)</f>
        <v>0</v>
      </c>
      <c r="H54" s="235">
        <f t="shared" si="7"/>
        <v>0</v>
      </c>
      <c r="I54" s="357">
        <f>TRUNC(I44*H54)</f>
        <v>0</v>
      </c>
      <c r="J54" s="235">
        <f t="shared" si="8"/>
        <v>0</v>
      </c>
      <c r="K54" s="332">
        <f>TRUNC(K44*J54)</f>
        <v>0</v>
      </c>
    </row>
    <row r="55" spans="1:26" x14ac:dyDescent="0.35">
      <c r="A55" s="135" t="s">
        <v>1065</v>
      </c>
      <c r="B55" s="331">
        <v>0.3</v>
      </c>
      <c r="C55" s="332">
        <f>TRUNC(C45*$B55)</f>
        <v>8</v>
      </c>
      <c r="D55" s="235">
        <v>0.3</v>
      </c>
      <c r="E55" s="357">
        <f>TRUNC(E45*D55)</f>
        <v>21</v>
      </c>
      <c r="F55" s="235">
        <v>0.3</v>
      </c>
      <c r="G55" s="357">
        <f>TRUNC(G45*F55)</f>
        <v>37</v>
      </c>
      <c r="H55" s="235">
        <v>0.3</v>
      </c>
      <c r="I55" s="357">
        <f>TRUNC(I45*H55)</f>
        <v>46</v>
      </c>
      <c r="J55" s="235">
        <f t="shared" si="8"/>
        <v>0.3</v>
      </c>
      <c r="K55" s="332">
        <f>TRUNC(K45*J55)</f>
        <v>55</v>
      </c>
    </row>
    <row r="56" spans="1:26" x14ac:dyDescent="0.35">
      <c r="A56" s="135" t="s">
        <v>562</v>
      </c>
      <c r="B56" s="331">
        <v>0</v>
      </c>
      <c r="C56" s="333">
        <f>TRUNC(C46*$B56)</f>
        <v>0</v>
      </c>
      <c r="D56" s="235">
        <f t="shared" si="5"/>
        <v>0</v>
      </c>
      <c r="E56" s="407">
        <f>TRUNC(E46*D56)</f>
        <v>0</v>
      </c>
      <c r="F56" s="235">
        <f t="shared" si="6"/>
        <v>0</v>
      </c>
      <c r="G56" s="407">
        <f>TRUNC(G46*F56)</f>
        <v>0</v>
      </c>
      <c r="H56" s="235">
        <f t="shared" si="7"/>
        <v>0</v>
      </c>
      <c r="I56" s="407">
        <f>TRUNC(I46*H56)</f>
        <v>0</v>
      </c>
      <c r="J56" s="235">
        <f t="shared" si="8"/>
        <v>0</v>
      </c>
      <c r="K56" s="333">
        <f>TRUNC(K46*J56)</f>
        <v>0</v>
      </c>
    </row>
    <row r="57" spans="1:26" x14ac:dyDescent="0.35">
      <c r="A57" s="263" t="s">
        <v>1056</v>
      </c>
      <c r="B57" s="256"/>
      <c r="C57" s="353">
        <f>SUM(C51:C56)</f>
        <v>8</v>
      </c>
      <c r="D57" s="256"/>
      <c r="E57" s="352">
        <f>SUM(E51:E56)</f>
        <v>21</v>
      </c>
      <c r="F57" s="136"/>
      <c r="G57" s="352">
        <f>SUM(G51:G56)</f>
        <v>37</v>
      </c>
      <c r="H57" s="136"/>
      <c r="I57" s="352">
        <f>SUM(I51:I56)</f>
        <v>46</v>
      </c>
      <c r="J57" s="136"/>
      <c r="K57" s="353">
        <f>SUM(K51:K56)</f>
        <v>55</v>
      </c>
    </row>
    <row r="58" spans="1:26" x14ac:dyDescent="0.35">
      <c r="A58" s="145"/>
      <c r="B58" s="334"/>
      <c r="C58" s="79"/>
      <c r="D58" s="146"/>
      <c r="E58" s="146"/>
      <c r="F58" s="146"/>
      <c r="G58" s="146"/>
      <c r="H58" s="146"/>
      <c r="I58" s="146"/>
      <c r="J58" s="146"/>
      <c r="K58" s="85"/>
    </row>
    <row r="59" spans="1:26" ht="18" x14ac:dyDescent="0.35">
      <c r="A59" s="1042" t="s">
        <v>1180</v>
      </c>
      <c r="B59" s="833"/>
      <c r="C59" s="833"/>
      <c r="D59" s="833"/>
      <c r="E59" s="833"/>
      <c r="F59" s="833"/>
      <c r="G59" s="833"/>
      <c r="H59" s="833"/>
      <c r="I59" s="833"/>
      <c r="J59" s="833"/>
      <c r="K59" s="834"/>
    </row>
    <row r="60" spans="1:26" x14ac:dyDescent="0.35">
      <c r="A60" s="221"/>
      <c r="B60" s="171"/>
      <c r="C60" s="335"/>
      <c r="D60" s="221"/>
      <c r="E60" s="171"/>
      <c r="F60" s="171"/>
      <c r="G60" s="171"/>
      <c r="H60" s="171"/>
      <c r="I60" s="357"/>
      <c r="J60" s="171"/>
      <c r="K60" s="335"/>
      <c r="L60" s="76"/>
    </row>
    <row r="61" spans="1:26" x14ac:dyDescent="0.35">
      <c r="A61" s="135" t="s">
        <v>1061</v>
      </c>
      <c r="B61" s="171"/>
      <c r="C61" s="1625">
        <f>'Calculation (short)'!N7</f>
        <v>0</v>
      </c>
      <c r="D61" s="336"/>
      <c r="E61" s="1625">
        <f>'Calculation (short)'!N17</f>
        <v>0</v>
      </c>
      <c r="F61" s="172"/>
      <c r="G61" s="1625">
        <f>'Calculation (short)'!N28</f>
        <v>0</v>
      </c>
      <c r="H61" s="172"/>
      <c r="I61" s="1625">
        <f>'Calculation (short)'!N38</f>
        <v>0</v>
      </c>
      <c r="J61" s="172"/>
      <c r="K61" s="1629">
        <f>'Calculation (short)'!N48</f>
        <v>0</v>
      </c>
      <c r="L61" s="76"/>
    </row>
    <row r="62" spans="1:26" x14ac:dyDescent="0.35">
      <c r="A62" s="135" t="s">
        <v>1062</v>
      </c>
      <c r="B62" s="171"/>
      <c r="C62" s="1625">
        <f>'Calculation (short)'!N8</f>
        <v>0</v>
      </c>
      <c r="D62" s="336"/>
      <c r="E62" s="1625">
        <f>'Calculation (short)'!N18</f>
        <v>0</v>
      </c>
      <c r="F62" s="172"/>
      <c r="G62" s="1625">
        <f>'Calculation (short)'!N29</f>
        <v>0</v>
      </c>
      <c r="H62" s="172"/>
      <c r="I62" s="1625">
        <f>'Calculation (short)'!N39</f>
        <v>0</v>
      </c>
      <c r="J62" s="172"/>
      <c r="K62" s="1629">
        <f>'Calculation (short)'!N49</f>
        <v>0</v>
      </c>
      <c r="L62" s="76"/>
      <c r="P62" s="269"/>
      <c r="U62" s="269"/>
      <c r="X62" s="269"/>
      <c r="Z62" s="337"/>
    </row>
    <row r="63" spans="1:26" x14ac:dyDescent="0.35">
      <c r="A63" s="135" t="s">
        <v>1063</v>
      </c>
      <c r="B63" s="171"/>
      <c r="C63" s="1625">
        <f>'Calculation (short)'!N9</f>
        <v>0</v>
      </c>
      <c r="D63" s="336"/>
      <c r="E63" s="1625">
        <f>'Calculation (short)'!N19</f>
        <v>0</v>
      </c>
      <c r="F63" s="172"/>
      <c r="G63" s="1625">
        <f>'Calculation (short)'!N30</f>
        <v>0</v>
      </c>
      <c r="H63" s="172"/>
      <c r="I63" s="1625">
        <f>'Calculation (short)'!N40</f>
        <v>0</v>
      </c>
      <c r="J63" s="172"/>
      <c r="K63" s="1629">
        <f>'Calculation (short)'!N50</f>
        <v>0</v>
      </c>
      <c r="L63" s="76"/>
      <c r="P63" s="269"/>
      <c r="U63" s="269"/>
      <c r="X63" s="269"/>
      <c r="Z63" s="337"/>
    </row>
    <row r="64" spans="1:26" x14ac:dyDescent="0.35">
      <c r="A64" s="135" t="s">
        <v>1064</v>
      </c>
      <c r="B64" s="171"/>
      <c r="C64" s="1625">
        <f>'Calculation (short)'!N10</f>
        <v>0</v>
      </c>
      <c r="D64" s="336"/>
      <c r="E64" s="1625">
        <f>'Calculation (short)'!N20</f>
        <v>0</v>
      </c>
      <c r="F64" s="172"/>
      <c r="G64" s="1625">
        <f>'Calculation (short)'!N31</f>
        <v>0</v>
      </c>
      <c r="H64" s="172"/>
      <c r="I64" s="1625">
        <f>'Calculation (short)'!N41</f>
        <v>0</v>
      </c>
      <c r="J64" s="172"/>
      <c r="K64" s="1629">
        <f>'Calculation (short)'!N51</f>
        <v>0</v>
      </c>
      <c r="L64" s="76"/>
      <c r="P64" s="269"/>
      <c r="U64" s="269"/>
      <c r="X64" s="269"/>
      <c r="Z64" s="337"/>
    </row>
    <row r="65" spans="1:26" x14ac:dyDescent="0.35">
      <c r="A65" s="135" t="s">
        <v>1065</v>
      </c>
      <c r="B65" s="171"/>
      <c r="C65" s="1625">
        <f>'Calculation (short)'!N11</f>
        <v>167</v>
      </c>
      <c r="D65" s="336"/>
      <c r="E65" s="1625">
        <f>'Calculation (short)'!N21</f>
        <v>230</v>
      </c>
      <c r="F65" s="172"/>
      <c r="G65" s="1625">
        <f>'Calculation (short)'!N32</f>
        <v>340</v>
      </c>
      <c r="H65" s="172"/>
      <c r="I65" s="1625">
        <f>'Calculation (short)'!N42</f>
        <v>484</v>
      </c>
      <c r="J65" s="172"/>
      <c r="K65" s="1629">
        <f>'Calculation (short)'!N52</f>
        <v>653</v>
      </c>
      <c r="L65" s="76"/>
      <c r="P65" s="269"/>
      <c r="U65" s="269"/>
      <c r="X65" s="269"/>
      <c r="Z65" s="337"/>
    </row>
    <row r="66" spans="1:26" x14ac:dyDescent="0.35">
      <c r="A66" s="135" t="s">
        <v>1066</v>
      </c>
      <c r="B66" s="171"/>
      <c r="C66" s="532">
        <f>'Calculation (short)'!N12</f>
        <v>0</v>
      </c>
      <c r="E66" s="1627">
        <f>'Calculation (short)'!N22</f>
        <v>0</v>
      </c>
      <c r="G66" s="1625">
        <f>'Calculation (short)'!N33</f>
        <v>0</v>
      </c>
      <c r="I66" s="1627">
        <f>'Calculation (short)'!N43</f>
        <v>0</v>
      </c>
      <c r="K66" s="1629">
        <f>'Calculation (short)'!N53</f>
        <v>0</v>
      </c>
      <c r="L66" s="76"/>
      <c r="P66" s="269"/>
      <c r="U66" s="269"/>
      <c r="X66" s="269"/>
      <c r="Z66" s="337"/>
    </row>
    <row r="67" spans="1:26" x14ac:dyDescent="0.35">
      <c r="A67" s="135" t="s">
        <v>562</v>
      </c>
      <c r="B67" s="171"/>
      <c r="C67" s="1626">
        <f>'Calculation (short)'!N13</f>
        <v>0</v>
      </c>
      <c r="D67" s="336"/>
      <c r="E67" s="1628">
        <f>'Calculation (short)'!N23</f>
        <v>0</v>
      </c>
      <c r="F67" s="172"/>
      <c r="G67" s="1628">
        <f>'Calculation (short)'!N34</f>
        <v>0</v>
      </c>
      <c r="H67" s="172"/>
      <c r="I67" s="1628">
        <f>'Calculation (short)'!N44</f>
        <v>0</v>
      </c>
      <c r="J67" s="172"/>
      <c r="K67" s="1626">
        <f>'Calculation (short)'!N54</f>
        <v>0</v>
      </c>
      <c r="L67" s="76"/>
    </row>
    <row r="68" spans="1:26" x14ac:dyDescent="0.35">
      <c r="A68" s="263" t="s">
        <v>462</v>
      </c>
      <c r="B68" s="136"/>
      <c r="C68" s="338">
        <f>SUM(C61:C67)</f>
        <v>167</v>
      </c>
      <c r="D68" s="336"/>
      <c r="E68" s="339">
        <f>SUM(E61:E67)</f>
        <v>230</v>
      </c>
      <c r="F68" s="172"/>
      <c r="G68" s="339">
        <f>SUM(G61:G67)</f>
        <v>340</v>
      </c>
      <c r="H68" s="172"/>
      <c r="I68" s="339">
        <f>SUM(I61:I67)</f>
        <v>484</v>
      </c>
      <c r="J68" s="172"/>
      <c r="K68" s="338">
        <f>SUM(K61:K67)</f>
        <v>653</v>
      </c>
      <c r="L68" s="76"/>
    </row>
    <row r="69" spans="1:26" x14ac:dyDescent="0.35">
      <c r="A69" s="145"/>
      <c r="B69" s="146"/>
      <c r="C69" s="266"/>
      <c r="D69" s="223"/>
      <c r="E69" s="224"/>
      <c r="F69" s="224"/>
      <c r="G69" s="224"/>
      <c r="H69" s="224"/>
      <c r="I69" s="407"/>
      <c r="J69" s="224"/>
      <c r="K69" s="266"/>
      <c r="L69" s="76"/>
    </row>
    <row r="70" spans="1:26" hidden="1" x14ac:dyDescent="0.35">
      <c r="A70" s="136"/>
      <c r="B70" s="136"/>
      <c r="C70" s="261"/>
      <c r="D70" s="253"/>
      <c r="E70" s="253"/>
      <c r="F70" s="253"/>
      <c r="G70" s="253"/>
      <c r="H70" s="253"/>
      <c r="I70" s="253"/>
      <c r="J70" s="253"/>
      <c r="K70" s="253"/>
      <c r="L70" s="76"/>
    </row>
    <row r="71" spans="1:26" hidden="1" x14ac:dyDescent="0.35">
      <c r="A71" s="136"/>
      <c r="B71" s="136"/>
      <c r="C71" s="261"/>
      <c r="D71" s="253"/>
      <c r="E71" s="253"/>
      <c r="F71" s="253"/>
      <c r="G71" s="253"/>
      <c r="H71" s="253"/>
      <c r="I71" s="253"/>
      <c r="J71" s="253"/>
      <c r="K71" s="253"/>
      <c r="L71" s="76"/>
    </row>
    <row r="72" spans="1:26" hidden="1" x14ac:dyDescent="0.35">
      <c r="A72" s="136"/>
      <c r="B72" s="136"/>
      <c r="C72" s="261"/>
      <c r="D72" s="253"/>
      <c r="E72" s="253"/>
      <c r="F72" s="253"/>
      <c r="G72" s="253"/>
      <c r="H72" s="253"/>
      <c r="I72" s="253"/>
      <c r="J72" s="253"/>
      <c r="K72" s="253"/>
      <c r="L72" s="76"/>
    </row>
    <row r="73" spans="1:26" hidden="1" x14ac:dyDescent="0.35">
      <c r="A73" s="164"/>
      <c r="B73" s="136"/>
      <c r="C73" s="261"/>
      <c r="D73" s="253"/>
      <c r="E73" s="253"/>
      <c r="F73" s="253"/>
      <c r="G73" s="253"/>
      <c r="H73" s="253"/>
      <c r="I73" s="253"/>
      <c r="J73" s="253"/>
      <c r="K73" s="253"/>
      <c r="L73" s="76"/>
    </row>
    <row r="74" spans="1:26" hidden="1" x14ac:dyDescent="0.35">
      <c r="A74" s="136"/>
      <c r="B74" s="136"/>
      <c r="C74" s="136"/>
      <c r="D74" s="136"/>
      <c r="E74" s="136"/>
      <c r="F74" s="136"/>
      <c r="G74" s="136"/>
      <c r="H74" s="136"/>
      <c r="I74" s="136"/>
      <c r="J74" s="136"/>
      <c r="K74" s="136"/>
      <c r="L74" s="76"/>
    </row>
    <row r="75" spans="1:26" hidden="1" x14ac:dyDescent="0.35">
      <c r="A75" s="136"/>
      <c r="B75" s="136"/>
      <c r="C75" s="136"/>
      <c r="D75" s="136"/>
      <c r="E75" s="136"/>
      <c r="F75" s="136"/>
      <c r="G75" s="136"/>
      <c r="H75" s="136"/>
      <c r="I75" s="136"/>
      <c r="J75" s="136"/>
      <c r="K75" s="136"/>
      <c r="L75" s="76"/>
    </row>
    <row r="76" spans="1:26" hidden="1" x14ac:dyDescent="0.35">
      <c r="A76" s="136"/>
      <c r="B76" s="136"/>
      <c r="C76" s="136"/>
      <c r="D76" s="136"/>
      <c r="E76" s="136"/>
      <c r="F76" s="136"/>
      <c r="G76" s="136"/>
      <c r="H76" s="136"/>
      <c r="I76" s="136"/>
      <c r="J76" s="136"/>
      <c r="K76" s="136"/>
      <c r="L76" s="76"/>
    </row>
    <row r="77" spans="1:26" hidden="1" x14ac:dyDescent="0.35"/>
    <row r="78" spans="1:26" hidden="1" x14ac:dyDescent="0.35"/>
  </sheetData>
  <sheetProtection password="813F" sheet="1" objects="1" scenarios="1" selectLockedCells="1"/>
  <scenarios current="0" sqref="C22 C26 C27">
    <scenario name="Increase DAF volume" locked="1" count="5" user="marco eijkens" comment="Gemaakt door marco eijkens op 22-7-2008">
      <inputCells r="C33" val="200"/>
      <inputCells r="E33" val="2000"/>
      <inputCells r="G33" val="3000"/>
      <inputCells r="I33" val="4120"/>
      <inputCells r="K33" val="42133"/>
    </scenario>
    <scenario name="Increase used trucks" locked="1" count="8" user="marco eijkens" comment="Gemaakt door marco eijkens op 22-7-2008">
      <inputCells r="K20" val="100"/>
      <inputCells r="C55" val="5000" numFmtId="1"/>
      <inputCells r="D55" val="600"/>
      <inputCells r="D55" val="800"/>
      <inputCells r="E55" val="200" numFmtId="1"/>
      <inputCells r="G55" val="0" numFmtId="1"/>
      <inputCells r="I55" val="0" numFmtId="1"/>
      <inputCells r="K55" val="0" numFmtId="1"/>
    </scenario>
  </scenarios>
  <customSheetViews>
    <customSheetView guid="{51165254-F18A-4CD1-9981-8F2DE14CC76C}" showGridLines="0" fitToPage="1" hiddenRows="1" hiddenColumns="1" showRuler="0">
      <pane ySplit="5" topLeftCell="A28" activePane="bottomLeft" state="frozen"/>
      <selection pane="bottomLeft" activeCell="D54" sqref="D54"/>
      <pageMargins left="0.78740157480314965" right="0.78740157480314965" top="0.98425196850393704" bottom="0.98425196850393704" header="0.51181102362204722" footer="0.51181102362204722"/>
      <printOptions horizontalCentered="1" verticalCentered="1"/>
      <pageSetup paperSize="9" scale="49"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49"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1">
    <tabColor indexed="45"/>
    <pageSetUpPr fitToPage="1"/>
  </sheetPr>
  <dimension ref="A1:AC65"/>
  <sheetViews>
    <sheetView showGridLines="0" topLeftCell="A6" zoomScale="130" zoomScaleNormal="130" workbookViewId="0"/>
  </sheetViews>
  <sheetFormatPr baseColWidth="10" defaultColWidth="12.44140625" defaultRowHeight="14.4" zeroHeight="1" x14ac:dyDescent="0.35"/>
  <cols>
    <col min="1" max="12" width="12.44140625" style="45" customWidth="1"/>
    <col min="13" max="29" width="12.44140625" style="168" customWidth="1"/>
    <col min="30" max="16384" width="12.44140625" style="45"/>
  </cols>
  <sheetData>
    <row r="1" spans="1:29" ht="29.25" customHeight="1" x14ac:dyDescent="0.55000000000000004">
      <c r="A1" s="200" t="s">
        <v>673</v>
      </c>
      <c r="B1" s="201"/>
      <c r="C1" s="201"/>
      <c r="D1" s="201"/>
      <c r="E1" s="201"/>
      <c r="F1" s="201"/>
      <c r="G1" s="201"/>
      <c r="H1" s="201"/>
      <c r="I1" s="201"/>
      <c r="J1" s="201"/>
      <c r="K1" s="201"/>
      <c r="L1" s="202" t="s">
        <v>687</v>
      </c>
    </row>
    <row r="2" spans="1:29" ht="13.2" customHeight="1" x14ac:dyDescent="0.35">
      <c r="A2" s="135"/>
      <c r="B2" s="169"/>
      <c r="C2" s="170"/>
      <c r="D2" s="171"/>
      <c r="E2" s="172"/>
      <c r="F2" s="136"/>
      <c r="G2" s="136"/>
      <c r="H2" s="173"/>
      <c r="I2" s="171"/>
      <c r="J2" s="171"/>
      <c r="K2" s="171"/>
      <c r="L2" s="174"/>
    </row>
    <row r="3" spans="1:29" ht="13.2" customHeight="1" x14ac:dyDescent="0.35">
      <c r="A3" s="135" t="s">
        <v>1049</v>
      </c>
      <c r="B3" s="169"/>
      <c r="C3" s="136"/>
      <c r="D3" s="164" t="str">
        <f>'Reference sheet'!C12</f>
        <v>TRUCK INTERNATIONAL MOBILITY SA</v>
      </c>
      <c r="E3" s="172"/>
      <c r="F3" s="136"/>
      <c r="G3" s="175" t="s">
        <v>1037</v>
      </c>
      <c r="H3" s="862" t="str">
        <f>'Reference sheet'!C17</f>
        <v>October</v>
      </c>
      <c r="I3" s="863">
        <f>'Reference sheet'!D17</f>
        <v>2018</v>
      </c>
      <c r="J3" s="175" t="s">
        <v>1036</v>
      </c>
      <c r="K3" s="175"/>
      <c r="L3" s="177">
        <f>'Reference sheet'!C15</f>
        <v>2</v>
      </c>
      <c r="M3" s="198"/>
    </row>
    <row r="4" spans="1:29" ht="13.2" customHeight="1" x14ac:dyDescent="0.35">
      <c r="A4" s="145"/>
      <c r="B4" s="178"/>
      <c r="C4" s="146"/>
      <c r="D4" s="146"/>
      <c r="E4" s="146"/>
      <c r="F4" s="146"/>
      <c r="G4" s="179"/>
      <c r="H4" s="146"/>
      <c r="I4" s="146"/>
      <c r="J4" s="146"/>
      <c r="K4" s="146"/>
      <c r="L4" s="180"/>
    </row>
    <row r="5" spans="1:29" x14ac:dyDescent="0.35">
      <c r="A5" s="136"/>
      <c r="B5" s="181"/>
      <c r="C5" s="136"/>
      <c r="D5" s="136"/>
      <c r="E5" s="136"/>
      <c r="F5" s="136"/>
      <c r="G5" s="182"/>
      <c r="H5" s="136"/>
      <c r="I5" s="136"/>
      <c r="J5" s="136"/>
      <c r="K5" s="136"/>
      <c r="L5" s="181"/>
    </row>
    <row r="6" spans="1:29" x14ac:dyDescent="0.35">
      <c r="A6" s="832" t="s">
        <v>542</v>
      </c>
      <c r="B6" s="833"/>
      <c r="C6" s="833"/>
      <c r="D6" s="833"/>
      <c r="E6" s="833"/>
      <c r="F6" s="833"/>
      <c r="G6" s="833"/>
      <c r="H6" s="833"/>
      <c r="I6" s="833"/>
      <c r="J6" s="833"/>
      <c r="K6" s="833"/>
      <c r="L6" s="834"/>
    </row>
    <row r="7" spans="1:29" s="199" customFormat="1" x14ac:dyDescent="0.35">
      <c r="A7" s="221"/>
      <c r="B7" s="171"/>
      <c r="C7" s="171"/>
      <c r="D7" s="171"/>
      <c r="E7" s="171"/>
      <c r="F7" s="171"/>
      <c r="G7" s="171"/>
      <c r="H7" s="171"/>
      <c r="I7" s="171"/>
      <c r="J7" s="171"/>
      <c r="K7" s="171"/>
      <c r="L7" s="335"/>
      <c r="M7" s="168"/>
      <c r="N7" s="168"/>
      <c r="O7" s="168"/>
      <c r="P7" s="168"/>
      <c r="Q7" s="168"/>
      <c r="R7" s="168"/>
      <c r="S7" s="168"/>
      <c r="T7" s="168"/>
      <c r="U7" s="168"/>
      <c r="V7" s="168"/>
      <c r="W7" s="168"/>
      <c r="X7" s="168"/>
      <c r="Y7" s="168"/>
      <c r="Z7" s="168"/>
      <c r="AA7" s="168"/>
      <c r="AB7" s="168"/>
      <c r="AC7" s="168"/>
    </row>
    <row r="8" spans="1:29" s="199" customFormat="1" x14ac:dyDescent="0.35">
      <c r="A8" s="221"/>
      <c r="B8" s="171"/>
      <c r="C8" s="171"/>
      <c r="D8" s="171"/>
      <c r="E8" s="171"/>
      <c r="F8" s="171"/>
      <c r="G8" s="171"/>
      <c r="H8" s="171"/>
      <c r="I8" s="171"/>
      <c r="J8" s="171"/>
      <c r="K8" s="171"/>
      <c r="L8" s="335"/>
      <c r="M8" s="168"/>
      <c r="N8" s="168"/>
      <c r="O8" s="168"/>
      <c r="P8" s="168"/>
      <c r="Q8" s="168"/>
      <c r="R8" s="168"/>
      <c r="S8" s="168"/>
      <c r="T8" s="168"/>
      <c r="U8" s="168"/>
      <c r="V8" s="168"/>
      <c r="W8" s="168"/>
      <c r="X8" s="168"/>
      <c r="Y8" s="168"/>
      <c r="Z8" s="168"/>
      <c r="AA8" s="168"/>
      <c r="AB8" s="168"/>
      <c r="AC8" s="168"/>
    </row>
    <row r="9" spans="1:29" s="199" customFormat="1" x14ac:dyDescent="0.35">
      <c r="A9" s="221"/>
      <c r="B9" s="171"/>
      <c r="C9" s="171"/>
      <c r="D9" s="171"/>
      <c r="E9" s="171"/>
      <c r="F9" s="171"/>
      <c r="G9" s="171"/>
      <c r="H9" s="171"/>
      <c r="I9" s="171"/>
      <c r="J9" s="171"/>
      <c r="K9" s="171"/>
      <c r="L9" s="335"/>
      <c r="M9" s="168"/>
      <c r="N9" s="168"/>
      <c r="O9" s="168"/>
      <c r="P9" s="168"/>
      <c r="Q9" s="168"/>
      <c r="R9" s="168"/>
      <c r="S9" s="168"/>
      <c r="T9" s="168"/>
      <c r="U9" s="168"/>
      <c r="V9" s="168"/>
      <c r="W9" s="168"/>
      <c r="X9" s="168"/>
      <c r="Y9" s="168"/>
      <c r="Z9" s="168"/>
      <c r="AA9" s="168"/>
      <c r="AB9" s="168"/>
      <c r="AC9" s="168"/>
    </row>
    <row r="10" spans="1:29" s="199" customFormat="1" x14ac:dyDescent="0.35">
      <c r="A10" s="221"/>
      <c r="B10" s="171"/>
      <c r="C10" s="171"/>
      <c r="D10" s="171"/>
      <c r="E10" s="171"/>
      <c r="F10" s="171"/>
      <c r="G10" s="171"/>
      <c r="H10" s="171"/>
      <c r="I10" s="171"/>
      <c r="J10" s="171"/>
      <c r="K10" s="171"/>
      <c r="L10" s="335"/>
      <c r="M10" s="168"/>
      <c r="N10" s="168"/>
      <c r="O10" s="168"/>
      <c r="P10" s="168"/>
      <c r="Q10" s="168"/>
      <c r="R10" s="168"/>
      <c r="S10" s="168"/>
      <c r="T10" s="168"/>
      <c r="U10" s="168"/>
      <c r="V10" s="168"/>
      <c r="W10" s="168"/>
      <c r="X10" s="168"/>
      <c r="Y10" s="168"/>
      <c r="Z10" s="168"/>
      <c r="AA10" s="168"/>
      <c r="AB10" s="168"/>
      <c r="AC10" s="168"/>
    </row>
    <row r="11" spans="1:29" s="199" customFormat="1" x14ac:dyDescent="0.35">
      <c r="A11" s="221"/>
      <c r="B11" s="171"/>
      <c r="C11" s="171"/>
      <c r="D11" s="171"/>
      <c r="E11" s="171"/>
      <c r="F11" s="171"/>
      <c r="G11" s="171"/>
      <c r="H11" s="171"/>
      <c r="I11" s="171"/>
      <c r="J11" s="171"/>
      <c r="K11" s="171"/>
      <c r="L11" s="335"/>
      <c r="M11" s="168"/>
      <c r="N11" s="168"/>
      <c r="O11" s="168"/>
      <c r="P11" s="168"/>
      <c r="Q11" s="168"/>
      <c r="R11" s="168"/>
      <c r="S11" s="168"/>
      <c r="T11" s="168"/>
      <c r="U11" s="168"/>
      <c r="V11" s="168"/>
      <c r="W11" s="168"/>
      <c r="X11" s="168"/>
      <c r="Y11" s="168"/>
      <c r="Z11" s="168"/>
      <c r="AA11" s="168"/>
      <c r="AB11" s="168"/>
      <c r="AC11" s="168"/>
    </row>
    <row r="12" spans="1:29" s="199" customFormat="1" x14ac:dyDescent="0.35">
      <c r="A12" s="221"/>
      <c r="B12" s="171"/>
      <c r="C12" s="171"/>
      <c r="D12" s="171"/>
      <c r="E12" s="171"/>
      <c r="F12" s="171"/>
      <c r="G12" s="171"/>
      <c r="H12" s="171"/>
      <c r="I12" s="171"/>
      <c r="J12" s="171"/>
      <c r="K12" s="171"/>
      <c r="L12" s="335"/>
      <c r="M12" s="168"/>
      <c r="N12" s="168"/>
      <c r="O12" s="168"/>
      <c r="P12" s="168"/>
      <c r="Q12" s="168"/>
      <c r="R12" s="168"/>
      <c r="S12" s="168"/>
      <c r="T12" s="168"/>
      <c r="U12" s="168"/>
      <c r="V12" s="168"/>
      <c r="W12" s="168"/>
      <c r="X12" s="168"/>
      <c r="Y12" s="168"/>
      <c r="Z12" s="168"/>
      <c r="AA12" s="168"/>
      <c r="AB12" s="168"/>
      <c r="AC12" s="168"/>
    </row>
    <row r="13" spans="1:29" s="199" customFormat="1" x14ac:dyDescent="0.35">
      <c r="A13" s="221"/>
      <c r="B13" s="171"/>
      <c r="C13" s="171"/>
      <c r="D13" s="171"/>
      <c r="E13" s="171"/>
      <c r="F13" s="171"/>
      <c r="G13" s="171"/>
      <c r="H13" s="171"/>
      <c r="I13" s="171"/>
      <c r="J13" s="171"/>
      <c r="K13" s="171"/>
      <c r="L13" s="335"/>
      <c r="M13" s="168"/>
      <c r="N13" s="168"/>
      <c r="O13" s="168"/>
      <c r="P13" s="168"/>
      <c r="Q13" s="168"/>
      <c r="R13" s="168"/>
      <c r="S13" s="168"/>
      <c r="T13" s="168"/>
      <c r="U13" s="168"/>
      <c r="V13" s="168"/>
      <c r="W13" s="168"/>
      <c r="X13" s="168"/>
      <c r="Y13" s="168"/>
      <c r="Z13" s="168"/>
      <c r="AA13" s="168"/>
      <c r="AB13" s="168"/>
      <c r="AC13" s="168"/>
    </row>
    <row r="14" spans="1:29" s="199" customFormat="1" x14ac:dyDescent="0.35">
      <c r="A14" s="221"/>
      <c r="B14" s="171"/>
      <c r="C14" s="171"/>
      <c r="D14" s="171"/>
      <c r="E14" s="171"/>
      <c r="F14" s="171"/>
      <c r="G14" s="171"/>
      <c r="H14" s="171"/>
      <c r="I14" s="171"/>
      <c r="J14" s="171"/>
      <c r="K14" s="171"/>
      <c r="L14" s="335"/>
      <c r="M14" s="168"/>
      <c r="N14" s="168"/>
      <c r="O14" s="168"/>
      <c r="P14" s="168"/>
      <c r="Q14" s="168"/>
      <c r="R14" s="168"/>
      <c r="S14" s="168"/>
      <c r="T14" s="168"/>
      <c r="U14" s="168"/>
      <c r="V14" s="168"/>
      <c r="W14" s="168"/>
      <c r="X14" s="168"/>
      <c r="Y14" s="168"/>
      <c r="Z14" s="168"/>
      <c r="AA14" s="168"/>
      <c r="AB14" s="168"/>
      <c r="AC14" s="168"/>
    </row>
    <row r="15" spans="1:29" s="199" customFormat="1" x14ac:dyDescent="0.35">
      <c r="A15" s="221"/>
      <c r="B15" s="171"/>
      <c r="C15" s="171"/>
      <c r="D15" s="171"/>
      <c r="E15" s="171"/>
      <c r="F15" s="171"/>
      <c r="G15" s="171"/>
      <c r="H15" s="171"/>
      <c r="I15" s="171"/>
      <c r="J15" s="171"/>
      <c r="K15" s="171"/>
      <c r="L15" s="335"/>
      <c r="M15" s="168"/>
      <c r="N15" s="168"/>
      <c r="O15" s="168"/>
      <c r="P15" s="168"/>
      <c r="Q15" s="168"/>
      <c r="R15" s="168"/>
      <c r="S15" s="168"/>
      <c r="T15" s="168"/>
      <c r="U15" s="168"/>
      <c r="V15" s="168"/>
      <c r="W15" s="168"/>
      <c r="X15" s="168"/>
      <c r="Y15" s="168"/>
      <c r="Z15" s="168"/>
      <c r="AA15" s="168"/>
      <c r="AB15" s="168"/>
      <c r="AC15" s="168"/>
    </row>
    <row r="16" spans="1:29" s="199" customFormat="1" x14ac:dyDescent="0.35">
      <c r="A16" s="221"/>
      <c r="B16" s="171"/>
      <c r="C16" s="171"/>
      <c r="D16" s="171"/>
      <c r="E16" s="171"/>
      <c r="F16" s="171"/>
      <c r="G16" s="171"/>
      <c r="H16" s="171"/>
      <c r="I16" s="171"/>
      <c r="J16" s="171"/>
      <c r="K16" s="171"/>
      <c r="L16" s="335"/>
      <c r="M16" s="168"/>
      <c r="N16" s="168"/>
      <c r="O16" s="168"/>
      <c r="P16" s="168"/>
      <c r="Q16" s="168"/>
      <c r="R16" s="168"/>
      <c r="S16" s="168"/>
      <c r="T16" s="168"/>
      <c r="U16" s="168"/>
      <c r="V16" s="168"/>
      <c r="W16" s="168"/>
      <c r="X16" s="168"/>
      <c r="Y16" s="168"/>
      <c r="Z16" s="168"/>
      <c r="AA16" s="168"/>
      <c r="AB16" s="168"/>
      <c r="AC16" s="168"/>
    </row>
    <row r="17" spans="1:29" s="199" customFormat="1" x14ac:dyDescent="0.35">
      <c r="A17" s="221"/>
      <c r="B17" s="171"/>
      <c r="C17" s="171"/>
      <c r="D17" s="171"/>
      <c r="E17" s="171"/>
      <c r="F17" s="171"/>
      <c r="G17" s="171"/>
      <c r="H17" s="171"/>
      <c r="I17" s="171"/>
      <c r="J17" s="171"/>
      <c r="K17" s="171"/>
      <c r="L17" s="335"/>
      <c r="M17" s="168"/>
      <c r="N17" s="168"/>
      <c r="O17" s="168"/>
      <c r="P17" s="168"/>
      <c r="Q17" s="168"/>
      <c r="R17" s="168"/>
      <c r="S17" s="168"/>
      <c r="T17" s="168"/>
      <c r="U17" s="168"/>
      <c r="V17" s="168"/>
      <c r="W17" s="168"/>
      <c r="X17" s="168"/>
      <c r="Y17" s="168"/>
      <c r="Z17" s="168"/>
      <c r="AA17" s="168"/>
      <c r="AB17" s="168"/>
      <c r="AC17" s="168"/>
    </row>
    <row r="18" spans="1:29" s="199" customFormat="1" x14ac:dyDescent="0.35">
      <c r="A18" s="221"/>
      <c r="B18" s="171"/>
      <c r="C18" s="171"/>
      <c r="D18" s="171"/>
      <c r="E18" s="171"/>
      <c r="F18" s="171"/>
      <c r="G18" s="171"/>
      <c r="H18" s="171"/>
      <c r="I18" s="171"/>
      <c r="J18" s="171"/>
      <c r="K18" s="171"/>
      <c r="L18" s="335"/>
      <c r="M18" s="168"/>
      <c r="N18" s="168"/>
      <c r="O18" s="168"/>
      <c r="P18" s="168"/>
      <c r="Q18" s="168"/>
      <c r="R18" s="168"/>
      <c r="S18" s="168"/>
      <c r="T18" s="168"/>
      <c r="U18" s="168"/>
      <c r="V18" s="168"/>
      <c r="W18" s="168"/>
      <c r="X18" s="168"/>
      <c r="Y18" s="168"/>
      <c r="Z18" s="168"/>
      <c r="AA18" s="168"/>
      <c r="AB18" s="168"/>
      <c r="AC18" s="168"/>
    </row>
    <row r="19" spans="1:29" s="199" customFormat="1" x14ac:dyDescent="0.35">
      <c r="A19" s="221"/>
      <c r="B19" s="171"/>
      <c r="C19" s="171"/>
      <c r="D19" s="171"/>
      <c r="E19" s="171"/>
      <c r="F19" s="171"/>
      <c r="G19" s="171"/>
      <c r="H19" s="171"/>
      <c r="I19" s="171"/>
      <c r="J19" s="171"/>
      <c r="K19" s="171"/>
      <c r="L19" s="335"/>
      <c r="M19" s="168"/>
      <c r="N19" s="168"/>
      <c r="O19" s="168"/>
      <c r="P19" s="168"/>
      <c r="Q19" s="168"/>
      <c r="R19" s="168"/>
      <c r="S19" s="168"/>
      <c r="T19" s="168"/>
      <c r="U19" s="168"/>
      <c r="V19" s="168"/>
      <c r="W19" s="168"/>
      <c r="X19" s="168"/>
      <c r="Y19" s="168"/>
      <c r="Z19" s="168"/>
      <c r="AA19" s="168"/>
      <c r="AB19" s="168"/>
      <c r="AC19" s="168"/>
    </row>
    <row r="20" spans="1:29" s="199" customFormat="1" x14ac:dyDescent="0.35">
      <c r="A20" s="221"/>
      <c r="B20" s="171"/>
      <c r="C20" s="171"/>
      <c r="D20" s="171"/>
      <c r="E20" s="171"/>
      <c r="F20" s="171"/>
      <c r="G20" s="171"/>
      <c r="H20" s="171"/>
      <c r="I20" s="171"/>
      <c r="J20" s="171"/>
      <c r="K20" s="171"/>
      <c r="L20" s="335"/>
      <c r="M20" s="168"/>
      <c r="N20" s="168"/>
      <c r="O20" s="168"/>
      <c r="P20" s="168"/>
      <c r="Q20" s="168"/>
      <c r="R20" s="168"/>
      <c r="S20" s="168"/>
      <c r="T20" s="168"/>
      <c r="U20" s="168"/>
      <c r="V20" s="168"/>
      <c r="W20" s="168"/>
      <c r="X20" s="168"/>
      <c r="Y20" s="168"/>
      <c r="Z20" s="168"/>
      <c r="AA20" s="168"/>
      <c r="AB20" s="168"/>
      <c r="AC20" s="168"/>
    </row>
    <row r="21" spans="1:29" s="199" customFormat="1" x14ac:dyDescent="0.35">
      <c r="A21" s="221"/>
      <c r="B21" s="171"/>
      <c r="C21" s="171"/>
      <c r="D21" s="171"/>
      <c r="E21" s="171"/>
      <c r="F21" s="171"/>
      <c r="G21" s="171"/>
      <c r="H21" s="171"/>
      <c r="I21" s="171"/>
      <c r="J21" s="171"/>
      <c r="K21" s="171"/>
      <c r="L21" s="335"/>
      <c r="M21" s="168"/>
      <c r="N21" s="168"/>
      <c r="O21" s="168"/>
      <c r="P21" s="168"/>
      <c r="Q21" s="168"/>
      <c r="R21" s="168"/>
      <c r="S21" s="168"/>
      <c r="T21" s="168"/>
      <c r="U21" s="168"/>
      <c r="V21" s="168"/>
      <c r="W21" s="168"/>
      <c r="X21" s="168"/>
      <c r="Y21" s="168"/>
      <c r="Z21" s="168"/>
      <c r="AA21" s="168"/>
      <c r="AB21" s="168"/>
      <c r="AC21" s="168"/>
    </row>
    <row r="22" spans="1:29" s="199" customFormat="1" x14ac:dyDescent="0.35">
      <c r="A22" s="221"/>
      <c r="B22" s="171"/>
      <c r="C22" s="171"/>
      <c r="D22" s="171"/>
      <c r="E22" s="171"/>
      <c r="F22" s="171"/>
      <c r="G22" s="171"/>
      <c r="H22" s="171"/>
      <c r="I22" s="171"/>
      <c r="J22" s="171"/>
      <c r="K22" s="171"/>
      <c r="L22" s="335"/>
      <c r="M22" s="168"/>
      <c r="N22" s="168"/>
      <c r="O22" s="168"/>
      <c r="P22" s="168"/>
      <c r="Q22" s="168"/>
      <c r="R22" s="168"/>
      <c r="S22" s="168"/>
      <c r="T22" s="168"/>
      <c r="U22" s="168"/>
      <c r="V22" s="168"/>
      <c r="W22" s="168"/>
      <c r="X22" s="168"/>
      <c r="Y22" s="168"/>
      <c r="Z22" s="168"/>
      <c r="AA22" s="168"/>
      <c r="AB22" s="168"/>
      <c r="AC22" s="168"/>
    </row>
    <row r="23" spans="1:29" s="199" customFormat="1" x14ac:dyDescent="0.35">
      <c r="A23" s="221"/>
      <c r="B23" s="171"/>
      <c r="C23" s="171"/>
      <c r="D23" s="171"/>
      <c r="E23" s="171"/>
      <c r="F23" s="171"/>
      <c r="G23" s="171"/>
      <c r="H23" s="171"/>
      <c r="I23" s="171"/>
      <c r="J23" s="171"/>
      <c r="K23" s="171"/>
      <c r="L23" s="335"/>
      <c r="M23" s="168"/>
      <c r="N23" s="168"/>
      <c r="O23" s="168"/>
      <c r="P23" s="168"/>
      <c r="Q23" s="168"/>
      <c r="R23" s="168"/>
      <c r="S23" s="168"/>
      <c r="T23" s="168"/>
      <c r="U23" s="168"/>
      <c r="V23" s="168"/>
      <c r="W23" s="168"/>
      <c r="X23" s="168"/>
      <c r="Y23" s="168"/>
      <c r="Z23" s="168"/>
      <c r="AA23" s="168"/>
      <c r="AB23" s="168"/>
      <c r="AC23" s="168"/>
    </row>
    <row r="24" spans="1:29" s="199" customFormat="1" x14ac:dyDescent="0.35">
      <c r="A24" s="221"/>
      <c r="B24" s="171"/>
      <c r="C24" s="171"/>
      <c r="D24" s="171"/>
      <c r="E24" s="171"/>
      <c r="F24" s="171"/>
      <c r="G24" s="171"/>
      <c r="H24" s="171"/>
      <c r="I24" s="171"/>
      <c r="J24" s="171"/>
      <c r="K24" s="171"/>
      <c r="L24" s="335"/>
      <c r="M24" s="168"/>
      <c r="N24" s="168"/>
      <c r="O24" s="168"/>
      <c r="P24" s="168"/>
      <c r="Q24" s="168"/>
      <c r="R24" s="168"/>
      <c r="S24" s="168"/>
      <c r="T24" s="168"/>
      <c r="U24" s="168"/>
      <c r="V24" s="168"/>
      <c r="W24" s="168"/>
      <c r="X24" s="168"/>
      <c r="Y24" s="168"/>
      <c r="Z24" s="168"/>
      <c r="AA24" s="168"/>
      <c r="AB24" s="168"/>
      <c r="AC24" s="168"/>
    </row>
    <row r="25" spans="1:29" s="199" customFormat="1" x14ac:dyDescent="0.35">
      <c r="A25" s="221"/>
      <c r="B25" s="171"/>
      <c r="C25" s="171"/>
      <c r="D25" s="171"/>
      <c r="E25" s="171"/>
      <c r="F25" s="171"/>
      <c r="G25" s="171"/>
      <c r="H25" s="171"/>
      <c r="I25" s="171"/>
      <c r="J25" s="171"/>
      <c r="K25" s="171"/>
      <c r="L25" s="335"/>
      <c r="M25" s="168"/>
      <c r="N25" s="168"/>
      <c r="O25" s="168"/>
      <c r="P25" s="168"/>
      <c r="Q25" s="168"/>
      <c r="R25" s="168"/>
      <c r="S25" s="168"/>
      <c r="T25" s="168"/>
      <c r="U25" s="168"/>
      <c r="V25" s="168"/>
      <c r="W25" s="168"/>
      <c r="X25" s="168"/>
      <c r="Y25" s="168"/>
      <c r="Z25" s="168"/>
      <c r="AA25" s="168"/>
      <c r="AB25" s="168"/>
      <c r="AC25" s="168"/>
    </row>
    <row r="26" spans="1:29" s="199" customFormat="1" x14ac:dyDescent="0.35">
      <c r="A26" s="221"/>
      <c r="B26" s="171"/>
      <c r="C26" s="171"/>
      <c r="D26" s="171"/>
      <c r="E26" s="171"/>
      <c r="F26" s="171"/>
      <c r="G26" s="171"/>
      <c r="H26" s="171"/>
      <c r="I26" s="171"/>
      <c r="J26" s="171"/>
      <c r="K26" s="171"/>
      <c r="L26" s="335"/>
      <c r="M26" s="168"/>
      <c r="N26" s="168"/>
      <c r="O26" s="168"/>
      <c r="P26" s="168"/>
      <c r="Q26" s="168"/>
      <c r="R26" s="168"/>
      <c r="S26" s="168"/>
      <c r="T26" s="168"/>
      <c r="U26" s="168"/>
      <c r="V26" s="168"/>
      <c r="W26" s="168"/>
      <c r="X26" s="168"/>
      <c r="Y26" s="168"/>
      <c r="Z26" s="168"/>
      <c r="AA26" s="168"/>
      <c r="AB26" s="168"/>
      <c r="AC26" s="168"/>
    </row>
    <row r="27" spans="1:29" s="199" customFormat="1" x14ac:dyDescent="0.35">
      <c r="A27" s="221"/>
      <c r="B27" s="171"/>
      <c r="C27" s="171"/>
      <c r="D27" s="171"/>
      <c r="E27" s="171"/>
      <c r="F27" s="171"/>
      <c r="G27" s="171"/>
      <c r="H27" s="171"/>
      <c r="I27" s="171"/>
      <c r="J27" s="171"/>
      <c r="K27" s="171"/>
      <c r="L27" s="335"/>
      <c r="M27" s="168"/>
      <c r="N27" s="168"/>
      <c r="O27" s="168"/>
      <c r="P27" s="168"/>
      <c r="Q27" s="168"/>
      <c r="R27" s="168"/>
      <c r="S27" s="168"/>
      <c r="T27" s="168"/>
      <c r="U27" s="168"/>
      <c r="V27" s="168"/>
      <c r="W27" s="168"/>
      <c r="X27" s="168"/>
      <c r="Y27" s="168"/>
      <c r="Z27" s="168"/>
      <c r="AA27" s="168"/>
      <c r="AB27" s="168"/>
      <c r="AC27" s="168"/>
    </row>
    <row r="28" spans="1:29" s="199" customFormat="1" x14ac:dyDescent="0.35">
      <c r="A28" s="221"/>
      <c r="B28" s="171"/>
      <c r="C28" s="171"/>
      <c r="D28" s="171"/>
      <c r="E28" s="171"/>
      <c r="F28" s="171"/>
      <c r="G28" s="171"/>
      <c r="H28" s="171"/>
      <c r="I28" s="171"/>
      <c r="J28" s="171"/>
      <c r="K28" s="171"/>
      <c r="L28" s="335"/>
      <c r="M28" s="168"/>
      <c r="N28" s="168"/>
      <c r="O28" s="168"/>
      <c r="P28" s="168"/>
      <c r="Q28" s="168"/>
      <c r="R28" s="168"/>
      <c r="S28" s="168"/>
      <c r="T28" s="168"/>
      <c r="U28" s="168"/>
      <c r="V28" s="168"/>
      <c r="W28" s="168"/>
      <c r="X28" s="168"/>
      <c r="Y28" s="168"/>
      <c r="Z28" s="168"/>
      <c r="AA28" s="168"/>
      <c r="AB28" s="168"/>
      <c r="AC28" s="168"/>
    </row>
    <row r="29" spans="1:29" s="199" customFormat="1" x14ac:dyDescent="0.35">
      <c r="A29" s="221"/>
      <c r="B29" s="171"/>
      <c r="C29" s="171"/>
      <c r="D29" s="171"/>
      <c r="E29" s="171"/>
      <c r="F29" s="171"/>
      <c r="G29" s="171"/>
      <c r="H29" s="171"/>
      <c r="I29" s="171"/>
      <c r="J29" s="171"/>
      <c r="K29" s="171"/>
      <c r="L29" s="335"/>
      <c r="M29" s="168"/>
      <c r="N29" s="168"/>
      <c r="O29" s="168"/>
      <c r="P29" s="168"/>
      <c r="Q29" s="168"/>
      <c r="R29" s="168"/>
      <c r="S29" s="168"/>
      <c r="T29" s="168"/>
      <c r="U29" s="168"/>
      <c r="V29" s="168"/>
      <c r="W29" s="168"/>
      <c r="X29" s="168"/>
      <c r="Y29" s="168"/>
      <c r="Z29" s="168"/>
      <c r="AA29" s="168"/>
      <c r="AB29" s="168"/>
      <c r="AC29" s="168"/>
    </row>
    <row r="30" spans="1:29" s="199" customFormat="1" x14ac:dyDescent="0.35">
      <c r="A30" s="221"/>
      <c r="B30" s="171"/>
      <c r="C30" s="171"/>
      <c r="D30" s="171"/>
      <c r="E30" s="171"/>
      <c r="F30" s="171"/>
      <c r="G30" s="171"/>
      <c r="H30" s="171"/>
      <c r="I30" s="171"/>
      <c r="J30" s="171"/>
      <c r="K30" s="171"/>
      <c r="L30" s="335"/>
      <c r="M30" s="168"/>
      <c r="N30" s="168"/>
      <c r="O30" s="168"/>
      <c r="P30" s="168"/>
      <c r="Q30" s="168"/>
      <c r="R30" s="168"/>
      <c r="S30" s="168"/>
      <c r="T30" s="168"/>
      <c r="U30" s="168"/>
      <c r="V30" s="168"/>
      <c r="W30" s="168"/>
      <c r="X30" s="168"/>
      <c r="Y30" s="168"/>
      <c r="Z30" s="168"/>
      <c r="AA30" s="168"/>
      <c r="AB30" s="168"/>
      <c r="AC30" s="168"/>
    </row>
    <row r="31" spans="1:29" s="199" customFormat="1" x14ac:dyDescent="0.35">
      <c r="A31" s="221"/>
      <c r="B31" s="171"/>
      <c r="C31" s="171"/>
      <c r="D31" s="171"/>
      <c r="E31" s="171"/>
      <c r="F31" s="171"/>
      <c r="G31" s="171"/>
      <c r="H31" s="171"/>
      <c r="I31" s="171"/>
      <c r="J31" s="171"/>
      <c r="K31" s="171"/>
      <c r="L31" s="335"/>
      <c r="M31" s="168"/>
      <c r="N31" s="168"/>
      <c r="O31" s="168"/>
      <c r="P31" s="168"/>
      <c r="Q31" s="168"/>
      <c r="R31" s="168"/>
      <c r="S31" s="168"/>
      <c r="T31" s="168"/>
      <c r="U31" s="168"/>
      <c r="V31" s="168"/>
      <c r="W31" s="168"/>
      <c r="X31" s="168"/>
      <c r="Y31" s="168"/>
      <c r="Z31" s="168"/>
      <c r="AA31" s="168"/>
      <c r="AB31" s="168"/>
      <c r="AC31" s="168"/>
    </row>
    <row r="32" spans="1:29" s="199" customFormat="1" x14ac:dyDescent="0.35">
      <c r="A32" s="221"/>
      <c r="B32" s="171"/>
      <c r="C32" s="171"/>
      <c r="D32" s="171"/>
      <c r="E32" s="171"/>
      <c r="F32" s="171"/>
      <c r="G32" s="171"/>
      <c r="H32" s="171"/>
      <c r="I32" s="171"/>
      <c r="J32" s="171"/>
      <c r="K32" s="171"/>
      <c r="L32" s="335"/>
      <c r="M32" s="168"/>
      <c r="N32" s="168"/>
      <c r="O32" s="168"/>
      <c r="P32" s="168"/>
      <c r="Q32" s="168"/>
      <c r="R32" s="168"/>
      <c r="S32" s="168"/>
      <c r="T32" s="168"/>
      <c r="U32" s="168"/>
      <c r="V32" s="168"/>
      <c r="W32" s="168"/>
      <c r="X32" s="168"/>
      <c r="Y32" s="168"/>
      <c r="Z32" s="168"/>
      <c r="AA32" s="168"/>
      <c r="AB32" s="168"/>
      <c r="AC32" s="168"/>
    </row>
    <row r="33" spans="1:29" s="199" customFormat="1" x14ac:dyDescent="0.35">
      <c r="A33" s="221"/>
      <c r="B33" s="171"/>
      <c r="C33" s="171"/>
      <c r="D33" s="171"/>
      <c r="E33" s="171"/>
      <c r="F33" s="171"/>
      <c r="G33" s="171"/>
      <c r="H33" s="171"/>
      <c r="I33" s="171"/>
      <c r="J33" s="171"/>
      <c r="K33" s="171"/>
      <c r="L33" s="335"/>
      <c r="M33" s="168"/>
      <c r="N33" s="168"/>
      <c r="O33" s="168"/>
      <c r="P33" s="168"/>
      <c r="Q33" s="168"/>
      <c r="R33" s="168"/>
      <c r="S33" s="168"/>
      <c r="T33" s="168"/>
      <c r="U33" s="168"/>
      <c r="V33" s="168"/>
      <c r="W33" s="168"/>
      <c r="X33" s="168"/>
      <c r="Y33" s="168"/>
      <c r="Z33" s="168"/>
      <c r="AA33" s="168"/>
      <c r="AB33" s="168"/>
      <c r="AC33" s="168"/>
    </row>
    <row r="34" spans="1:29" s="199" customFormat="1" x14ac:dyDescent="0.35">
      <c r="A34" s="221"/>
      <c r="B34" s="171"/>
      <c r="C34" s="171"/>
      <c r="D34" s="171"/>
      <c r="E34" s="171"/>
      <c r="F34" s="171"/>
      <c r="G34" s="171"/>
      <c r="H34" s="171"/>
      <c r="I34" s="171"/>
      <c r="J34" s="171"/>
      <c r="K34" s="171"/>
      <c r="L34" s="335"/>
      <c r="M34" s="168"/>
      <c r="N34" s="168"/>
      <c r="O34" s="168"/>
      <c r="P34" s="168"/>
      <c r="Q34" s="168"/>
      <c r="R34" s="168"/>
      <c r="S34" s="168"/>
      <c r="T34" s="168"/>
      <c r="U34" s="168"/>
      <c r="V34" s="168"/>
      <c r="W34" s="168"/>
      <c r="X34" s="168"/>
      <c r="Y34" s="168"/>
      <c r="Z34" s="168"/>
      <c r="AA34" s="168"/>
      <c r="AB34" s="168"/>
      <c r="AC34" s="168"/>
    </row>
    <row r="35" spans="1:29" s="199" customFormat="1" x14ac:dyDescent="0.35">
      <c r="A35" s="221"/>
      <c r="B35" s="171"/>
      <c r="C35" s="171"/>
      <c r="D35" s="171"/>
      <c r="E35" s="171"/>
      <c r="F35" s="171"/>
      <c r="G35" s="171"/>
      <c r="H35" s="171"/>
      <c r="I35" s="171"/>
      <c r="J35" s="171"/>
      <c r="K35" s="171"/>
      <c r="L35" s="335"/>
      <c r="M35" s="168"/>
      <c r="N35" s="168"/>
      <c r="O35" s="168"/>
      <c r="P35" s="168"/>
      <c r="Q35" s="168"/>
      <c r="R35" s="168"/>
      <c r="S35" s="168"/>
      <c r="T35" s="168"/>
      <c r="U35" s="168"/>
      <c r="V35" s="168"/>
      <c r="W35" s="168"/>
      <c r="X35" s="168"/>
      <c r="Y35" s="168"/>
      <c r="Z35" s="168"/>
      <c r="AA35" s="168"/>
      <c r="AB35" s="168"/>
      <c r="AC35" s="168"/>
    </row>
    <row r="36" spans="1:29" s="199" customFormat="1" x14ac:dyDescent="0.35">
      <c r="A36" s="221"/>
      <c r="B36" s="171"/>
      <c r="C36" s="171"/>
      <c r="D36" s="171"/>
      <c r="E36" s="171"/>
      <c r="F36" s="171"/>
      <c r="G36" s="171"/>
      <c r="H36" s="171"/>
      <c r="I36" s="171"/>
      <c r="J36" s="171"/>
      <c r="K36" s="171"/>
      <c r="L36" s="335"/>
      <c r="M36" s="168"/>
      <c r="N36" s="168"/>
      <c r="O36" s="168"/>
      <c r="P36" s="168"/>
      <c r="Q36" s="168"/>
      <c r="R36" s="168"/>
      <c r="S36" s="168"/>
      <c r="T36" s="168"/>
      <c r="U36" s="168"/>
      <c r="V36" s="168"/>
      <c r="W36" s="168"/>
      <c r="X36" s="168"/>
      <c r="Y36" s="168"/>
      <c r="Z36" s="168"/>
      <c r="AA36" s="168"/>
      <c r="AB36" s="168"/>
      <c r="AC36" s="168"/>
    </row>
    <row r="37" spans="1:29" s="199" customFormat="1" x14ac:dyDescent="0.35">
      <c r="A37" s="221"/>
      <c r="B37" s="171"/>
      <c r="C37" s="171"/>
      <c r="D37" s="171"/>
      <c r="E37" s="171"/>
      <c r="F37" s="171"/>
      <c r="G37" s="171"/>
      <c r="H37" s="171"/>
      <c r="I37" s="171"/>
      <c r="J37" s="171"/>
      <c r="K37" s="171"/>
      <c r="L37" s="335"/>
      <c r="M37" s="168"/>
      <c r="N37" s="168"/>
      <c r="O37" s="168"/>
      <c r="P37" s="168"/>
      <c r="Q37" s="168"/>
      <c r="R37" s="168"/>
      <c r="S37" s="168"/>
      <c r="T37" s="168"/>
      <c r="U37" s="168"/>
      <c r="V37" s="168"/>
      <c r="W37" s="168"/>
      <c r="X37" s="168"/>
      <c r="Y37" s="168"/>
      <c r="Z37" s="168"/>
      <c r="AA37" s="168"/>
      <c r="AB37" s="168"/>
      <c r="AC37" s="168"/>
    </row>
    <row r="38" spans="1:29" s="199" customFormat="1" x14ac:dyDescent="0.35">
      <c r="A38" s="221"/>
      <c r="B38" s="171"/>
      <c r="C38" s="171"/>
      <c r="D38" s="171"/>
      <c r="E38" s="171"/>
      <c r="F38" s="171"/>
      <c r="G38" s="171"/>
      <c r="H38" s="171"/>
      <c r="I38" s="171"/>
      <c r="J38" s="171"/>
      <c r="K38" s="171"/>
      <c r="L38" s="335"/>
      <c r="M38" s="168"/>
      <c r="N38" s="168"/>
      <c r="O38" s="168"/>
      <c r="P38" s="168"/>
      <c r="Q38" s="168"/>
      <c r="R38" s="168"/>
      <c r="S38" s="168"/>
      <c r="T38" s="168"/>
      <c r="U38" s="168"/>
      <c r="V38" s="168"/>
      <c r="W38" s="168"/>
      <c r="X38" s="168"/>
      <c r="Y38" s="168"/>
      <c r="Z38" s="168"/>
      <c r="AA38" s="168"/>
      <c r="AB38" s="168"/>
      <c r="AC38" s="168"/>
    </row>
    <row r="39" spans="1:29" s="199" customFormat="1" x14ac:dyDescent="0.35">
      <c r="A39" s="221"/>
      <c r="B39" s="171"/>
      <c r="C39" s="171"/>
      <c r="D39" s="171"/>
      <c r="E39" s="171"/>
      <c r="F39" s="171"/>
      <c r="G39" s="171"/>
      <c r="H39" s="171"/>
      <c r="I39" s="171"/>
      <c r="J39" s="171"/>
      <c r="K39" s="171"/>
      <c r="L39" s="335"/>
      <c r="M39" s="168"/>
      <c r="N39" s="168"/>
      <c r="O39" s="168"/>
      <c r="P39" s="168"/>
      <c r="Q39" s="168"/>
      <c r="R39" s="168"/>
      <c r="S39" s="168"/>
      <c r="T39" s="168"/>
      <c r="U39" s="168"/>
      <c r="V39" s="168"/>
      <c r="W39" s="168"/>
      <c r="X39" s="168"/>
      <c r="Y39" s="168"/>
      <c r="Z39" s="168"/>
      <c r="AA39" s="168"/>
      <c r="AB39" s="168"/>
      <c r="AC39" s="168"/>
    </row>
    <row r="40" spans="1:29" s="199" customFormat="1" x14ac:dyDescent="0.35">
      <c r="A40" s="221"/>
      <c r="B40" s="171"/>
      <c r="C40" s="171"/>
      <c r="D40" s="171"/>
      <c r="E40" s="171"/>
      <c r="F40" s="171"/>
      <c r="G40" s="171"/>
      <c r="H40" s="171"/>
      <c r="I40" s="171"/>
      <c r="J40" s="171"/>
      <c r="K40" s="171"/>
      <c r="L40" s="335"/>
      <c r="M40" s="168"/>
      <c r="N40" s="168"/>
      <c r="O40" s="168"/>
      <c r="P40" s="168"/>
      <c r="Q40" s="168"/>
      <c r="R40" s="168"/>
      <c r="S40" s="168"/>
      <c r="T40" s="168"/>
      <c r="U40" s="168"/>
      <c r="V40" s="168"/>
      <c r="W40" s="168"/>
      <c r="X40" s="168"/>
      <c r="Y40" s="168"/>
      <c r="Z40" s="168"/>
      <c r="AA40" s="168"/>
      <c r="AB40" s="168"/>
      <c r="AC40" s="168"/>
    </row>
    <row r="41" spans="1:29" s="199" customFormat="1" x14ac:dyDescent="0.35">
      <c r="A41" s="221"/>
      <c r="B41" s="171"/>
      <c r="C41" s="171"/>
      <c r="D41" s="171"/>
      <c r="E41" s="171"/>
      <c r="F41" s="171"/>
      <c r="G41" s="171"/>
      <c r="H41" s="171"/>
      <c r="I41" s="171"/>
      <c r="J41" s="171"/>
      <c r="K41" s="171"/>
      <c r="L41" s="335"/>
      <c r="M41" s="168"/>
      <c r="N41" s="168"/>
      <c r="O41" s="168"/>
      <c r="P41" s="168"/>
      <c r="Q41" s="168"/>
      <c r="R41" s="168"/>
      <c r="S41" s="168"/>
      <c r="T41" s="168"/>
      <c r="U41" s="168"/>
      <c r="V41" s="168"/>
      <c r="W41" s="168"/>
      <c r="X41" s="168"/>
      <c r="Y41" s="168"/>
      <c r="Z41" s="168"/>
      <c r="AA41" s="168"/>
      <c r="AB41" s="168"/>
      <c r="AC41" s="168"/>
    </row>
    <row r="42" spans="1:29" s="199" customFormat="1" x14ac:dyDescent="0.35">
      <c r="A42" s="221"/>
      <c r="B42" s="171"/>
      <c r="C42" s="171"/>
      <c r="D42" s="171"/>
      <c r="E42" s="171"/>
      <c r="F42" s="171"/>
      <c r="G42" s="171"/>
      <c r="H42" s="171"/>
      <c r="I42" s="171"/>
      <c r="J42" s="171"/>
      <c r="K42" s="171"/>
      <c r="L42" s="335"/>
      <c r="M42" s="168"/>
      <c r="N42" s="168"/>
      <c r="O42" s="168"/>
      <c r="P42" s="168"/>
      <c r="Q42" s="168"/>
      <c r="R42" s="168"/>
      <c r="S42" s="168"/>
      <c r="T42" s="168"/>
      <c r="U42" s="168"/>
      <c r="V42" s="168"/>
      <c r="W42" s="168"/>
      <c r="X42" s="168"/>
      <c r="Y42" s="168"/>
      <c r="Z42" s="168"/>
      <c r="AA42" s="168"/>
      <c r="AB42" s="168"/>
      <c r="AC42" s="168"/>
    </row>
    <row r="43" spans="1:29" s="199" customFormat="1" x14ac:dyDescent="0.35">
      <c r="A43" s="221"/>
      <c r="B43" s="171"/>
      <c r="C43" s="171"/>
      <c r="D43" s="171"/>
      <c r="E43" s="171"/>
      <c r="F43" s="171"/>
      <c r="G43" s="171"/>
      <c r="H43" s="171"/>
      <c r="I43" s="171"/>
      <c r="J43" s="171"/>
      <c r="K43" s="171"/>
      <c r="L43" s="335"/>
      <c r="M43" s="168"/>
      <c r="N43" s="168"/>
      <c r="O43" s="168"/>
      <c r="P43" s="168"/>
      <c r="Q43" s="168"/>
      <c r="R43" s="168"/>
      <c r="S43" s="168"/>
      <c r="T43" s="168"/>
      <c r="U43" s="168"/>
      <c r="V43" s="168"/>
      <c r="W43" s="168"/>
      <c r="X43" s="168"/>
      <c r="Y43" s="168"/>
      <c r="Z43" s="168"/>
      <c r="AA43" s="168"/>
      <c r="AB43" s="168"/>
      <c r="AC43" s="168"/>
    </row>
    <row r="44" spans="1:29" s="199" customFormat="1" x14ac:dyDescent="0.35">
      <c r="A44" s="221"/>
      <c r="B44" s="171"/>
      <c r="C44" s="171"/>
      <c r="D44" s="171"/>
      <c r="E44" s="171"/>
      <c r="F44" s="171"/>
      <c r="G44" s="171"/>
      <c r="H44" s="171"/>
      <c r="I44" s="171"/>
      <c r="J44" s="171"/>
      <c r="K44" s="171"/>
      <c r="L44" s="335"/>
      <c r="M44" s="168"/>
      <c r="N44" s="168"/>
      <c r="O44" s="168"/>
      <c r="P44" s="168"/>
      <c r="Q44" s="168"/>
      <c r="R44" s="168"/>
      <c r="S44" s="168"/>
      <c r="T44" s="168"/>
      <c r="U44" s="168"/>
      <c r="V44" s="168"/>
      <c r="W44" s="168"/>
      <c r="X44" s="168"/>
      <c r="Y44" s="168"/>
      <c r="Z44" s="168"/>
      <c r="AA44" s="168"/>
      <c r="AB44" s="168"/>
      <c r="AC44" s="168"/>
    </row>
    <row r="45" spans="1:29" s="199" customFormat="1" x14ac:dyDescent="0.35">
      <c r="A45" s="221"/>
      <c r="B45" s="171"/>
      <c r="C45" s="171"/>
      <c r="D45" s="171"/>
      <c r="E45" s="171"/>
      <c r="F45" s="171"/>
      <c r="G45" s="171"/>
      <c r="H45" s="171"/>
      <c r="I45" s="171"/>
      <c r="J45" s="171"/>
      <c r="K45" s="171"/>
      <c r="L45" s="335"/>
      <c r="M45" s="168"/>
      <c r="N45" s="168"/>
      <c r="O45" s="168"/>
      <c r="P45" s="168"/>
      <c r="Q45" s="168"/>
      <c r="R45" s="168"/>
      <c r="S45" s="168"/>
      <c r="T45" s="168"/>
      <c r="U45" s="168"/>
      <c r="V45" s="168"/>
      <c r="W45" s="168"/>
      <c r="X45" s="168"/>
      <c r="Y45" s="168"/>
      <c r="Z45" s="168"/>
      <c r="AA45" s="168"/>
      <c r="AB45" s="168"/>
      <c r="AC45" s="168"/>
    </row>
    <row r="46" spans="1:29" s="199" customFormat="1" x14ac:dyDescent="0.35">
      <c r="A46" s="221"/>
      <c r="B46" s="171"/>
      <c r="C46" s="171"/>
      <c r="D46" s="171"/>
      <c r="E46" s="171"/>
      <c r="F46" s="171"/>
      <c r="G46" s="171"/>
      <c r="H46" s="171"/>
      <c r="I46" s="171"/>
      <c r="J46" s="171"/>
      <c r="K46" s="171"/>
      <c r="L46" s="335"/>
      <c r="M46" s="168"/>
      <c r="N46" s="168"/>
      <c r="O46" s="168"/>
      <c r="P46" s="168"/>
      <c r="Q46" s="168"/>
      <c r="R46" s="168"/>
      <c r="S46" s="168"/>
      <c r="T46" s="168"/>
      <c r="U46" s="168"/>
      <c r="V46" s="168"/>
      <c r="W46" s="168"/>
      <c r="X46" s="168"/>
      <c r="Y46" s="168"/>
      <c r="Z46" s="168"/>
      <c r="AA46" s="168"/>
      <c r="AB46" s="168"/>
      <c r="AC46" s="168"/>
    </row>
    <row r="47" spans="1:29" s="199" customFormat="1" x14ac:dyDescent="0.35">
      <c r="A47" s="221"/>
      <c r="B47" s="171"/>
      <c r="C47" s="171"/>
      <c r="D47" s="171"/>
      <c r="E47" s="171"/>
      <c r="F47" s="171"/>
      <c r="G47" s="171"/>
      <c r="H47" s="171"/>
      <c r="I47" s="171"/>
      <c r="J47" s="171"/>
      <c r="K47" s="171"/>
      <c r="L47" s="335"/>
      <c r="M47" s="168"/>
      <c r="N47" s="168"/>
      <c r="O47" s="168"/>
      <c r="P47" s="168"/>
      <c r="Q47" s="168"/>
      <c r="R47" s="168"/>
      <c r="S47" s="168"/>
      <c r="T47" s="168"/>
      <c r="U47" s="168"/>
      <c r="V47" s="168"/>
      <c r="W47" s="168"/>
      <c r="X47" s="168"/>
      <c r="Y47" s="168"/>
      <c r="Z47" s="168"/>
      <c r="AA47" s="168"/>
      <c r="AB47" s="168"/>
      <c r="AC47" s="168"/>
    </row>
    <row r="48" spans="1:29" s="199" customFormat="1" x14ac:dyDescent="0.35">
      <c r="A48" s="221"/>
      <c r="B48" s="171"/>
      <c r="C48" s="171"/>
      <c r="D48" s="171"/>
      <c r="E48" s="171"/>
      <c r="F48" s="171"/>
      <c r="G48" s="171"/>
      <c r="H48" s="171"/>
      <c r="I48" s="171"/>
      <c r="J48" s="171"/>
      <c r="K48" s="171"/>
      <c r="L48" s="335"/>
      <c r="M48" s="168"/>
      <c r="N48" s="168"/>
      <c r="O48" s="168"/>
      <c r="P48" s="168"/>
      <c r="Q48" s="168"/>
      <c r="R48" s="168"/>
      <c r="S48" s="168"/>
      <c r="T48" s="168"/>
      <c r="U48" s="168"/>
      <c r="V48" s="168"/>
      <c r="W48" s="168"/>
      <c r="X48" s="168"/>
      <c r="Y48" s="168"/>
      <c r="Z48" s="168"/>
      <c r="AA48" s="168"/>
      <c r="AB48" s="168"/>
      <c r="AC48" s="168"/>
    </row>
    <row r="49" spans="1:29" s="199" customFormat="1" x14ac:dyDescent="0.35">
      <c r="A49" s="221"/>
      <c r="B49" s="171"/>
      <c r="C49" s="171"/>
      <c r="D49" s="171"/>
      <c r="E49" s="171"/>
      <c r="F49" s="171"/>
      <c r="G49" s="171"/>
      <c r="H49" s="171"/>
      <c r="I49" s="171"/>
      <c r="J49" s="171"/>
      <c r="K49" s="171"/>
      <c r="L49" s="335"/>
      <c r="M49" s="168"/>
      <c r="N49" s="168"/>
      <c r="O49" s="168"/>
      <c r="P49" s="168"/>
      <c r="Q49" s="168"/>
      <c r="R49" s="168"/>
      <c r="S49" s="168"/>
      <c r="T49" s="168"/>
      <c r="U49" s="168"/>
      <c r="V49" s="168"/>
      <c r="W49" s="168"/>
      <c r="X49" s="168"/>
      <c r="Y49" s="168"/>
      <c r="Z49" s="168"/>
      <c r="AA49" s="168"/>
      <c r="AB49" s="168"/>
      <c r="AC49" s="168"/>
    </row>
    <row r="50" spans="1:29" s="199" customFormat="1" x14ac:dyDescent="0.35">
      <c r="A50" s="221"/>
      <c r="B50" s="171"/>
      <c r="C50" s="171"/>
      <c r="D50" s="171"/>
      <c r="E50" s="171"/>
      <c r="F50" s="171"/>
      <c r="G50" s="171"/>
      <c r="H50" s="171"/>
      <c r="I50" s="171"/>
      <c r="J50" s="171"/>
      <c r="K50" s="171"/>
      <c r="L50" s="335"/>
      <c r="M50" s="168"/>
      <c r="N50" s="168"/>
      <c r="O50" s="168"/>
      <c r="P50" s="168"/>
      <c r="Q50" s="168"/>
      <c r="R50" s="168"/>
      <c r="S50" s="168"/>
      <c r="T50" s="168"/>
      <c r="U50" s="168"/>
      <c r="V50" s="168"/>
      <c r="W50" s="168"/>
      <c r="X50" s="168"/>
      <c r="Y50" s="168"/>
      <c r="Z50" s="168"/>
      <c r="AA50" s="168"/>
      <c r="AB50" s="168"/>
      <c r="AC50" s="168"/>
    </row>
    <row r="51" spans="1:29" s="199" customFormat="1" x14ac:dyDescent="0.35">
      <c r="A51" s="221"/>
      <c r="B51" s="171"/>
      <c r="C51" s="171"/>
      <c r="D51" s="171"/>
      <c r="E51" s="171"/>
      <c r="F51" s="171"/>
      <c r="G51" s="171"/>
      <c r="H51" s="171"/>
      <c r="I51" s="171"/>
      <c r="J51" s="171"/>
      <c r="K51" s="171"/>
      <c r="L51" s="335"/>
      <c r="M51" s="168"/>
      <c r="N51" s="168"/>
      <c r="O51" s="168"/>
      <c r="P51" s="168"/>
      <c r="Q51" s="168"/>
      <c r="R51" s="168"/>
      <c r="S51" s="168"/>
      <c r="T51" s="168"/>
      <c r="U51" s="168"/>
      <c r="V51" s="168"/>
      <c r="W51" s="168"/>
      <c r="X51" s="168"/>
      <c r="Y51" s="168"/>
      <c r="Z51" s="168"/>
      <c r="AA51" s="168"/>
      <c r="AB51" s="168"/>
      <c r="AC51" s="168"/>
    </row>
    <row r="52" spans="1:29" s="199" customFormat="1" x14ac:dyDescent="0.35">
      <c r="A52" s="221"/>
      <c r="B52" s="171"/>
      <c r="C52" s="171"/>
      <c r="D52" s="171"/>
      <c r="E52" s="171"/>
      <c r="F52" s="171"/>
      <c r="G52" s="171"/>
      <c r="H52" s="171"/>
      <c r="I52" s="171"/>
      <c r="J52" s="171"/>
      <c r="K52" s="171"/>
      <c r="L52" s="335"/>
      <c r="M52" s="168"/>
      <c r="N52" s="168"/>
      <c r="O52" s="168"/>
      <c r="P52" s="168"/>
      <c r="Q52" s="168"/>
      <c r="R52" s="168"/>
      <c r="S52" s="168"/>
      <c r="T52" s="168"/>
      <c r="U52" s="168"/>
      <c r="V52" s="168"/>
      <c r="W52" s="168"/>
      <c r="X52" s="168"/>
      <c r="Y52" s="168"/>
      <c r="Z52" s="168"/>
      <c r="AA52" s="168"/>
      <c r="AB52" s="168"/>
      <c r="AC52" s="168"/>
    </row>
    <row r="53" spans="1:29" s="199" customFormat="1" x14ac:dyDescent="0.35">
      <c r="A53" s="221"/>
      <c r="B53" s="171"/>
      <c r="C53" s="171"/>
      <c r="D53" s="171"/>
      <c r="E53" s="171"/>
      <c r="F53" s="171"/>
      <c r="G53" s="171"/>
      <c r="H53" s="171"/>
      <c r="I53" s="171"/>
      <c r="J53" s="171"/>
      <c r="K53" s="171"/>
      <c r="L53" s="335"/>
      <c r="M53" s="168"/>
      <c r="N53" s="168"/>
      <c r="O53" s="168"/>
      <c r="P53" s="168"/>
      <c r="Q53" s="168"/>
      <c r="R53" s="168"/>
      <c r="S53" s="168"/>
      <c r="T53" s="168"/>
      <c r="U53" s="168"/>
      <c r="V53" s="168"/>
      <c r="W53" s="168"/>
      <c r="X53" s="168"/>
      <c r="Y53" s="168"/>
      <c r="Z53" s="168"/>
      <c r="AA53" s="168"/>
      <c r="AB53" s="168"/>
      <c r="AC53" s="168"/>
    </row>
    <row r="54" spans="1:29" s="199" customFormat="1" x14ac:dyDescent="0.35">
      <c r="A54" s="221"/>
      <c r="B54" s="171"/>
      <c r="C54" s="171"/>
      <c r="D54" s="171"/>
      <c r="E54" s="171"/>
      <c r="F54" s="171"/>
      <c r="G54" s="171"/>
      <c r="H54" s="171"/>
      <c r="I54" s="171"/>
      <c r="J54" s="171"/>
      <c r="K54" s="171"/>
      <c r="L54" s="335"/>
      <c r="M54" s="168"/>
      <c r="N54" s="168"/>
      <c r="O54" s="168"/>
      <c r="P54" s="168"/>
      <c r="Q54" s="168"/>
      <c r="R54" s="168"/>
      <c r="S54" s="168"/>
      <c r="T54" s="168"/>
      <c r="U54" s="168"/>
      <c r="V54" s="168"/>
      <c r="W54" s="168"/>
      <c r="X54" s="168"/>
      <c r="Y54" s="168"/>
      <c r="Z54" s="168"/>
      <c r="AA54" s="168"/>
      <c r="AB54" s="168"/>
      <c r="AC54" s="168"/>
    </row>
    <row r="55" spans="1:29" s="199" customFormat="1" x14ac:dyDescent="0.35">
      <c r="A55" s="221"/>
      <c r="B55" s="171"/>
      <c r="C55" s="171"/>
      <c r="D55" s="171"/>
      <c r="E55" s="171"/>
      <c r="F55" s="171"/>
      <c r="G55" s="171"/>
      <c r="H55" s="171"/>
      <c r="I55" s="171"/>
      <c r="J55" s="171"/>
      <c r="K55" s="171"/>
      <c r="L55" s="335"/>
      <c r="M55" s="168"/>
      <c r="N55" s="168"/>
      <c r="O55" s="168"/>
      <c r="P55" s="168"/>
      <c r="Q55" s="168"/>
      <c r="R55" s="168"/>
      <c r="S55" s="168"/>
      <c r="T55" s="168"/>
      <c r="U55" s="168"/>
      <c r="V55" s="168"/>
      <c r="W55" s="168"/>
      <c r="X55" s="168"/>
      <c r="Y55" s="168"/>
      <c r="Z55" s="168"/>
      <c r="AA55" s="168"/>
      <c r="AB55" s="168"/>
      <c r="AC55" s="168"/>
    </row>
    <row r="56" spans="1:29" s="199" customFormat="1" x14ac:dyDescent="0.35">
      <c r="A56" s="221"/>
      <c r="B56" s="171"/>
      <c r="C56" s="171"/>
      <c r="D56" s="171"/>
      <c r="E56" s="171"/>
      <c r="F56" s="171"/>
      <c r="G56" s="171"/>
      <c r="H56" s="171"/>
      <c r="I56" s="171"/>
      <c r="J56" s="171"/>
      <c r="K56" s="171"/>
      <c r="L56" s="335"/>
      <c r="M56" s="168"/>
      <c r="N56" s="168"/>
      <c r="O56" s="168"/>
      <c r="P56" s="168"/>
      <c r="Q56" s="168"/>
      <c r="R56" s="168"/>
      <c r="S56" s="168"/>
      <c r="T56" s="168"/>
      <c r="U56" s="168"/>
      <c r="V56" s="168"/>
      <c r="W56" s="168"/>
      <c r="X56" s="168"/>
      <c r="Y56" s="168"/>
      <c r="Z56" s="168"/>
      <c r="AA56" s="168"/>
      <c r="AB56" s="168"/>
      <c r="AC56" s="168"/>
    </row>
    <row r="57" spans="1:29" s="199" customFormat="1" x14ac:dyDescent="0.35">
      <c r="A57" s="221"/>
      <c r="B57" s="171"/>
      <c r="C57" s="171"/>
      <c r="D57" s="171"/>
      <c r="E57" s="171"/>
      <c r="F57" s="171"/>
      <c r="G57" s="171"/>
      <c r="H57" s="171"/>
      <c r="I57" s="171"/>
      <c r="J57" s="171"/>
      <c r="K57" s="171"/>
      <c r="L57" s="335"/>
      <c r="M57" s="168"/>
      <c r="N57" s="168"/>
      <c r="O57" s="168"/>
      <c r="P57" s="168"/>
      <c r="Q57" s="168"/>
      <c r="R57" s="168"/>
      <c r="S57" s="168"/>
      <c r="T57" s="168"/>
      <c r="U57" s="168"/>
      <c r="V57" s="168"/>
      <c r="W57" s="168"/>
      <c r="X57" s="168"/>
      <c r="Y57" s="168"/>
      <c r="Z57" s="168"/>
      <c r="AA57" s="168"/>
      <c r="AB57" s="168"/>
      <c r="AC57" s="168"/>
    </row>
    <row r="58" spans="1:29" s="199" customFormat="1" x14ac:dyDescent="0.35">
      <c r="A58" s="221"/>
      <c r="B58" s="171"/>
      <c r="C58" s="171"/>
      <c r="D58" s="171"/>
      <c r="E58" s="171"/>
      <c r="F58" s="171"/>
      <c r="G58" s="171"/>
      <c r="H58" s="171"/>
      <c r="I58" s="171"/>
      <c r="J58" s="171"/>
      <c r="K58" s="171"/>
      <c r="L58" s="335"/>
      <c r="M58" s="168"/>
      <c r="N58" s="168"/>
      <c r="O58" s="168"/>
      <c r="P58" s="168"/>
      <c r="Q58" s="168"/>
      <c r="R58" s="168"/>
      <c r="S58" s="168"/>
      <c r="T58" s="168"/>
      <c r="U58" s="168"/>
      <c r="V58" s="168"/>
      <c r="W58" s="168"/>
      <c r="X58" s="168"/>
      <c r="Y58" s="168"/>
      <c r="Z58" s="168"/>
      <c r="AA58" s="168"/>
      <c r="AB58" s="168"/>
      <c r="AC58" s="168"/>
    </row>
    <row r="59" spans="1:29" s="199" customFormat="1" x14ac:dyDescent="0.35">
      <c r="A59" s="221"/>
      <c r="B59" s="171"/>
      <c r="C59" s="171"/>
      <c r="D59" s="171"/>
      <c r="E59" s="171"/>
      <c r="F59" s="171"/>
      <c r="G59" s="171"/>
      <c r="H59" s="171"/>
      <c r="I59" s="171"/>
      <c r="J59" s="171"/>
      <c r="K59" s="171"/>
      <c r="L59" s="335"/>
      <c r="M59" s="168"/>
      <c r="N59" s="168"/>
      <c r="O59" s="168"/>
      <c r="P59" s="168"/>
      <c r="Q59" s="168"/>
      <c r="R59" s="168"/>
      <c r="S59" s="168"/>
      <c r="T59" s="168"/>
      <c r="U59" s="168"/>
      <c r="V59" s="168"/>
      <c r="W59" s="168"/>
      <c r="X59" s="168"/>
      <c r="Y59" s="168"/>
      <c r="Z59" s="168"/>
      <c r="AA59" s="168"/>
      <c r="AB59" s="168"/>
      <c r="AC59" s="168"/>
    </row>
    <row r="60" spans="1:29" s="199" customFormat="1" x14ac:dyDescent="0.35">
      <c r="A60" s="221"/>
      <c r="B60" s="171"/>
      <c r="C60" s="171"/>
      <c r="D60" s="171"/>
      <c r="E60" s="171"/>
      <c r="F60" s="171"/>
      <c r="G60" s="171"/>
      <c r="H60" s="171"/>
      <c r="I60" s="171"/>
      <c r="J60" s="171"/>
      <c r="K60" s="171"/>
      <c r="L60" s="335"/>
      <c r="M60" s="168"/>
      <c r="N60" s="168"/>
      <c r="O60" s="168"/>
      <c r="P60" s="168"/>
      <c r="Q60" s="168"/>
      <c r="R60" s="168"/>
      <c r="S60" s="168"/>
      <c r="T60" s="168"/>
      <c r="U60" s="168"/>
      <c r="V60" s="168"/>
      <c r="W60" s="168"/>
      <c r="X60" s="168"/>
      <c r="Y60" s="168"/>
      <c r="Z60" s="168"/>
      <c r="AA60" s="168"/>
      <c r="AB60" s="168"/>
      <c r="AC60" s="168"/>
    </row>
    <row r="61" spans="1:29" s="199" customFormat="1" x14ac:dyDescent="0.35">
      <c r="A61" s="221"/>
      <c r="B61" s="171"/>
      <c r="C61" s="171"/>
      <c r="D61" s="171"/>
      <c r="E61" s="171"/>
      <c r="F61" s="171"/>
      <c r="G61" s="171"/>
      <c r="H61" s="171"/>
      <c r="I61" s="171"/>
      <c r="J61" s="171"/>
      <c r="K61" s="171"/>
      <c r="L61" s="335"/>
      <c r="M61" s="168"/>
      <c r="N61" s="168"/>
      <c r="O61" s="168"/>
      <c r="P61" s="168"/>
      <c r="Q61" s="168"/>
      <c r="R61" s="168"/>
      <c r="S61" s="168"/>
      <c r="T61" s="168"/>
      <c r="U61" s="168"/>
      <c r="V61" s="168"/>
      <c r="W61" s="168"/>
      <c r="X61" s="168"/>
      <c r="Y61" s="168"/>
      <c r="Z61" s="168"/>
      <c r="AA61" s="168"/>
      <c r="AB61" s="168"/>
      <c r="AC61" s="168"/>
    </row>
    <row r="62" spans="1:29" s="199" customFormat="1" x14ac:dyDescent="0.35">
      <c r="A62" s="221"/>
      <c r="B62" s="171"/>
      <c r="C62" s="171"/>
      <c r="D62" s="171"/>
      <c r="E62" s="171"/>
      <c r="F62" s="171"/>
      <c r="G62" s="171"/>
      <c r="H62" s="171"/>
      <c r="I62" s="171"/>
      <c r="J62" s="171"/>
      <c r="K62" s="171"/>
      <c r="L62" s="335"/>
      <c r="M62" s="168"/>
      <c r="N62" s="168"/>
      <c r="O62" s="168"/>
      <c r="P62" s="168"/>
      <c r="Q62" s="168"/>
      <c r="R62" s="168"/>
      <c r="S62" s="168"/>
      <c r="T62" s="168"/>
      <c r="U62" s="168"/>
      <c r="V62" s="168"/>
      <c r="W62" s="168"/>
      <c r="X62" s="168"/>
      <c r="Y62" s="168"/>
      <c r="Z62" s="168"/>
      <c r="AA62" s="168"/>
      <c r="AB62" s="168"/>
      <c r="AC62" s="168"/>
    </row>
    <row r="63" spans="1:29" s="199" customFormat="1" x14ac:dyDescent="0.35">
      <c r="A63" s="221"/>
      <c r="B63" s="171"/>
      <c r="C63" s="171"/>
      <c r="D63" s="171"/>
      <c r="E63" s="171"/>
      <c r="F63" s="171"/>
      <c r="G63" s="171"/>
      <c r="H63" s="171"/>
      <c r="I63" s="171"/>
      <c r="J63" s="171"/>
      <c r="K63" s="171"/>
      <c r="L63" s="335"/>
      <c r="M63" s="168"/>
      <c r="N63" s="168"/>
      <c r="O63" s="168"/>
      <c r="P63" s="168"/>
      <c r="Q63" s="168"/>
      <c r="R63" s="168"/>
      <c r="S63" s="168"/>
      <c r="T63" s="168"/>
      <c r="U63" s="168"/>
      <c r="V63" s="168"/>
      <c r="W63" s="168"/>
      <c r="X63" s="168"/>
      <c r="Y63" s="168"/>
      <c r="Z63" s="168"/>
      <c r="AA63" s="168"/>
      <c r="AB63" s="168"/>
      <c r="AC63" s="168"/>
    </row>
    <row r="64" spans="1:29" s="199" customFormat="1" x14ac:dyDescent="0.35">
      <c r="A64" s="223"/>
      <c r="B64" s="224"/>
      <c r="C64" s="224"/>
      <c r="D64" s="224"/>
      <c r="E64" s="224"/>
      <c r="F64" s="224"/>
      <c r="G64" s="224"/>
      <c r="H64" s="224"/>
      <c r="I64" s="224"/>
      <c r="J64" s="224"/>
      <c r="K64" s="224"/>
      <c r="L64" s="266"/>
      <c r="M64" s="168"/>
      <c r="N64" s="168"/>
      <c r="O64" s="168"/>
      <c r="P64" s="168"/>
      <c r="Q64" s="168"/>
      <c r="R64" s="168"/>
      <c r="S64" s="168"/>
      <c r="T64" s="168"/>
      <c r="U64" s="168"/>
      <c r="V64" s="168"/>
      <c r="W64" s="168"/>
      <c r="X64" s="168"/>
      <c r="Y64" s="168"/>
      <c r="Z64" s="168"/>
      <c r="AA64" s="168"/>
      <c r="AB64" s="168"/>
      <c r="AC64" s="168"/>
    </row>
    <row r="65" x14ac:dyDescent="0.35"/>
  </sheetData>
  <sheetProtection password="813F" sheet="1" objects="1" scenarios="1" selectLockedCells="1"/>
  <customSheetViews>
    <customSheetView guid="{51165254-F18A-4CD1-9981-8F2DE14CC76C}" showGridLines="0" fitToPage="1" hiddenRows="1" showRuler="0">
      <selection sqref="A1:K1"/>
      <pageMargins left="0.78740157480314965" right="0.78740157480314965" top="0.98425196850393704" bottom="0.98425196850393704" header="0.51181102362204722" footer="0.51181102362204722"/>
      <printOptions horizontalCentered="1" verticalCentered="1"/>
      <pageSetup paperSize="9" scale="57"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8"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7">
    <tabColor indexed="22"/>
    <pageSetUpPr fitToPage="1"/>
  </sheetPr>
  <dimension ref="A1:U92"/>
  <sheetViews>
    <sheetView showGridLines="0" zoomScale="120" zoomScaleNormal="120" zoomScaleSheetLayoutView="100" workbookViewId="0">
      <selection activeCell="D14" sqref="D14"/>
    </sheetView>
  </sheetViews>
  <sheetFormatPr baseColWidth="10" defaultColWidth="0" defaultRowHeight="14.4" zeroHeight="1" x14ac:dyDescent="0.35"/>
  <cols>
    <col min="1" max="1" width="21.6640625" style="45" customWidth="1"/>
    <col min="2" max="2" width="13.44140625" style="45" customWidth="1"/>
    <col min="3" max="3" width="14.77734375" style="45" customWidth="1"/>
    <col min="4" max="4" width="9.44140625" style="45" customWidth="1"/>
    <col min="5" max="5" width="14.77734375" style="45" customWidth="1"/>
    <col min="6" max="6" width="9.77734375" style="45" customWidth="1"/>
    <col min="7" max="7" width="14.44140625" style="45" customWidth="1"/>
    <col min="8" max="8" width="9.109375" style="45" customWidth="1"/>
    <col min="9" max="9" width="14.77734375" style="45" customWidth="1"/>
    <col min="10" max="10" width="11.77734375" style="45" customWidth="1"/>
    <col min="11" max="11" width="14.77734375" style="45" customWidth="1"/>
    <col min="12" max="12" width="1.44140625" style="45" customWidth="1"/>
    <col min="13" max="13" width="10" style="45" hidden="1" customWidth="1"/>
    <col min="14" max="14" width="9.109375" style="45" hidden="1" customWidth="1"/>
    <col min="15" max="15" width="12.33203125" style="45" hidden="1" customWidth="1"/>
    <col min="16" max="16" width="9.109375" style="45" hidden="1" customWidth="1"/>
    <col min="17" max="17" width="12.33203125" style="45" hidden="1" customWidth="1"/>
    <col min="18" max="18" width="9.109375" style="45" hidden="1" customWidth="1"/>
    <col min="19" max="19" width="10" style="45" hidden="1" customWidth="1"/>
    <col min="20" max="20" width="9.109375" style="45" hidden="1" customWidth="1"/>
    <col min="21" max="21" width="10" style="45" hidden="1" customWidth="1"/>
    <col min="22" max="16384" width="9.109375" style="45" hidden="1"/>
  </cols>
  <sheetData>
    <row r="1" spans="1:11" ht="28.8" x14ac:dyDescent="0.55000000000000004">
      <c r="A1" s="200" t="s">
        <v>1173</v>
      </c>
      <c r="B1" s="201"/>
      <c r="C1" s="201"/>
      <c r="D1" s="201"/>
      <c r="E1" s="201"/>
      <c r="F1" s="201"/>
      <c r="G1" s="201"/>
      <c r="H1" s="201"/>
      <c r="I1" s="201"/>
      <c r="J1" s="201"/>
      <c r="K1" s="202" t="s">
        <v>651</v>
      </c>
    </row>
    <row r="2" spans="1:11" x14ac:dyDescent="0.35">
      <c r="A2" s="135"/>
      <c r="B2" s="136"/>
      <c r="C2" s="136"/>
      <c r="D2" s="136"/>
      <c r="E2" s="280"/>
      <c r="F2" s="136"/>
      <c r="G2" s="136"/>
      <c r="H2" s="136"/>
      <c r="I2" s="136"/>
      <c r="J2" s="136"/>
      <c r="K2" s="137"/>
    </row>
    <row r="3" spans="1:11" ht="16.2" x14ac:dyDescent="0.35">
      <c r="A3" s="138" t="s">
        <v>1035</v>
      </c>
      <c r="B3" s="281" t="str">
        <f>'Reference sheet'!C12</f>
        <v>TRUCK INTERNATIONAL MOBILITY SA</v>
      </c>
      <c r="C3" s="240"/>
      <c r="E3" s="242" t="s">
        <v>1036</v>
      </c>
      <c r="F3" s="282">
        <f>'Reference sheet'!C15</f>
        <v>2</v>
      </c>
      <c r="G3" s="283" t="s">
        <v>1037</v>
      </c>
      <c r="H3" s="243" t="str">
        <f>'Reference sheet'!C17</f>
        <v>October</v>
      </c>
      <c r="I3" s="982">
        <f>'Reference sheet'!D17</f>
        <v>2018</v>
      </c>
      <c r="J3" s="143" t="s">
        <v>1175</v>
      </c>
      <c r="K3" s="284" t="str">
        <f>'Reference sheet'!C21</f>
        <v>EUR</v>
      </c>
    </row>
    <row r="4" spans="1:11" x14ac:dyDescent="0.35">
      <c r="A4" s="135"/>
      <c r="B4" s="181"/>
      <c r="C4" s="136"/>
      <c r="D4" s="136"/>
      <c r="E4" s="136"/>
      <c r="F4" s="136"/>
      <c r="G4" s="182"/>
      <c r="H4" s="136"/>
      <c r="I4" s="136"/>
      <c r="J4" s="136"/>
      <c r="K4" s="340"/>
    </row>
    <row r="5" spans="1:11" x14ac:dyDescent="0.35">
      <c r="A5" s="145"/>
      <c r="B5" s="146"/>
      <c r="C5" s="341">
        <f>'7.1 Dealer area'!C5</f>
        <v>2019</v>
      </c>
      <c r="D5" s="342"/>
      <c r="E5" s="288">
        <f>'7.1 Dealer area'!E5</f>
        <v>2020</v>
      </c>
      <c r="F5" s="343"/>
      <c r="G5" s="288">
        <f>'7.1 Dealer area'!G5</f>
        <v>2021</v>
      </c>
      <c r="H5" s="344"/>
      <c r="I5" s="288">
        <f>'7.1 Dealer area'!I5</f>
        <v>2022</v>
      </c>
      <c r="J5" s="344"/>
      <c r="K5" s="288">
        <f>'7.1 Dealer area'!K5</f>
        <v>2023</v>
      </c>
    </row>
    <row r="6" spans="1:11" ht="18" x14ac:dyDescent="0.35">
      <c r="A6" s="345" t="s">
        <v>1181</v>
      </c>
      <c r="B6" s="346"/>
      <c r="C6" s="346"/>
      <c r="D6" s="346"/>
      <c r="E6" s="346"/>
      <c r="F6" s="346"/>
      <c r="G6" s="346"/>
      <c r="H6" s="346"/>
      <c r="I6" s="346"/>
      <c r="J6" s="346"/>
      <c r="K6" s="347"/>
    </row>
    <row r="7" spans="1:11" ht="17.399999999999999" x14ac:dyDescent="0.35">
      <c r="A7" s="1047" t="s">
        <v>576</v>
      </c>
      <c r="B7" s="833"/>
      <c r="C7" s="833"/>
      <c r="D7" s="833"/>
      <c r="E7" s="833"/>
      <c r="F7" s="833"/>
      <c r="G7" s="833"/>
      <c r="H7" s="833"/>
      <c r="I7" s="833"/>
      <c r="J7" s="833"/>
      <c r="K7" s="834"/>
    </row>
    <row r="8" spans="1:11" x14ac:dyDescent="0.35">
      <c r="A8" s="135"/>
      <c r="B8" s="136"/>
      <c r="C8" s="79"/>
      <c r="D8" s="136"/>
      <c r="E8" s="136"/>
      <c r="F8" s="136"/>
      <c r="G8" s="136"/>
      <c r="H8" s="136"/>
      <c r="I8" s="136"/>
      <c r="J8" s="136"/>
      <c r="K8" s="79"/>
    </row>
    <row r="9" spans="1:11" x14ac:dyDescent="0.35">
      <c r="A9" s="135"/>
      <c r="B9" s="348"/>
      <c r="C9" s="79"/>
      <c r="D9" s="136" t="s">
        <v>485</v>
      </c>
      <c r="E9" s="136"/>
      <c r="F9" s="349" t="s">
        <v>485</v>
      </c>
      <c r="G9" s="136"/>
      <c r="H9" s="136" t="s">
        <v>485</v>
      </c>
      <c r="I9" s="136"/>
      <c r="J9" s="136" t="s">
        <v>485</v>
      </c>
      <c r="K9" s="79"/>
    </row>
    <row r="10" spans="1:11" x14ac:dyDescent="0.35">
      <c r="A10" s="135" t="s">
        <v>1061</v>
      </c>
      <c r="B10" s="350"/>
      <c r="C10" s="250">
        <v>0</v>
      </c>
      <c r="D10" s="351">
        <v>0</v>
      </c>
      <c r="E10" s="352">
        <f>ROUND(C10*(1+D10),0)</f>
        <v>0</v>
      </c>
      <c r="F10" s="351">
        <f t="shared" ref="F10:F15" si="0">D10</f>
        <v>0</v>
      </c>
      <c r="G10" s="352">
        <f>ROUND(E10*(1+F10),0)</f>
        <v>0</v>
      </c>
      <c r="H10" s="351">
        <f t="shared" ref="H10:H15" si="1">F10</f>
        <v>0</v>
      </c>
      <c r="I10" s="352">
        <f>ROUND(G10*(1+H10),0)</f>
        <v>0</v>
      </c>
      <c r="J10" s="351">
        <f t="shared" ref="J10:J15" si="2">H10</f>
        <v>0</v>
      </c>
      <c r="K10" s="353">
        <f>ROUND(I10*(1+J10),0)</f>
        <v>0</v>
      </c>
    </row>
    <row r="11" spans="1:11" x14ac:dyDescent="0.35">
      <c r="A11" s="135" t="s">
        <v>1062</v>
      </c>
      <c r="B11" s="354"/>
      <c r="C11" s="250">
        <v>0</v>
      </c>
      <c r="D11" s="351">
        <v>0</v>
      </c>
      <c r="E11" s="352">
        <f t="shared" ref="E11:K15" si="3">ROUND(C11*(1+D11),0)</f>
        <v>0</v>
      </c>
      <c r="F11" s="351">
        <f t="shared" si="0"/>
        <v>0</v>
      </c>
      <c r="G11" s="352">
        <f t="shared" si="3"/>
        <v>0</v>
      </c>
      <c r="H11" s="351">
        <f t="shared" si="1"/>
        <v>0</v>
      </c>
      <c r="I11" s="352">
        <f t="shared" si="3"/>
        <v>0</v>
      </c>
      <c r="J11" s="351">
        <f t="shared" si="2"/>
        <v>0</v>
      </c>
      <c r="K11" s="353">
        <f t="shared" si="3"/>
        <v>0</v>
      </c>
    </row>
    <row r="12" spans="1:11" x14ac:dyDescent="0.35">
      <c r="A12" s="135" t="s">
        <v>1063</v>
      </c>
      <c r="B12" s="354"/>
      <c r="C12" s="250">
        <v>0</v>
      </c>
      <c r="D12" s="351">
        <v>0</v>
      </c>
      <c r="E12" s="352">
        <f t="shared" si="3"/>
        <v>0</v>
      </c>
      <c r="F12" s="351">
        <f t="shared" si="0"/>
        <v>0</v>
      </c>
      <c r="G12" s="352">
        <f t="shared" si="3"/>
        <v>0</v>
      </c>
      <c r="H12" s="351">
        <f t="shared" si="1"/>
        <v>0</v>
      </c>
      <c r="I12" s="352">
        <f t="shared" si="3"/>
        <v>0</v>
      </c>
      <c r="J12" s="351">
        <f t="shared" si="2"/>
        <v>0</v>
      </c>
      <c r="K12" s="353">
        <f t="shared" si="3"/>
        <v>0</v>
      </c>
    </row>
    <row r="13" spans="1:11" x14ac:dyDescent="0.35">
      <c r="A13" s="135" t="s">
        <v>1064</v>
      </c>
      <c r="B13" s="354"/>
      <c r="C13" s="250">
        <v>0</v>
      </c>
      <c r="D13" s="351">
        <v>0</v>
      </c>
      <c r="E13" s="352">
        <f t="shared" si="3"/>
        <v>0</v>
      </c>
      <c r="F13" s="351">
        <f t="shared" si="0"/>
        <v>0</v>
      </c>
      <c r="G13" s="352">
        <f t="shared" si="3"/>
        <v>0</v>
      </c>
      <c r="H13" s="351">
        <f t="shared" si="1"/>
        <v>0</v>
      </c>
      <c r="I13" s="352">
        <f t="shared" si="3"/>
        <v>0</v>
      </c>
      <c r="J13" s="351">
        <f t="shared" si="2"/>
        <v>0</v>
      </c>
      <c r="K13" s="353">
        <f t="shared" si="3"/>
        <v>0</v>
      </c>
    </row>
    <row r="14" spans="1:11" x14ac:dyDescent="0.35">
      <c r="A14" s="135" t="s">
        <v>1065</v>
      </c>
      <c r="B14" s="354"/>
      <c r="C14" s="250">
        <v>64500</v>
      </c>
      <c r="D14" s="351">
        <v>0</v>
      </c>
      <c r="E14" s="352">
        <f t="shared" si="3"/>
        <v>64500</v>
      </c>
      <c r="F14" s="351">
        <f t="shared" si="0"/>
        <v>0</v>
      </c>
      <c r="G14" s="352">
        <f t="shared" si="3"/>
        <v>64500</v>
      </c>
      <c r="H14" s="351">
        <v>0.02</v>
      </c>
      <c r="I14" s="352">
        <f t="shared" si="3"/>
        <v>65790</v>
      </c>
      <c r="J14" s="351">
        <v>0</v>
      </c>
      <c r="K14" s="353">
        <f t="shared" si="3"/>
        <v>65790</v>
      </c>
    </row>
    <row r="15" spans="1:11" x14ac:dyDescent="0.35">
      <c r="A15" s="135" t="s">
        <v>562</v>
      </c>
      <c r="B15" s="354"/>
      <c r="C15" s="250">
        <v>0</v>
      </c>
      <c r="D15" s="351">
        <v>0</v>
      </c>
      <c r="E15" s="352">
        <f t="shared" si="3"/>
        <v>0</v>
      </c>
      <c r="F15" s="351">
        <f t="shared" si="0"/>
        <v>0</v>
      </c>
      <c r="G15" s="352">
        <f t="shared" si="3"/>
        <v>0</v>
      </c>
      <c r="H15" s="351">
        <f t="shared" si="1"/>
        <v>0</v>
      </c>
      <c r="I15" s="352">
        <f t="shared" si="3"/>
        <v>0</v>
      </c>
      <c r="J15" s="351">
        <f t="shared" si="2"/>
        <v>0</v>
      </c>
      <c r="K15" s="353">
        <f t="shared" si="3"/>
        <v>0</v>
      </c>
    </row>
    <row r="16" spans="1:11" x14ac:dyDescent="0.35">
      <c r="A16" s="135"/>
      <c r="B16" s="354"/>
      <c r="C16" s="355"/>
      <c r="D16" s="356"/>
      <c r="E16" s="357"/>
      <c r="F16" s="358"/>
      <c r="G16" s="357"/>
      <c r="H16" s="358"/>
      <c r="I16" s="357"/>
      <c r="J16" s="358"/>
      <c r="K16" s="353"/>
    </row>
    <row r="17" spans="1:11" x14ac:dyDescent="0.35">
      <c r="A17" s="135"/>
      <c r="B17" s="354"/>
      <c r="C17" s="355"/>
      <c r="D17" s="356"/>
      <c r="E17" s="357"/>
      <c r="F17" s="358"/>
      <c r="G17" s="357"/>
      <c r="H17" s="358"/>
      <c r="I17" s="357"/>
      <c r="J17" s="358"/>
      <c r="K17" s="353"/>
    </row>
    <row r="18" spans="1:11" ht="17.399999999999999" x14ac:dyDescent="0.35">
      <c r="A18" s="1047" t="s">
        <v>577</v>
      </c>
      <c r="B18" s="833"/>
      <c r="C18" s="833"/>
      <c r="D18" s="833"/>
      <c r="E18" s="833"/>
      <c r="F18" s="833"/>
      <c r="G18" s="833"/>
      <c r="H18" s="833"/>
      <c r="I18" s="833"/>
      <c r="J18" s="833"/>
      <c r="K18" s="834"/>
    </row>
    <row r="19" spans="1:11" x14ac:dyDescent="0.35">
      <c r="A19" s="135" t="s">
        <v>1182</v>
      </c>
      <c r="B19" s="359"/>
      <c r="C19" s="360">
        <v>2.7E-2</v>
      </c>
      <c r="D19" s="361" t="s">
        <v>1183</v>
      </c>
      <c r="E19" s="352"/>
      <c r="F19" s="361"/>
      <c r="G19" s="352"/>
      <c r="H19" s="352"/>
      <c r="I19" s="352"/>
      <c r="J19" s="352"/>
      <c r="K19" s="353"/>
    </row>
    <row r="20" spans="1:11" x14ac:dyDescent="0.35">
      <c r="A20" s="135"/>
      <c r="B20" s="359"/>
      <c r="C20" s="362"/>
      <c r="D20" s="361"/>
      <c r="E20" s="352"/>
      <c r="F20" s="361"/>
      <c r="G20" s="352"/>
      <c r="H20" s="352"/>
      <c r="I20" s="352"/>
      <c r="J20" s="352"/>
      <c r="K20" s="353"/>
    </row>
    <row r="21" spans="1:11" x14ac:dyDescent="0.35">
      <c r="A21" s="135" t="s">
        <v>1061</v>
      </c>
      <c r="B21" s="359"/>
      <c r="C21" s="363">
        <f>C10*(1-$C$19)</f>
        <v>0</v>
      </c>
      <c r="D21" s="361"/>
      <c r="E21" s="364">
        <f>E10*(1-$C$19)</f>
        <v>0</v>
      </c>
      <c r="F21" s="361"/>
      <c r="G21" s="364">
        <f t="shared" ref="G21:G26" si="4">G10*(1-$C$19)</f>
        <v>0</v>
      </c>
      <c r="H21" s="352"/>
      <c r="I21" s="364">
        <f t="shared" ref="I21:I26" si="5">I10*(1-$C$19)</f>
        <v>0</v>
      </c>
      <c r="J21" s="352"/>
      <c r="K21" s="363">
        <f t="shared" ref="K21:K26" si="6">K10*(1-$C$19)</f>
        <v>0</v>
      </c>
    </row>
    <row r="22" spans="1:11" x14ac:dyDescent="0.35">
      <c r="A22" s="135" t="s">
        <v>1062</v>
      </c>
      <c r="B22" s="359"/>
      <c r="C22" s="363">
        <f t="shared" ref="C22:E26" si="7">C11*(1-$C$19)</f>
        <v>0</v>
      </c>
      <c r="D22" s="361"/>
      <c r="E22" s="364">
        <f t="shared" si="7"/>
        <v>0</v>
      </c>
      <c r="F22" s="361"/>
      <c r="G22" s="364">
        <f t="shared" si="4"/>
        <v>0</v>
      </c>
      <c r="H22" s="352"/>
      <c r="I22" s="364">
        <f t="shared" si="5"/>
        <v>0</v>
      </c>
      <c r="J22" s="352"/>
      <c r="K22" s="363">
        <f t="shared" si="6"/>
        <v>0</v>
      </c>
    </row>
    <row r="23" spans="1:11" x14ac:dyDescent="0.35">
      <c r="A23" s="135" t="s">
        <v>1063</v>
      </c>
      <c r="B23" s="359"/>
      <c r="C23" s="363">
        <f t="shared" si="7"/>
        <v>0</v>
      </c>
      <c r="D23" s="361"/>
      <c r="E23" s="364">
        <f t="shared" si="7"/>
        <v>0</v>
      </c>
      <c r="F23" s="361"/>
      <c r="G23" s="364">
        <f t="shared" si="4"/>
        <v>0</v>
      </c>
      <c r="H23" s="352"/>
      <c r="I23" s="364">
        <f t="shared" si="5"/>
        <v>0</v>
      </c>
      <c r="J23" s="352"/>
      <c r="K23" s="363">
        <f t="shared" si="6"/>
        <v>0</v>
      </c>
    </row>
    <row r="24" spans="1:11" x14ac:dyDescent="0.35">
      <c r="A24" s="135" t="s">
        <v>1064</v>
      </c>
      <c r="B24" s="359"/>
      <c r="C24" s="363">
        <f t="shared" si="7"/>
        <v>0</v>
      </c>
      <c r="D24" s="361"/>
      <c r="E24" s="364">
        <f t="shared" si="7"/>
        <v>0</v>
      </c>
      <c r="F24" s="361"/>
      <c r="G24" s="364">
        <f t="shared" si="4"/>
        <v>0</v>
      </c>
      <c r="H24" s="352"/>
      <c r="I24" s="364">
        <f t="shared" si="5"/>
        <v>0</v>
      </c>
      <c r="J24" s="352"/>
      <c r="K24" s="363">
        <f t="shared" si="6"/>
        <v>0</v>
      </c>
    </row>
    <row r="25" spans="1:11" x14ac:dyDescent="0.35">
      <c r="A25" s="135" t="s">
        <v>1065</v>
      </c>
      <c r="B25" s="359"/>
      <c r="C25" s="363">
        <f t="shared" si="7"/>
        <v>62758.5</v>
      </c>
      <c r="D25" s="361"/>
      <c r="E25" s="364">
        <f t="shared" si="7"/>
        <v>62758.5</v>
      </c>
      <c r="F25" s="361"/>
      <c r="G25" s="364">
        <f t="shared" si="4"/>
        <v>62758.5</v>
      </c>
      <c r="H25" s="352"/>
      <c r="I25" s="364">
        <f t="shared" si="5"/>
        <v>64013.67</v>
      </c>
      <c r="J25" s="352"/>
      <c r="K25" s="363">
        <f t="shared" si="6"/>
        <v>64013.67</v>
      </c>
    </row>
    <row r="26" spans="1:11" x14ac:dyDescent="0.35">
      <c r="A26" s="135" t="s">
        <v>562</v>
      </c>
      <c r="B26" s="359"/>
      <c r="C26" s="363">
        <f t="shared" si="7"/>
        <v>0</v>
      </c>
      <c r="D26" s="361"/>
      <c r="E26" s="364">
        <f t="shared" si="7"/>
        <v>0</v>
      </c>
      <c r="F26" s="361"/>
      <c r="G26" s="364">
        <f t="shared" si="4"/>
        <v>0</v>
      </c>
      <c r="H26" s="352"/>
      <c r="I26" s="364">
        <f t="shared" si="5"/>
        <v>0</v>
      </c>
      <c r="J26" s="352"/>
      <c r="K26" s="363">
        <f t="shared" si="6"/>
        <v>0</v>
      </c>
    </row>
    <row r="27" spans="1:11" x14ac:dyDescent="0.35">
      <c r="A27" s="135"/>
      <c r="B27" s="365"/>
      <c r="C27" s="366"/>
      <c r="D27" s="352"/>
      <c r="E27" s="367"/>
      <c r="F27" s="314"/>
      <c r="G27" s="367"/>
      <c r="H27" s="361"/>
      <c r="I27" s="367"/>
      <c r="J27" s="361"/>
      <c r="K27" s="366"/>
    </row>
    <row r="28" spans="1:11" ht="17.399999999999999" x14ac:dyDescent="0.35">
      <c r="A28" s="1047" t="s">
        <v>1184</v>
      </c>
      <c r="B28" s="1048"/>
      <c r="C28" s="1048"/>
      <c r="D28" s="1048"/>
      <c r="E28" s="1048"/>
      <c r="F28" s="1048"/>
      <c r="G28" s="1048"/>
      <c r="H28" s="1048"/>
      <c r="I28" s="1048"/>
      <c r="J28" s="1048"/>
      <c r="K28" s="1049"/>
    </row>
    <row r="29" spans="1:11" x14ac:dyDescent="0.35">
      <c r="A29" s="147"/>
      <c r="B29" s="148"/>
      <c r="C29" s="78"/>
      <c r="D29" s="148"/>
      <c r="E29" s="148"/>
      <c r="F29" s="148"/>
      <c r="G29" s="148"/>
      <c r="H29" s="148"/>
      <c r="I29" s="148"/>
      <c r="J29" s="148"/>
      <c r="K29" s="78"/>
    </row>
    <row r="30" spans="1:11" x14ac:dyDescent="0.35">
      <c r="A30" s="135" t="s">
        <v>1061</v>
      </c>
      <c r="B30" s="136"/>
      <c r="C30" s="353">
        <f>TRUNC(('7.1 Dealer area'!C39-'7.1 Dealer area'!C51)*'7.2.1 Turnover Vehicles'!C10)+'7.1 Dealer area'!C51*('7.2.1 Turnover Vehicles'!C21)</f>
        <v>0</v>
      </c>
      <c r="D30" s="352"/>
      <c r="E30" s="352">
        <f>TRUNC(('7.1 Dealer area'!E39-'7.1 Dealer area'!E51)*'7.2.1 Turnover Vehicles'!E10)+'7.1 Dealer area'!E51*('7.2.1 Turnover Vehicles'!E21)</f>
        <v>0</v>
      </c>
      <c r="F30" s="352"/>
      <c r="G30" s="352">
        <f>TRUNC(('7.1 Dealer area'!G39-'7.1 Dealer area'!G51)*'7.2.1 Turnover Vehicles'!G10)+'7.1 Dealer area'!G51*('7.2.1 Turnover Vehicles'!G21)</f>
        <v>0</v>
      </c>
      <c r="H30" s="352"/>
      <c r="I30" s="352">
        <f>TRUNC(('7.1 Dealer area'!I39-'7.1 Dealer area'!I51)*'7.2.1 Turnover Vehicles'!I10)+'7.1 Dealer area'!I51*('7.2.1 Turnover Vehicles'!I21)</f>
        <v>0</v>
      </c>
      <c r="J30" s="352"/>
      <c r="K30" s="353">
        <f>TRUNC(('7.1 Dealer area'!K39-'7.1 Dealer area'!K51)*'7.2.1 Turnover Vehicles'!K10)+'7.1 Dealer area'!K51*('7.2.1 Turnover Vehicles'!K21)</f>
        <v>0</v>
      </c>
    </row>
    <row r="31" spans="1:11" x14ac:dyDescent="0.35">
      <c r="A31" s="135" t="s">
        <v>1062</v>
      </c>
      <c r="B31" s="136"/>
      <c r="C31" s="353">
        <f>TRUNC(('7.1 Dealer area'!C40-'7.1 Dealer area'!C52)*'7.2.1 Turnover Vehicles'!C11)+'7.1 Dealer area'!C52*('7.2.1 Turnover Vehicles'!C22)</f>
        <v>0</v>
      </c>
      <c r="D31" s="352"/>
      <c r="E31" s="352">
        <f>TRUNC(('7.1 Dealer area'!E40-'7.1 Dealer area'!E52)*'7.2.1 Turnover Vehicles'!E11)+'7.1 Dealer area'!E52*('7.2.1 Turnover Vehicles'!E22)</f>
        <v>0</v>
      </c>
      <c r="F31" s="352"/>
      <c r="G31" s="352">
        <f>TRUNC(('7.1 Dealer area'!G40-'7.1 Dealer area'!G52)*'7.2.1 Turnover Vehicles'!G11)+'7.1 Dealer area'!G52*('7.2.1 Turnover Vehicles'!G22)</f>
        <v>0</v>
      </c>
      <c r="H31" s="352"/>
      <c r="I31" s="352">
        <f>TRUNC(('7.1 Dealer area'!I40-'7.1 Dealer area'!I52)*'7.2.1 Turnover Vehicles'!I11)+'7.1 Dealer area'!I52*('7.2.1 Turnover Vehicles'!I22)</f>
        <v>0</v>
      </c>
      <c r="J31" s="352"/>
      <c r="K31" s="353">
        <f>TRUNC(('7.1 Dealer area'!K40-'7.1 Dealer area'!K52)*'7.2.1 Turnover Vehicles'!K11)+'7.1 Dealer area'!K52*('7.2.1 Turnover Vehicles'!K22)</f>
        <v>0</v>
      </c>
    </row>
    <row r="32" spans="1:11" x14ac:dyDescent="0.35">
      <c r="A32" s="135" t="s">
        <v>1063</v>
      </c>
      <c r="B32" s="136"/>
      <c r="C32" s="353">
        <f>TRUNC(('7.1 Dealer area'!C43-'7.1 Dealer area'!C53)*'7.2.1 Turnover Vehicles'!C12)+'7.1 Dealer area'!C53*('7.2.1 Turnover Vehicles'!C23)</f>
        <v>0</v>
      </c>
      <c r="D32" s="352"/>
      <c r="E32" s="352">
        <f>TRUNC(('7.1 Dealer area'!E43-'7.1 Dealer area'!E53)*'7.2.1 Turnover Vehicles'!E12)+'7.1 Dealer area'!E53*('7.2.1 Turnover Vehicles'!E23)</f>
        <v>0</v>
      </c>
      <c r="F32" s="352"/>
      <c r="G32" s="352">
        <f>TRUNC(('7.1 Dealer area'!G43-'7.1 Dealer area'!G53)*'7.2.1 Turnover Vehicles'!G12)+'7.1 Dealer area'!G53*('7.2.1 Turnover Vehicles'!G23)</f>
        <v>0</v>
      </c>
      <c r="H32" s="352"/>
      <c r="I32" s="352">
        <f>TRUNC(('7.1 Dealer area'!I43-'7.1 Dealer area'!I53)*'7.2.1 Turnover Vehicles'!I12)+'7.1 Dealer area'!I53*('7.2.1 Turnover Vehicles'!I23)</f>
        <v>0</v>
      </c>
      <c r="J32" s="352"/>
      <c r="K32" s="353">
        <f>TRUNC(('7.1 Dealer area'!K43-'7.1 Dealer area'!K53)*'7.2.1 Turnover Vehicles'!K12)+'7.1 Dealer area'!K53*('7.2.1 Turnover Vehicles'!K23)</f>
        <v>0</v>
      </c>
    </row>
    <row r="33" spans="1:11" x14ac:dyDescent="0.35">
      <c r="A33" s="135" t="s">
        <v>1064</v>
      </c>
      <c r="B33" s="136"/>
      <c r="C33" s="353">
        <f>TRUNC(('7.1 Dealer area'!C44-'7.1 Dealer area'!C54)*'7.2.1 Turnover Vehicles'!C13)+'7.1 Dealer area'!C54*('7.2.1 Turnover Vehicles'!C24)</f>
        <v>0</v>
      </c>
      <c r="D33" s="352"/>
      <c r="E33" s="352">
        <f>TRUNC(('7.1 Dealer area'!E44-'7.1 Dealer area'!E54)*'7.2.1 Turnover Vehicles'!E13)+'7.1 Dealer area'!E54*('7.2.1 Turnover Vehicles'!E24)</f>
        <v>0</v>
      </c>
      <c r="F33" s="352"/>
      <c r="G33" s="352">
        <f>TRUNC(('7.1 Dealer area'!G44-'7.1 Dealer area'!G54)*'7.2.1 Turnover Vehicles'!G13)+'7.1 Dealer area'!G54*('7.2.1 Turnover Vehicles'!G24)</f>
        <v>0</v>
      </c>
      <c r="H33" s="352"/>
      <c r="I33" s="352">
        <f>TRUNC(('7.1 Dealer area'!I44-'7.1 Dealer area'!I54)*'7.2.1 Turnover Vehicles'!I13)+'7.1 Dealer area'!I54*('7.2.1 Turnover Vehicles'!I24)</f>
        <v>0</v>
      </c>
      <c r="J33" s="352"/>
      <c r="K33" s="353">
        <f>TRUNC(('7.1 Dealer area'!K44-'7.1 Dealer area'!K54)*'7.2.1 Turnover Vehicles'!K13)+'7.1 Dealer area'!K54*('7.2.1 Turnover Vehicles'!K24)</f>
        <v>0</v>
      </c>
    </row>
    <row r="34" spans="1:11" x14ac:dyDescent="0.35">
      <c r="A34" s="135" t="s">
        <v>1065</v>
      </c>
      <c r="B34" s="136"/>
      <c r="C34" s="353">
        <f>TRUNC(('7.1 Dealer area'!C45-'7.1 Dealer area'!C55)*'7.2.1 Turnover Vehicles'!C14)+'7.1 Dealer area'!C55*('7.2.1 Turnover Vehicles'!C25)</f>
        <v>1856568</v>
      </c>
      <c r="D34" s="352"/>
      <c r="E34" s="352">
        <f>TRUNC(('7.1 Dealer area'!E45-'7.1 Dealer area'!E55)*'7.2.1 Turnover Vehicles'!E14)+'7.1 Dealer area'!E55*('7.2.1 Turnover Vehicles'!E25)</f>
        <v>4671928.5</v>
      </c>
      <c r="F34" s="352"/>
      <c r="G34" s="352">
        <f>TRUNC(('7.1 Dealer area'!G45-'7.1 Dealer area'!G55)*'7.2.1 Turnover Vehicles'!G14)+'7.1 Dealer area'!G55*('7.2.1 Turnover Vehicles'!G25)</f>
        <v>7998064.5</v>
      </c>
      <c r="H34" s="352"/>
      <c r="I34" s="352">
        <f>TRUNC(('7.1 Dealer area'!I45-'7.1 Dealer area'!I55)*'7.2.1 Turnover Vehicles'!I14)+'7.1 Dealer area'!I55*('7.2.1 Turnover Vehicles'!I25)</f>
        <v>10049948.82</v>
      </c>
      <c r="J34" s="352"/>
      <c r="K34" s="353">
        <f>TRUNC(('7.1 Dealer area'!K45-'7.1 Dealer area'!K55)*'7.2.1 Turnover Vehicles'!K14)+'7.1 Dealer area'!K55*('7.2.1 Turnover Vehicles'!K25)</f>
        <v>12007661.85</v>
      </c>
    </row>
    <row r="35" spans="1:11" x14ac:dyDescent="0.35">
      <c r="A35" s="135" t="s">
        <v>562</v>
      </c>
      <c r="B35" s="136"/>
      <c r="C35" s="368">
        <f>TRUNC(('7.1 Dealer area'!C46-'7.1 Dealer area'!C56)*'7.2.1 Turnover Vehicles'!C15)+'7.1 Dealer area'!C56*('7.2.1 Turnover Vehicles'!C26)</f>
        <v>0</v>
      </c>
      <c r="D35" s="352"/>
      <c r="E35" s="369">
        <f>TRUNC(('7.1 Dealer area'!E46-'7.1 Dealer area'!E56)*'7.2.1 Turnover Vehicles'!E15)+'7.1 Dealer area'!E56*('7.2.1 Turnover Vehicles'!E26)</f>
        <v>0</v>
      </c>
      <c r="F35" s="352"/>
      <c r="G35" s="369">
        <f>TRUNC(('7.1 Dealer area'!G46-'7.1 Dealer area'!G56)*'7.2.1 Turnover Vehicles'!G15)+'7.1 Dealer area'!G56*('7.2.1 Turnover Vehicles'!G26)</f>
        <v>0</v>
      </c>
      <c r="H35" s="352"/>
      <c r="I35" s="369">
        <f>TRUNC(('7.1 Dealer area'!I46-'7.1 Dealer area'!I56)*'7.2.1 Turnover Vehicles'!I15)+'7.1 Dealer area'!I56*('7.2.1 Turnover Vehicles'!I26)</f>
        <v>0</v>
      </c>
      <c r="J35" s="352"/>
      <c r="K35" s="368">
        <f>TRUNC(('7.1 Dealer area'!K46-'7.1 Dealer area'!K56)*'7.2.1 Turnover Vehicles'!K15)+'7.1 Dealer area'!K56*('7.2.1 Turnover Vehicles'!K26)</f>
        <v>0</v>
      </c>
    </row>
    <row r="36" spans="1:11" s="255" customFormat="1" x14ac:dyDescent="0.35">
      <c r="A36" s="263" t="s">
        <v>1185</v>
      </c>
      <c r="B36" s="370"/>
      <c r="C36" s="371">
        <f>SUM(C30:C35)</f>
        <v>1856568</v>
      </c>
      <c r="D36" s="372"/>
      <c r="E36" s="373">
        <f>SUM(E30:E35)</f>
        <v>4671928.5</v>
      </c>
      <c r="F36" s="374"/>
      <c r="G36" s="373">
        <f>SUM(G30:G35)</f>
        <v>7998064.5</v>
      </c>
      <c r="H36" s="375"/>
      <c r="I36" s="373">
        <f>SUM(I30:I35)</f>
        <v>10049948.82</v>
      </c>
      <c r="J36" s="375"/>
      <c r="K36" s="371">
        <f>SUM(K30:K35)</f>
        <v>12007661.85</v>
      </c>
    </row>
    <row r="37" spans="1:11" s="255" customFormat="1" x14ac:dyDescent="0.35">
      <c r="A37" s="264"/>
      <c r="B37" s="376"/>
      <c r="C37" s="377"/>
      <c r="D37" s="378"/>
      <c r="E37" s="379"/>
      <c r="F37" s="380"/>
      <c r="G37" s="379"/>
      <c r="H37" s="381"/>
      <c r="I37" s="379"/>
      <c r="J37" s="381"/>
      <c r="K37" s="377"/>
    </row>
    <row r="38" spans="1:11" s="265" customFormat="1" ht="18" x14ac:dyDescent="0.35">
      <c r="A38" s="246"/>
      <c r="B38" s="382"/>
      <c r="C38" s="383"/>
      <c r="D38" s="384"/>
      <c r="E38" s="383"/>
      <c r="F38" s="385"/>
      <c r="G38" s="383"/>
      <c r="H38" s="386"/>
      <c r="I38" s="383"/>
      <c r="J38" s="386"/>
      <c r="K38" s="383"/>
    </row>
    <row r="39" spans="1:11" s="255" customFormat="1" ht="18" x14ac:dyDescent="0.35">
      <c r="A39" s="291" t="s">
        <v>905</v>
      </c>
      <c r="B39" s="387"/>
      <c r="C39" s="388"/>
      <c r="D39" s="389"/>
      <c r="E39" s="388"/>
      <c r="F39" s="390"/>
      <c r="G39" s="388"/>
      <c r="H39" s="391"/>
      <c r="I39" s="388"/>
      <c r="J39" s="391"/>
      <c r="K39" s="392"/>
    </row>
    <row r="40" spans="1:11" s="255" customFormat="1" ht="18" x14ac:dyDescent="0.35">
      <c r="A40" s="1042" t="s">
        <v>543</v>
      </c>
      <c r="B40" s="1050"/>
      <c r="C40" s="1051"/>
      <c r="D40" s="1052"/>
      <c r="E40" s="1051"/>
      <c r="F40" s="1053"/>
      <c r="G40" s="1051"/>
      <c r="H40" s="1053"/>
      <c r="I40" s="1051"/>
      <c r="J40" s="1053"/>
      <c r="K40" s="1054"/>
    </row>
    <row r="41" spans="1:11" s="255" customFormat="1" x14ac:dyDescent="0.35">
      <c r="A41" s="135"/>
      <c r="B41" s="136"/>
      <c r="C41" s="79"/>
      <c r="D41" s="136"/>
      <c r="E41" s="136"/>
      <c r="F41" s="136"/>
      <c r="G41" s="136"/>
      <c r="H41" s="136"/>
      <c r="I41" s="136"/>
      <c r="J41" s="136"/>
      <c r="K41" s="79"/>
    </row>
    <row r="42" spans="1:11" s="255" customFormat="1" x14ac:dyDescent="0.35">
      <c r="A42" s="135" t="s">
        <v>539</v>
      </c>
      <c r="B42" s="136"/>
      <c r="C42" s="250">
        <v>0</v>
      </c>
      <c r="D42" s="469"/>
      <c r="E42" s="234">
        <v>0</v>
      </c>
      <c r="F42" s="469"/>
      <c r="G42" s="234">
        <v>0</v>
      </c>
      <c r="H42" s="469"/>
      <c r="I42" s="234">
        <v>0</v>
      </c>
      <c r="J42" s="469"/>
      <c r="K42" s="250">
        <v>20000</v>
      </c>
    </row>
    <row r="43" spans="1:11" s="255" customFormat="1" x14ac:dyDescent="0.35">
      <c r="A43" s="264"/>
      <c r="B43" s="146"/>
      <c r="C43" s="398"/>
      <c r="D43" s="342"/>
      <c r="E43" s="378"/>
      <c r="F43" s="342"/>
      <c r="G43" s="378"/>
      <c r="H43" s="342"/>
      <c r="I43" s="378"/>
      <c r="J43" s="342"/>
      <c r="K43" s="398"/>
    </row>
    <row r="44" spans="1:11" s="255" customFormat="1" ht="18" x14ac:dyDescent="0.35">
      <c r="A44" s="1042" t="s">
        <v>904</v>
      </c>
      <c r="B44" s="1050"/>
      <c r="C44" s="1051"/>
      <c r="D44" s="1052"/>
      <c r="E44" s="1051"/>
      <c r="F44" s="1053"/>
      <c r="G44" s="1051"/>
      <c r="H44" s="1053"/>
      <c r="I44" s="1051"/>
      <c r="J44" s="1053"/>
      <c r="K44" s="1054"/>
    </row>
    <row r="45" spans="1:11" s="255" customFormat="1" x14ac:dyDescent="0.35">
      <c r="A45" s="135" t="s">
        <v>726</v>
      </c>
      <c r="B45" s="254">
        <f>'9.0 Scenario''s'!D11</f>
        <v>1</v>
      </c>
      <c r="C45" s="467"/>
      <c r="D45" s="443"/>
      <c r="E45" s="443"/>
      <c r="F45" s="443"/>
      <c r="G45" s="443"/>
      <c r="H45" s="443"/>
      <c r="I45" s="443"/>
      <c r="J45" s="443"/>
      <c r="K45" s="467"/>
    </row>
    <row r="46" spans="1:11" s="255" customFormat="1" x14ac:dyDescent="0.35">
      <c r="A46" s="135" t="s">
        <v>544</v>
      </c>
      <c r="B46" s="171"/>
      <c r="C46" s="489">
        <f>'5.1 DAF Vehicle Parc Input'!K41*C42*$B$45</f>
        <v>0</v>
      </c>
      <c r="D46" s="488"/>
      <c r="E46" s="488">
        <f>'5.1 DAF Vehicle Parc Input'!M41*E42*$B$45</f>
        <v>0</v>
      </c>
      <c r="F46" s="488"/>
      <c r="G46" s="488">
        <f>'5.1 DAF Vehicle Parc Input'!O41*G42*$B$45</f>
        <v>0</v>
      </c>
      <c r="H46" s="488"/>
      <c r="I46" s="488">
        <f>'5.1 DAF Vehicle Parc Input'!Q41*I42*$B$45</f>
        <v>0</v>
      </c>
      <c r="J46" s="488"/>
      <c r="K46" s="489">
        <f>'5.1 DAF Vehicle Parc Input'!S41*K42*$B$45</f>
        <v>0</v>
      </c>
    </row>
    <row r="47" spans="1:11" s="255" customFormat="1" x14ac:dyDescent="0.35">
      <c r="A47" s="135" t="s">
        <v>545</v>
      </c>
      <c r="B47" s="171"/>
      <c r="C47" s="508">
        <f>'5.1 DAF Vehicle Parc Input'!K42*C42*$B$45</f>
        <v>0</v>
      </c>
      <c r="D47" s="488"/>
      <c r="E47" s="509">
        <f>'5.1 DAF Vehicle Parc Input'!M42*E42*$B$45</f>
        <v>0</v>
      </c>
      <c r="F47" s="488"/>
      <c r="G47" s="509">
        <f>'5.1 DAF Vehicle Parc Input'!O42*G42*$B$45</f>
        <v>0</v>
      </c>
      <c r="H47" s="488"/>
      <c r="I47" s="509">
        <f>'5.1 DAF Vehicle Parc Input'!Q42*I42*$B$45</f>
        <v>0</v>
      </c>
      <c r="J47" s="488"/>
      <c r="K47" s="508">
        <f>'5.1 DAF Vehicle Parc Input'!S42*K42*$B$45</f>
        <v>0</v>
      </c>
    </row>
    <row r="48" spans="1:11" s="255" customFormat="1" x14ac:dyDescent="0.35">
      <c r="A48" s="263" t="s">
        <v>1187</v>
      </c>
      <c r="B48" s="136"/>
      <c r="C48" s="496">
        <f>C46+C47</f>
        <v>0</v>
      </c>
      <c r="D48" s="497"/>
      <c r="E48" s="1794">
        <f>E46+E47</f>
        <v>0</v>
      </c>
      <c r="F48" s="497"/>
      <c r="G48" s="1794">
        <f>G46+G47</f>
        <v>0</v>
      </c>
      <c r="H48" s="497"/>
      <c r="I48" s="1794">
        <f>I46+I47</f>
        <v>0</v>
      </c>
      <c r="J48" s="497"/>
      <c r="K48" s="496">
        <f>K46+K47</f>
        <v>0</v>
      </c>
    </row>
    <row r="49" spans="1:11" s="255" customFormat="1" x14ac:dyDescent="0.35">
      <c r="A49" s="264"/>
      <c r="B49" s="146"/>
      <c r="C49" s="1795"/>
      <c r="D49" s="479"/>
      <c r="E49" s="1796"/>
      <c r="F49" s="479"/>
      <c r="G49" s="1796"/>
      <c r="H49" s="479"/>
      <c r="I49" s="1796"/>
      <c r="J49" s="479"/>
      <c r="K49" s="1795"/>
    </row>
    <row r="50" spans="1:11" s="255" customFormat="1" ht="18" x14ac:dyDescent="0.35">
      <c r="A50" s="1042" t="s">
        <v>1188</v>
      </c>
      <c r="B50" s="1050"/>
      <c r="C50" s="1051"/>
      <c r="D50" s="1052"/>
      <c r="E50" s="1051"/>
      <c r="F50" s="1053"/>
      <c r="G50" s="1051"/>
      <c r="H50" s="1053"/>
      <c r="I50" s="1051"/>
      <c r="J50" s="1053"/>
      <c r="K50" s="1054"/>
    </row>
    <row r="51" spans="1:11" s="255" customFormat="1" ht="18" x14ac:dyDescent="0.35">
      <c r="A51" s="400"/>
      <c r="B51" s="401"/>
      <c r="C51" s="402"/>
      <c r="D51" s="403"/>
      <c r="E51" s="404"/>
      <c r="F51" s="405"/>
      <c r="G51" s="404"/>
      <c r="H51" s="406"/>
      <c r="I51" s="404"/>
      <c r="J51" s="406"/>
      <c r="K51" s="402"/>
    </row>
    <row r="52" spans="1:11" s="255" customFormat="1" x14ac:dyDescent="0.35">
      <c r="A52" s="135" t="s">
        <v>344</v>
      </c>
      <c r="B52" s="136"/>
      <c r="C52" s="250">
        <v>0</v>
      </c>
      <c r="D52" s="443"/>
      <c r="E52" s="234">
        <v>0</v>
      </c>
      <c r="F52" s="443"/>
      <c r="G52" s="234">
        <v>0</v>
      </c>
      <c r="H52" s="443"/>
      <c r="I52" s="234">
        <v>0</v>
      </c>
      <c r="J52" s="443"/>
      <c r="K52" s="250">
        <v>0</v>
      </c>
    </row>
    <row r="53" spans="1:11" x14ac:dyDescent="0.35">
      <c r="A53" s="135" t="s">
        <v>1189</v>
      </c>
      <c r="B53" s="136"/>
      <c r="C53" s="250">
        <v>0</v>
      </c>
      <c r="D53" s="164"/>
      <c r="E53" s="357">
        <f>C54</f>
        <v>0</v>
      </c>
      <c r="F53" s="164"/>
      <c r="G53" s="357">
        <f>E54</f>
        <v>0</v>
      </c>
      <c r="H53" s="164"/>
      <c r="I53" s="357">
        <f>G54</f>
        <v>0</v>
      </c>
      <c r="J53" s="164"/>
      <c r="K53" s="332">
        <f>I54</f>
        <v>0</v>
      </c>
    </row>
    <row r="54" spans="1:11" s="255" customFormat="1" x14ac:dyDescent="0.35">
      <c r="A54" s="135" t="s">
        <v>1190</v>
      </c>
      <c r="B54" s="136"/>
      <c r="C54" s="333">
        <f>C52*'7.3 Cost of sales'!C46</f>
        <v>0</v>
      </c>
      <c r="D54" s="222"/>
      <c r="E54" s="407">
        <f>E52*'7.3 Cost of sales'!E46</f>
        <v>0</v>
      </c>
      <c r="F54" s="222"/>
      <c r="G54" s="407">
        <f>G52*'7.3 Cost of sales'!G46</f>
        <v>0</v>
      </c>
      <c r="H54" s="222"/>
      <c r="I54" s="407">
        <f>I52*'7.3 Cost of sales'!I46</f>
        <v>0</v>
      </c>
      <c r="J54" s="222"/>
      <c r="K54" s="333">
        <f>K52*'7.3 Cost of sales'!K46</f>
        <v>0</v>
      </c>
    </row>
    <row r="55" spans="1:11" s="255" customFormat="1" x14ac:dyDescent="0.35">
      <c r="A55" s="408" t="s">
        <v>1191</v>
      </c>
      <c r="B55" s="136"/>
      <c r="C55" s="332">
        <f>C54-C53</f>
        <v>0</v>
      </c>
      <c r="D55" s="222"/>
      <c r="E55" s="357">
        <f>E54-E53</f>
        <v>0</v>
      </c>
      <c r="F55" s="222"/>
      <c r="G55" s="357">
        <f>G54-G53</f>
        <v>0</v>
      </c>
      <c r="H55" s="222"/>
      <c r="I55" s="357">
        <f>I54-I53</f>
        <v>0</v>
      </c>
      <c r="J55" s="222"/>
      <c r="K55" s="332">
        <f>K54-K53</f>
        <v>0</v>
      </c>
    </row>
    <row r="56" spans="1:11" s="255" customFormat="1" x14ac:dyDescent="0.35">
      <c r="A56" s="264"/>
      <c r="B56" s="146"/>
      <c r="C56" s="398"/>
      <c r="D56" s="342"/>
      <c r="E56" s="378"/>
      <c r="F56" s="342"/>
      <c r="G56" s="378"/>
      <c r="H56" s="342"/>
      <c r="I56" s="378"/>
      <c r="J56" s="342"/>
      <c r="K56" s="398"/>
    </row>
    <row r="57" spans="1:11" s="255" customFormat="1" ht="18" x14ac:dyDescent="0.35">
      <c r="A57" s="409"/>
      <c r="B57" s="409"/>
      <c r="C57" s="409"/>
      <c r="D57" s="409"/>
      <c r="E57" s="409"/>
      <c r="F57" s="409"/>
      <c r="G57" s="409"/>
      <c r="H57" s="409"/>
      <c r="I57" s="409"/>
      <c r="J57" s="409"/>
      <c r="K57" s="409"/>
    </row>
    <row r="58" spans="1:11" s="265" customFormat="1" ht="18" x14ac:dyDescent="0.35">
      <c r="A58" s="1042" t="s">
        <v>342</v>
      </c>
      <c r="B58" s="833"/>
      <c r="C58" s="833"/>
      <c r="D58" s="833"/>
      <c r="E58" s="833"/>
      <c r="F58" s="833"/>
      <c r="G58" s="833"/>
      <c r="H58" s="833"/>
      <c r="I58" s="833"/>
      <c r="J58" s="833"/>
      <c r="K58" s="834"/>
    </row>
    <row r="59" spans="1:11" x14ac:dyDescent="0.35">
      <c r="A59" s="135"/>
      <c r="B59" s="136"/>
      <c r="C59" s="78"/>
      <c r="D59" s="443"/>
      <c r="E59" s="136"/>
      <c r="F59" s="443"/>
      <c r="G59" s="136"/>
      <c r="H59" s="443"/>
      <c r="I59" s="136"/>
      <c r="J59" s="443"/>
      <c r="K59" s="78"/>
    </row>
    <row r="60" spans="1:11" x14ac:dyDescent="0.35">
      <c r="A60" s="135" t="s">
        <v>728</v>
      </c>
      <c r="B60" s="136"/>
      <c r="C60" s="489">
        <f>'5.1 DAF Vehicle Parc Input'!K52</f>
        <v>0</v>
      </c>
      <c r="D60" s="488"/>
      <c r="E60" s="488">
        <f>'5.1 DAF Vehicle Parc Input'!M52</f>
        <v>0</v>
      </c>
      <c r="F60" s="488"/>
      <c r="G60" s="488">
        <f>'5.1 DAF Vehicle Parc Input'!O52</f>
        <v>0</v>
      </c>
      <c r="H60" s="488"/>
      <c r="I60" s="488">
        <f>'5.1 DAF Vehicle Parc Input'!Q52</f>
        <v>0</v>
      </c>
      <c r="J60" s="488"/>
      <c r="K60" s="489">
        <f>'5.1 DAF Vehicle Parc Input'!S52</f>
        <v>0</v>
      </c>
    </row>
    <row r="61" spans="1:11" x14ac:dyDescent="0.35">
      <c r="A61" s="135" t="s">
        <v>1186</v>
      </c>
      <c r="B61" s="136"/>
      <c r="C61" s="394">
        <v>0</v>
      </c>
      <c r="D61" s="469"/>
      <c r="E61" s="396">
        <v>0</v>
      </c>
      <c r="F61" s="469"/>
      <c r="G61" s="396">
        <v>0</v>
      </c>
      <c r="H61" s="469"/>
      <c r="I61" s="396">
        <v>0</v>
      </c>
      <c r="J61" s="469"/>
      <c r="K61" s="394">
        <v>0</v>
      </c>
    </row>
    <row r="62" spans="1:11" x14ac:dyDescent="0.35">
      <c r="A62" s="410" t="s">
        <v>613</v>
      </c>
      <c r="B62" s="222"/>
      <c r="C62" s="411">
        <f>C60*C61</f>
        <v>0</v>
      </c>
      <c r="D62" s="493"/>
      <c r="E62" s="412">
        <f>E60*E61</f>
        <v>0</v>
      </c>
      <c r="F62" s="493"/>
      <c r="G62" s="412">
        <f>G60*G61</f>
        <v>0</v>
      </c>
      <c r="H62" s="493"/>
      <c r="I62" s="412">
        <f>I60*I61</f>
        <v>0</v>
      </c>
      <c r="J62" s="493"/>
      <c r="K62" s="411">
        <f>K60*K61</f>
        <v>0</v>
      </c>
    </row>
    <row r="63" spans="1:11" s="413" customFormat="1" x14ac:dyDescent="0.35">
      <c r="A63" s="410"/>
      <c r="B63" s="222"/>
      <c r="C63" s="411"/>
      <c r="D63" s="493"/>
      <c r="E63" s="412"/>
      <c r="F63" s="493"/>
      <c r="G63" s="412"/>
      <c r="H63" s="493"/>
      <c r="I63" s="412"/>
      <c r="J63" s="493"/>
      <c r="K63" s="411"/>
    </row>
    <row r="64" spans="1:11" s="413" customFormat="1" x14ac:dyDescent="0.35">
      <c r="A64" s="135" t="s">
        <v>610</v>
      </c>
      <c r="B64" s="136"/>
      <c r="C64" s="250">
        <v>0</v>
      </c>
      <c r="D64" s="469"/>
      <c r="E64" s="234">
        <v>0</v>
      </c>
      <c r="F64" s="469"/>
      <c r="G64" s="234">
        <v>0</v>
      </c>
      <c r="H64" s="469"/>
      <c r="I64" s="234">
        <v>0</v>
      </c>
      <c r="J64" s="469"/>
      <c r="K64" s="250">
        <v>0</v>
      </c>
    </row>
    <row r="65" spans="1:12" s="413" customFormat="1" x14ac:dyDescent="0.35">
      <c r="A65" s="135" t="s">
        <v>1186</v>
      </c>
      <c r="B65" s="136"/>
      <c r="C65" s="394">
        <v>0</v>
      </c>
      <c r="D65" s="469"/>
      <c r="E65" s="396">
        <v>0</v>
      </c>
      <c r="F65" s="469"/>
      <c r="G65" s="396">
        <v>0</v>
      </c>
      <c r="H65" s="469"/>
      <c r="I65" s="396">
        <v>0</v>
      </c>
      <c r="J65" s="469"/>
      <c r="K65" s="394">
        <v>0</v>
      </c>
    </row>
    <row r="66" spans="1:12" s="413" customFormat="1" x14ac:dyDescent="0.35">
      <c r="A66" s="410" t="s">
        <v>614</v>
      </c>
      <c r="B66" s="222"/>
      <c r="C66" s="411">
        <f>C64*C65</f>
        <v>0</v>
      </c>
      <c r="D66" s="493"/>
      <c r="E66" s="412">
        <f>E64*E65</f>
        <v>0</v>
      </c>
      <c r="F66" s="493"/>
      <c r="G66" s="412">
        <f>G64*G65</f>
        <v>0</v>
      </c>
      <c r="H66" s="493"/>
      <c r="I66" s="412">
        <f>I64*I65</f>
        <v>0</v>
      </c>
      <c r="J66" s="493"/>
      <c r="K66" s="411">
        <f>K64*K65</f>
        <v>0</v>
      </c>
    </row>
    <row r="67" spans="1:12" s="413" customFormat="1" x14ac:dyDescent="0.35">
      <c r="A67" s="410"/>
      <c r="B67" s="222"/>
      <c r="C67" s="411"/>
      <c r="D67" s="493"/>
      <c r="E67" s="412"/>
      <c r="F67" s="493"/>
      <c r="G67" s="412"/>
      <c r="H67" s="493"/>
      <c r="I67" s="412"/>
      <c r="J67" s="493"/>
      <c r="K67" s="411"/>
    </row>
    <row r="68" spans="1:12" s="413" customFormat="1" x14ac:dyDescent="0.35">
      <c r="A68" s="135" t="s">
        <v>611</v>
      </c>
      <c r="B68" s="136"/>
      <c r="C68" s="250">
        <v>0</v>
      </c>
      <c r="D68" s="469"/>
      <c r="E68" s="234">
        <v>0</v>
      </c>
      <c r="F68" s="469"/>
      <c r="G68" s="234">
        <v>0</v>
      </c>
      <c r="H68" s="469"/>
      <c r="I68" s="234">
        <v>0</v>
      </c>
      <c r="J68" s="469"/>
      <c r="K68" s="250">
        <v>0</v>
      </c>
    </row>
    <row r="69" spans="1:12" s="413" customFormat="1" x14ac:dyDescent="0.35">
      <c r="A69" s="135" t="s">
        <v>612</v>
      </c>
      <c r="B69" s="136"/>
      <c r="C69" s="394">
        <v>0</v>
      </c>
      <c r="D69" s="469"/>
      <c r="E69" s="396">
        <v>0</v>
      </c>
      <c r="F69" s="469"/>
      <c r="G69" s="396">
        <v>0</v>
      </c>
      <c r="H69" s="469"/>
      <c r="I69" s="396">
        <v>0</v>
      </c>
      <c r="J69" s="469"/>
      <c r="K69" s="394">
        <v>0</v>
      </c>
    </row>
    <row r="70" spans="1:12" s="413" customFormat="1" x14ac:dyDescent="0.35">
      <c r="A70" s="410" t="s">
        <v>615</v>
      </c>
      <c r="B70" s="222"/>
      <c r="C70" s="411">
        <f>C68*C69</f>
        <v>0</v>
      </c>
      <c r="D70" s="493"/>
      <c r="E70" s="412">
        <f>E68*E69</f>
        <v>0</v>
      </c>
      <c r="F70" s="493"/>
      <c r="G70" s="412">
        <f>G68*G69</f>
        <v>0</v>
      </c>
      <c r="H70" s="493"/>
      <c r="I70" s="412">
        <f>I68*I69</f>
        <v>0</v>
      </c>
      <c r="J70" s="493"/>
      <c r="K70" s="411">
        <f>K68*K69</f>
        <v>0</v>
      </c>
    </row>
    <row r="71" spans="1:12" s="413" customFormat="1" x14ac:dyDescent="0.35">
      <c r="A71" s="410"/>
      <c r="B71" s="222"/>
      <c r="C71" s="411"/>
      <c r="D71" s="493"/>
      <c r="E71" s="412"/>
      <c r="F71" s="493"/>
      <c r="G71" s="412"/>
      <c r="H71" s="493"/>
      <c r="I71" s="412"/>
      <c r="J71" s="493"/>
      <c r="K71" s="411"/>
    </row>
    <row r="72" spans="1:12" s="413" customFormat="1" x14ac:dyDescent="0.35">
      <c r="A72" s="410" t="s">
        <v>343</v>
      </c>
      <c r="B72" s="222"/>
      <c r="C72" s="411">
        <f>C62+C66+C70</f>
        <v>0</v>
      </c>
      <c r="D72" s="1779"/>
      <c r="E72" s="414">
        <f>E62+E66+E70</f>
        <v>0</v>
      </c>
      <c r="F72" s="1779"/>
      <c r="G72" s="414">
        <f>G62+G66+G70</f>
        <v>0</v>
      </c>
      <c r="H72" s="1779"/>
      <c r="I72" s="414">
        <f>I62+I66+I70</f>
        <v>0</v>
      </c>
      <c r="J72" s="1779"/>
      <c r="K72" s="397">
        <f>K62+K66+K70</f>
        <v>0</v>
      </c>
    </row>
    <row r="73" spans="1:12" s="413" customFormat="1" x14ac:dyDescent="0.35">
      <c r="A73" s="415"/>
      <c r="B73" s="416"/>
      <c r="C73" s="417"/>
      <c r="D73" s="1663"/>
      <c r="E73" s="418"/>
      <c r="F73" s="1663"/>
      <c r="G73" s="418"/>
      <c r="H73" s="1663"/>
      <c r="I73" s="418"/>
      <c r="J73" s="1663"/>
      <c r="K73" s="417"/>
    </row>
    <row r="74" spans="1:12" s="413" customFormat="1" ht="15" thickBot="1" x14ac:dyDescent="0.4">
      <c r="A74" s="136"/>
      <c r="B74" s="136"/>
      <c r="C74" s="352"/>
      <c r="D74" s="469"/>
      <c r="E74" s="352"/>
      <c r="F74" s="352"/>
      <c r="G74" s="352"/>
      <c r="H74" s="469"/>
      <c r="I74" s="352"/>
      <c r="J74" s="352"/>
      <c r="K74" s="352"/>
    </row>
    <row r="75" spans="1:12" s="830" customFormat="1" x14ac:dyDescent="0.35">
      <c r="A75" s="1463"/>
      <c r="B75" s="1142"/>
      <c r="C75" s="1465"/>
      <c r="D75" s="1466"/>
      <c r="E75" s="1466"/>
      <c r="F75" s="1466"/>
      <c r="G75" s="1466"/>
      <c r="H75" s="1466"/>
      <c r="I75" s="1466"/>
      <c r="J75" s="1466"/>
      <c r="K75" s="1467"/>
      <c r="L75" s="199"/>
    </row>
    <row r="76" spans="1:12" s="830" customFormat="1" ht="17.399999999999999" x14ac:dyDescent="0.35">
      <c r="A76" s="1521" t="s">
        <v>424</v>
      </c>
      <c r="B76" s="1522"/>
      <c r="C76" s="1145">
        <f>C36+C48+C72</f>
        <v>1856568</v>
      </c>
      <c r="D76" s="1523"/>
      <c r="E76" s="1523">
        <f>E36+E48+E72</f>
        <v>4671928.5</v>
      </c>
      <c r="F76" s="1523"/>
      <c r="G76" s="1523">
        <f>G36+G48+G72</f>
        <v>7998064.5</v>
      </c>
      <c r="H76" s="1523"/>
      <c r="I76" s="1523">
        <f>I36+I48+I72</f>
        <v>10049948.82</v>
      </c>
      <c r="J76" s="1523"/>
      <c r="K76" s="1147">
        <f>K36+K48+K72</f>
        <v>12007661.85</v>
      </c>
      <c r="L76" s="199"/>
    </row>
    <row r="77" spans="1:12" s="1528" customFormat="1" ht="18" thickBot="1" x14ac:dyDescent="0.4">
      <c r="A77" s="1524"/>
      <c r="B77" s="1150"/>
      <c r="C77" s="1525"/>
      <c r="D77" s="1526"/>
      <c r="E77" s="1526"/>
      <c r="F77" s="1526"/>
      <c r="G77" s="1526"/>
      <c r="H77" s="1526"/>
      <c r="I77" s="1526"/>
      <c r="J77" s="1526"/>
      <c r="K77" s="1527"/>
      <c r="L77" s="1630"/>
    </row>
    <row r="78" spans="1:12" s="199" customFormat="1" ht="18.600000000000001" thickBot="1" x14ac:dyDescent="0.4">
      <c r="A78" s="409"/>
      <c r="B78" s="409"/>
      <c r="C78" s="409"/>
      <c r="D78" s="409"/>
      <c r="E78" s="409"/>
      <c r="F78" s="409"/>
      <c r="G78" s="409"/>
      <c r="H78" s="409"/>
      <c r="I78" s="409"/>
      <c r="J78" s="409"/>
      <c r="K78" s="409"/>
    </row>
    <row r="79" spans="1:12" s="265" customFormat="1" ht="18.600000000000001" thickBot="1" x14ac:dyDescent="0.4">
      <c r="A79" s="1055" t="s">
        <v>1193</v>
      </c>
      <c r="B79" s="1056"/>
      <c r="C79" s="1056"/>
      <c r="D79" s="1056"/>
      <c r="E79" s="1056"/>
      <c r="F79" s="1056"/>
      <c r="G79" s="1056"/>
      <c r="H79" s="1056"/>
      <c r="I79" s="1056"/>
      <c r="J79" s="1056"/>
      <c r="K79" s="1057"/>
    </row>
    <row r="80" spans="1:12" x14ac:dyDescent="0.35">
      <c r="A80" s="420"/>
      <c r="B80" s="421"/>
      <c r="C80" s="422"/>
      <c r="D80" s="421"/>
      <c r="E80" s="421"/>
      <c r="F80" s="1818"/>
      <c r="G80" s="421"/>
      <c r="H80" s="421"/>
      <c r="I80" s="421"/>
      <c r="J80" s="421"/>
      <c r="K80" s="423"/>
    </row>
    <row r="81" spans="1:11" s="199" customFormat="1" x14ac:dyDescent="0.35">
      <c r="A81" s="424" t="s">
        <v>1194</v>
      </c>
      <c r="B81" s="136"/>
      <c r="C81" s="79"/>
      <c r="D81" s="443"/>
      <c r="E81" s="136"/>
      <c r="F81" s="443"/>
      <c r="G81" s="136"/>
      <c r="H81" s="443"/>
      <c r="I81" s="136"/>
      <c r="J81" s="443"/>
      <c r="K81" s="425"/>
    </row>
    <row r="82" spans="1:11" x14ac:dyDescent="0.35">
      <c r="A82" s="424" t="s">
        <v>425</v>
      </c>
      <c r="B82" s="136"/>
      <c r="C82" s="213">
        <v>37</v>
      </c>
      <c r="D82" s="443"/>
      <c r="E82" s="212">
        <v>50</v>
      </c>
      <c r="F82" s="443"/>
      <c r="G82" s="212">
        <f>E82</f>
        <v>50</v>
      </c>
      <c r="H82" s="443"/>
      <c r="I82" s="212">
        <v>50</v>
      </c>
      <c r="J82" s="443"/>
      <c r="K82" s="426">
        <v>58</v>
      </c>
    </row>
    <row r="83" spans="1:11" x14ac:dyDescent="0.35">
      <c r="A83" s="424" t="s">
        <v>1195</v>
      </c>
      <c r="B83" s="136"/>
      <c r="C83" s="427">
        <f>IF('7.2.1 Turnover Vehicles'!C82=0,0,'7.1 Dealer area'!C35/'7.2.1 Turnover Vehicles'!C82)</f>
        <v>0.78378378378378377</v>
      </c>
      <c r="D83" s="514"/>
      <c r="E83" s="428">
        <f>IF('7.2.1 Turnover Vehicles'!E82=0,0,'7.1 Dealer area'!E35/'7.2.1 Turnover Vehicles'!E82)</f>
        <v>1.46</v>
      </c>
      <c r="F83" s="514"/>
      <c r="G83" s="428">
        <f>IF('7.2.1 Turnover Vehicles'!G82=0,0,'7.1 Dealer area'!G35/'7.2.1 Turnover Vehicles'!G82)</f>
        <v>2.5</v>
      </c>
      <c r="H83" s="514"/>
      <c r="I83" s="428">
        <f>IF('7.2.1 Turnover Vehicles'!I82=0,0,'7.1 Dealer area'!I35/'7.2.1 Turnover Vehicles'!I82)</f>
        <v>3.08</v>
      </c>
      <c r="J83" s="514"/>
      <c r="K83" s="429">
        <f>IF('7.2.1 Turnover Vehicles'!K82=0,0,'7.1 Dealer area'!K35/'7.2.1 Turnover Vehicles'!K82)</f>
        <v>3.1724137931034484</v>
      </c>
    </row>
    <row r="84" spans="1:11" x14ac:dyDescent="0.35">
      <c r="A84" s="424" t="s">
        <v>1196</v>
      </c>
      <c r="B84" s="136"/>
      <c r="C84" s="430">
        <v>1</v>
      </c>
      <c r="D84" s="443"/>
      <c r="E84" s="431">
        <v>1</v>
      </c>
      <c r="F84" s="443"/>
      <c r="G84" s="431">
        <v>2</v>
      </c>
      <c r="H84" s="443"/>
      <c r="I84" s="431">
        <v>2</v>
      </c>
      <c r="J84" s="443"/>
      <c r="K84" s="432">
        <v>2</v>
      </c>
    </row>
    <row r="85" spans="1:11" x14ac:dyDescent="0.35">
      <c r="A85" s="424" t="s">
        <v>1197</v>
      </c>
      <c r="B85" s="136"/>
      <c r="C85" s="430">
        <v>0</v>
      </c>
      <c r="D85" s="513"/>
      <c r="E85" s="431">
        <v>0</v>
      </c>
      <c r="F85" s="513"/>
      <c r="G85" s="431">
        <v>0</v>
      </c>
      <c r="H85" s="513"/>
      <c r="I85" s="431">
        <v>0</v>
      </c>
      <c r="J85" s="513"/>
      <c r="K85" s="432">
        <f>I85</f>
        <v>0</v>
      </c>
    </row>
    <row r="86" spans="1:11" x14ac:dyDescent="0.35">
      <c r="A86" s="424" t="s">
        <v>1192</v>
      </c>
      <c r="B86" s="136"/>
      <c r="C86" s="430">
        <v>0</v>
      </c>
      <c r="D86" s="513"/>
      <c r="E86" s="431">
        <v>0</v>
      </c>
      <c r="F86" s="513"/>
      <c r="G86" s="431">
        <f>E86</f>
        <v>0</v>
      </c>
      <c r="H86" s="513"/>
      <c r="I86" s="431">
        <v>0</v>
      </c>
      <c r="J86" s="441"/>
      <c r="K86" s="432">
        <f>I86</f>
        <v>0</v>
      </c>
    </row>
    <row r="87" spans="1:11" x14ac:dyDescent="0.35">
      <c r="A87" s="424" t="s">
        <v>426</v>
      </c>
      <c r="B87" s="136"/>
      <c r="C87" s="430">
        <v>0</v>
      </c>
      <c r="D87" s="513"/>
      <c r="E87" s="431">
        <v>1</v>
      </c>
      <c r="F87" s="513"/>
      <c r="G87" s="431">
        <v>1</v>
      </c>
      <c r="H87" s="513"/>
      <c r="I87" s="431">
        <v>1</v>
      </c>
      <c r="J87" s="513"/>
      <c r="K87" s="432">
        <v>1</v>
      </c>
    </row>
    <row r="88" spans="1:11" x14ac:dyDescent="0.35">
      <c r="A88" s="424" t="s">
        <v>427</v>
      </c>
      <c r="B88" s="136"/>
      <c r="C88" s="433">
        <v>1</v>
      </c>
      <c r="D88" s="513"/>
      <c r="E88" s="431">
        <v>1</v>
      </c>
      <c r="F88" s="513"/>
      <c r="G88" s="431">
        <v>1</v>
      </c>
      <c r="H88" s="513"/>
      <c r="I88" s="431">
        <f>G88</f>
        <v>1</v>
      </c>
      <c r="J88" s="513"/>
      <c r="K88" s="434">
        <f>I88</f>
        <v>1</v>
      </c>
    </row>
    <row r="89" spans="1:11" x14ac:dyDescent="0.35">
      <c r="A89" s="435" t="s">
        <v>1198</v>
      </c>
      <c r="B89" s="136"/>
      <c r="C89" s="436">
        <f>SUM(C84:C88)</f>
        <v>2</v>
      </c>
      <c r="D89" s="1817"/>
      <c r="E89" s="436">
        <f>SUM(E84:E88)</f>
        <v>3</v>
      </c>
      <c r="F89" s="1817"/>
      <c r="G89" s="436">
        <f>SUM(G84:G88)</f>
        <v>4</v>
      </c>
      <c r="H89" s="1817"/>
      <c r="I89" s="436">
        <f>SUM(I84:I88)</f>
        <v>4</v>
      </c>
      <c r="J89" s="1817"/>
      <c r="K89" s="437">
        <f>SUM(K84:K88)</f>
        <v>4</v>
      </c>
    </row>
    <row r="90" spans="1:11" ht="15" thickBot="1" x14ac:dyDescent="0.4">
      <c r="A90" s="438"/>
      <c r="B90" s="419"/>
      <c r="C90" s="439"/>
      <c r="D90" s="419"/>
      <c r="E90" s="419"/>
      <c r="F90" s="1819"/>
      <c r="G90" s="419"/>
      <c r="H90" s="1819"/>
      <c r="I90" s="419"/>
      <c r="J90" s="419"/>
      <c r="K90" s="440"/>
    </row>
    <row r="91" spans="1:11" x14ac:dyDescent="0.35"/>
    <row r="92" spans="1:11" x14ac:dyDescent="0.35"/>
  </sheetData>
  <sheetProtection password="813F" sheet="1" objects="1" scenarios="1" selectLockedCells="1"/>
  <scenarios current="0">
    <scenario name="Increase used trucks" locked="1" count="8" user="marco eijkens" comment="Gemaakt door marco eijkens op 22-7-2008">
      <inputCells r="K14" val="100"/>
      <inputCells r="C46" val="5000" numFmtId="1"/>
      <inputCells r="D46" val="600"/>
      <inputCells r="D46" val="800"/>
      <inputCells r="E46" val="200" numFmtId="1"/>
      <inputCells r="G46" val="0" numFmtId="1"/>
      <inputCells r="I46" val="0" numFmtId="1"/>
      <inputCells r="K46" val="0" numFmtId="1"/>
    </scenario>
  </scenarios>
  <customSheetViews>
    <customSheetView guid="{51165254-F18A-4CD1-9981-8F2DE14CC76C}" showGridLines="0" fitToPage="1" hiddenRows="1" hiddenColumns="1" showRuler="0">
      <selection activeCell="C61" sqref="C61"/>
      <pageMargins left="0.78740157480314965" right="0.78740157480314965" top="0.98425196850393704" bottom="0.98425196850393704" header="0.51181102362204722" footer="0.51181102362204722"/>
      <printOptions horizontalCentered="1" verticalCentered="1"/>
      <pageSetup paperSize="9" scale="50"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0"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8">
    <tabColor indexed="22"/>
    <pageSetUpPr fitToPage="1"/>
  </sheetPr>
  <dimension ref="A1:M83"/>
  <sheetViews>
    <sheetView showGridLines="0" zoomScale="110" zoomScaleNormal="110" workbookViewId="0">
      <pane ySplit="5" topLeftCell="A6" activePane="bottomLeft" state="frozen"/>
      <selection activeCell="C21" sqref="C21"/>
      <selection pane="bottomLeft" activeCell="K53" sqref="K53"/>
    </sheetView>
  </sheetViews>
  <sheetFormatPr baseColWidth="10" defaultColWidth="0" defaultRowHeight="14.4" zeroHeight="1" x14ac:dyDescent="0.35"/>
  <cols>
    <col min="1" max="1" width="17.6640625" style="441" customWidth="1"/>
    <col min="2" max="2" width="17.44140625" style="441" customWidth="1"/>
    <col min="3" max="3" width="15.44140625" style="441" customWidth="1"/>
    <col min="4" max="4" width="9.109375" style="441" customWidth="1"/>
    <col min="5" max="5" width="15.44140625" style="441" customWidth="1"/>
    <col min="6" max="6" width="11.44140625" style="441" customWidth="1"/>
    <col min="7" max="7" width="15.44140625" style="441" customWidth="1"/>
    <col min="8" max="8" width="12" style="441" customWidth="1"/>
    <col min="9" max="9" width="15.44140625" style="441" customWidth="1"/>
    <col min="10" max="10" width="12.33203125" style="441" customWidth="1"/>
    <col min="11" max="11" width="15.44140625" style="441" customWidth="1"/>
    <col min="12" max="12" width="1.33203125" style="827" customWidth="1"/>
    <col min="13" max="16384" width="9.109375" style="441" hidden="1"/>
  </cols>
  <sheetData>
    <row r="1" spans="1:13" ht="28.8" x14ac:dyDescent="0.55000000000000004">
      <c r="A1" s="2016" t="s">
        <v>1173</v>
      </c>
      <c r="B1" s="201"/>
      <c r="C1" s="201"/>
      <c r="D1" s="201"/>
      <c r="E1" s="201"/>
      <c r="F1" s="201"/>
      <c r="G1" s="201"/>
      <c r="H1" s="201"/>
      <c r="I1" s="201"/>
      <c r="J1" s="201"/>
      <c r="K1" s="202" t="s">
        <v>650</v>
      </c>
    </row>
    <row r="2" spans="1:13" x14ac:dyDescent="0.35">
      <c r="A2" s="442"/>
      <c r="B2" s="443"/>
      <c r="C2" s="443"/>
      <c r="D2" s="443"/>
      <c r="E2" s="444"/>
      <c r="F2" s="443"/>
      <c r="G2" s="443"/>
      <c r="H2" s="443"/>
      <c r="I2" s="443"/>
      <c r="J2" s="443"/>
      <c r="K2" s="445"/>
      <c r="M2" s="446"/>
    </row>
    <row r="3" spans="1:13" ht="16.2" x14ac:dyDescent="0.35">
      <c r="A3" s="447" t="s">
        <v>1035</v>
      </c>
      <c r="B3" s="448" t="str">
        <f>'Reference sheet'!C12</f>
        <v>TRUCK INTERNATIONAL MOBILITY SA</v>
      </c>
      <c r="C3" s="449"/>
      <c r="E3" s="450" t="s">
        <v>1036</v>
      </c>
      <c r="F3" s="451">
        <f>'Reference sheet'!C15</f>
        <v>2</v>
      </c>
      <c r="G3" s="452" t="s">
        <v>1037</v>
      </c>
      <c r="H3" s="453" t="str">
        <f>'Reference sheet'!C17</f>
        <v>October</v>
      </c>
      <c r="I3" s="1033">
        <f>'Reference sheet'!D17</f>
        <v>2018</v>
      </c>
      <c r="J3" s="454" t="s">
        <v>1175</v>
      </c>
      <c r="K3" s="455" t="str">
        <f>'7.1 Dealer area'!K3</f>
        <v>EUR</v>
      </c>
    </row>
    <row r="4" spans="1:13" x14ac:dyDescent="0.35">
      <c r="A4" s="442"/>
      <c r="B4" s="456"/>
      <c r="C4" s="443"/>
      <c r="D4" s="443"/>
      <c r="E4" s="443"/>
      <c r="F4" s="443"/>
      <c r="G4" s="457"/>
      <c r="H4" s="443"/>
      <c r="I4" s="443"/>
      <c r="J4" s="443"/>
      <c r="K4" s="458"/>
    </row>
    <row r="5" spans="1:13" x14ac:dyDescent="0.35">
      <c r="A5" s="442"/>
      <c r="B5" s="443"/>
      <c r="C5" s="459">
        <f>'7.1 Dealer area'!C5</f>
        <v>2019</v>
      </c>
      <c r="D5" s="460"/>
      <c r="E5" s="461">
        <f>+'7.1 Dealer area'!E5</f>
        <v>2020</v>
      </c>
      <c r="F5" s="462"/>
      <c r="G5" s="461">
        <f>+'7.1 Dealer area'!G5</f>
        <v>2021</v>
      </c>
      <c r="H5" s="463"/>
      <c r="I5" s="461">
        <f>+'7.1 Dealer area'!I5</f>
        <v>2022</v>
      </c>
      <c r="J5" s="463"/>
      <c r="K5" s="461">
        <f>+'7.1 Dealer area'!K5</f>
        <v>2023</v>
      </c>
    </row>
    <row r="6" spans="1:13" ht="18" x14ac:dyDescent="0.35">
      <c r="A6" s="1058" t="s">
        <v>1199</v>
      </c>
      <c r="B6" s="1059"/>
      <c r="C6" s="1060"/>
      <c r="D6" s="1060"/>
      <c r="E6" s="1060"/>
      <c r="F6" s="1060"/>
      <c r="G6" s="1060"/>
      <c r="H6" s="1060"/>
      <c r="I6" s="1060"/>
      <c r="J6" s="1060"/>
      <c r="K6" s="1061"/>
    </row>
    <row r="7" spans="1:13" x14ac:dyDescent="0.35">
      <c r="A7" s="442" t="s">
        <v>423</v>
      </c>
      <c r="B7" s="443"/>
      <c r="C7" s="466">
        <v>0.02</v>
      </c>
      <c r="D7" s="443"/>
      <c r="E7" s="443"/>
      <c r="F7" s="443"/>
      <c r="G7" s="443"/>
      <c r="H7" s="443"/>
      <c r="I7" s="443"/>
      <c r="J7" s="443"/>
      <c r="K7" s="467"/>
    </row>
    <row r="8" spans="1:13" x14ac:dyDescent="0.35">
      <c r="A8" s="442"/>
      <c r="B8" s="443"/>
      <c r="C8" s="468"/>
      <c r="D8" s="472"/>
      <c r="E8" s="2124" t="s">
        <v>120</v>
      </c>
      <c r="F8" s="2119"/>
      <c r="G8" s="2120"/>
      <c r="H8" s="1878">
        <f>'5.1 DAF Vehicle Parc Input'!H56</f>
        <v>0.25</v>
      </c>
      <c r="I8"/>
      <c r="J8"/>
      <c r="K8" s="467"/>
    </row>
    <row r="9" spans="1:13" x14ac:dyDescent="0.35">
      <c r="A9" s="442" t="s">
        <v>399</v>
      </c>
      <c r="B9" s="443"/>
      <c r="C9" s="1842">
        <v>10</v>
      </c>
      <c r="D9" s="472"/>
      <c r="E9" s="443"/>
      <c r="F9" s="443"/>
      <c r="G9" s="443"/>
      <c r="H9" s="443"/>
      <c r="I9" s="443"/>
      <c r="J9" s="443"/>
      <c r="K9" s="467"/>
    </row>
    <row r="10" spans="1:13" x14ac:dyDescent="0.35">
      <c r="A10" s="442"/>
      <c r="B10" s="443"/>
      <c r="C10" s="468"/>
      <c r="D10" s="443"/>
      <c r="E10" s="443"/>
      <c r="F10" s="443"/>
      <c r="G10" s="443"/>
      <c r="H10" s="443"/>
      <c r="I10" s="443"/>
      <c r="J10" s="443"/>
      <c r="K10" s="467"/>
    </row>
    <row r="11" spans="1:13" x14ac:dyDescent="0.35">
      <c r="A11" s="442" t="s">
        <v>1200</v>
      </c>
      <c r="B11" s="469"/>
      <c r="C11" s="470">
        <f>'Calculation (short)'!BH14/(1-'7.3 Cost of sales'!C86)</f>
        <v>550648.84167269291</v>
      </c>
      <c r="D11" s="443"/>
      <c r="E11" s="471">
        <f ca="1">'Calculation (short)'!BH24/(1-'7.3 Cost of sales'!D86)*(1+C7)</f>
        <v>696319.95280383294</v>
      </c>
      <c r="F11" s="472"/>
      <c r="G11" s="471">
        <f ca="1">'Calculation (short)'!BH35/(1-'7.3 Cost of sales'!F86)*(1+C7)^2</f>
        <v>920196.00359008182</v>
      </c>
      <c r="H11" s="472"/>
      <c r="I11" s="471">
        <f ca="1">'Calculation (short)'!BH45/(1-'7.3 Cost of sales'!H86)*(1+C7)^3</f>
        <v>1281356.4183934871</v>
      </c>
      <c r="J11" s="472"/>
      <c r="K11" s="470">
        <f ca="1">'Calculation (short)'!BH55/(1-'7.3 Cost of sales'!J86)*(1+C7)^4</f>
        <v>1775061.1616087414</v>
      </c>
    </row>
    <row r="12" spans="1:13" x14ac:dyDescent="0.35">
      <c r="A12" s="473"/>
      <c r="B12" s="474"/>
      <c r="C12" s="475"/>
      <c r="D12" s="476"/>
      <c r="E12" s="477"/>
      <c r="F12" s="476"/>
      <c r="G12" s="477"/>
      <c r="H12" s="476"/>
      <c r="I12" s="477"/>
      <c r="J12" s="476"/>
      <c r="K12" s="475"/>
    </row>
    <row r="13" spans="1:13" ht="18" x14ac:dyDescent="0.35">
      <c r="A13" s="1062" t="s">
        <v>472</v>
      </c>
      <c r="B13" s="1063"/>
      <c r="C13" s="1064"/>
      <c r="D13" s="1065"/>
      <c r="E13" s="1066"/>
      <c r="F13" s="1063"/>
      <c r="G13" s="1066"/>
      <c r="H13" s="1063"/>
      <c r="I13" s="1066"/>
      <c r="J13" s="1063"/>
      <c r="K13" s="1067"/>
    </row>
    <row r="14" spans="1:13" x14ac:dyDescent="0.35">
      <c r="A14" s="442" t="s">
        <v>726</v>
      </c>
      <c r="B14" s="482">
        <f>'9.0 Scenario''s'!D12</f>
        <v>1</v>
      </c>
      <c r="C14" s="483"/>
      <c r="D14" s="484"/>
      <c r="E14" s="485"/>
      <c r="F14" s="472"/>
      <c r="G14" s="485"/>
      <c r="H14" s="472"/>
      <c r="I14" s="485"/>
      <c r="J14" s="472"/>
      <c r="K14" s="468"/>
    </row>
    <row r="15" spans="1:13" x14ac:dyDescent="0.35">
      <c r="A15" s="442" t="s">
        <v>1201</v>
      </c>
      <c r="B15" s="443"/>
      <c r="C15" s="486">
        <f>IF(C11=0,0,C16/C11)</f>
        <v>0.27240591216781379</v>
      </c>
      <c r="D15" s="460"/>
      <c r="E15" s="351">
        <v>0.5</v>
      </c>
      <c r="F15" s="443"/>
      <c r="G15" s="351">
        <v>0.5</v>
      </c>
      <c r="H15" s="443"/>
      <c r="I15" s="351">
        <v>0.5</v>
      </c>
      <c r="J15" s="443"/>
      <c r="K15" s="487">
        <v>0.5</v>
      </c>
    </row>
    <row r="16" spans="1:13" x14ac:dyDescent="0.35">
      <c r="A16" s="442"/>
      <c r="B16" s="443"/>
      <c r="C16" s="250">
        <v>150000</v>
      </c>
      <c r="D16" s="484"/>
      <c r="E16" s="2023"/>
      <c r="F16" s="472"/>
      <c r="G16" s="2023"/>
      <c r="H16" s="472"/>
      <c r="I16" s="2023"/>
      <c r="J16" s="472"/>
      <c r="K16" s="2024"/>
    </row>
    <row r="17" spans="1:12" x14ac:dyDescent="0.35">
      <c r="A17" s="442" t="s">
        <v>1245</v>
      </c>
      <c r="B17" s="443"/>
      <c r="C17" s="483">
        <f>IF(C16&lt;&gt;0,C16,C15*C11*$B$14)</f>
        <v>150000</v>
      </c>
      <c r="D17" s="460"/>
      <c r="E17" s="488">
        <f ca="1">IF(E16&lt;&gt;0,E16,E15*E11*$B$14)</f>
        <v>348159.97640191647</v>
      </c>
      <c r="F17" s="488"/>
      <c r="G17" s="488">
        <f ca="1">IF(G16&lt;&gt;0,G16,G15*G11*$B$14)</f>
        <v>460098.00179504091</v>
      </c>
      <c r="H17" s="488"/>
      <c r="I17" s="488">
        <f ca="1">IF(I16&lt;&gt;0,I16,I15*I11*$B$14)</f>
        <v>640678.20919674356</v>
      </c>
      <c r="J17" s="488"/>
      <c r="K17" s="489">
        <f ca="1">IF(K16&lt;&gt;0,K16,K15*K11*$B$14)</f>
        <v>887530.58080437069</v>
      </c>
    </row>
    <row r="18" spans="1:12" x14ac:dyDescent="0.35">
      <c r="A18" s="442" t="s">
        <v>1203</v>
      </c>
      <c r="B18" s="443"/>
      <c r="C18" s="250">
        <v>50000</v>
      </c>
      <c r="D18" s="460"/>
      <c r="E18" s="234">
        <v>100000</v>
      </c>
      <c r="F18" s="469"/>
      <c r="G18" s="234">
        <v>150000</v>
      </c>
      <c r="H18" s="469"/>
      <c r="I18" s="234">
        <v>200000</v>
      </c>
      <c r="J18" s="469"/>
      <c r="K18" s="250">
        <v>250000</v>
      </c>
    </row>
    <row r="19" spans="1:12" x14ac:dyDescent="0.35">
      <c r="A19" s="442" t="s">
        <v>1146</v>
      </c>
      <c r="B19" s="443"/>
      <c r="C19" s="250">
        <v>0</v>
      </c>
      <c r="D19" s="460"/>
      <c r="E19" s="234">
        <v>13200</v>
      </c>
      <c r="F19" s="469"/>
      <c r="G19" s="234">
        <v>18200</v>
      </c>
      <c r="H19" s="469"/>
      <c r="I19" s="234">
        <v>27600</v>
      </c>
      <c r="J19" s="469"/>
      <c r="K19" s="250">
        <v>32200</v>
      </c>
    </row>
    <row r="20" spans="1:12" x14ac:dyDescent="0.35">
      <c r="A20" s="442" t="s">
        <v>1204</v>
      </c>
      <c r="B20" s="443"/>
      <c r="C20" s="2011">
        <f>'Calculation (short)'!CJ14*C15</f>
        <v>13858.604809455563</v>
      </c>
      <c r="D20" s="484"/>
      <c r="E20" s="2012">
        <f>'Calculation (short)'!CJ24*E15</f>
        <v>36237.19079605263</v>
      </c>
      <c r="F20" s="488"/>
      <c r="G20" s="2012">
        <f>'Calculation (short)'!CJ35*'7.2.2 Turnover Parts'!G15</f>
        <v>54853.585549342119</v>
      </c>
      <c r="H20" s="488"/>
      <c r="I20" s="2012">
        <f>'Calculation (short)'!CJ45*'7.2.2 Turnover Parts'!I15</f>
        <v>77881.343447368417</v>
      </c>
      <c r="J20" s="488"/>
      <c r="K20" s="2011">
        <f>'Calculation (short)'!CJ55*'7.2.2 Turnover Parts'!K15</f>
        <v>102840.14063486841</v>
      </c>
    </row>
    <row r="21" spans="1:12" x14ac:dyDescent="0.35">
      <c r="A21" s="490" t="s">
        <v>1056</v>
      </c>
      <c r="B21" s="460"/>
      <c r="C21" s="491">
        <f>SUM(C17:C20)</f>
        <v>213858.60480945557</v>
      </c>
      <c r="D21" s="492"/>
      <c r="E21" s="493">
        <f ca="1">SUM(E17:E20)</f>
        <v>497597.1671979691</v>
      </c>
      <c r="F21" s="484"/>
      <c r="G21" s="493">
        <f ca="1">SUM(G17:G20)</f>
        <v>683151.58734438301</v>
      </c>
      <c r="H21" s="484"/>
      <c r="I21" s="493">
        <f ca="1">SUM(I17:I20)</f>
        <v>946159.55264411191</v>
      </c>
      <c r="J21" s="484"/>
      <c r="K21" s="491">
        <f ca="1">SUM(K17:K20)</f>
        <v>1272570.7214392391</v>
      </c>
    </row>
    <row r="22" spans="1:12" x14ac:dyDescent="0.35">
      <c r="A22" s="442"/>
      <c r="B22" s="443"/>
      <c r="C22" s="489"/>
      <c r="D22" s="484"/>
      <c r="E22" s="319"/>
      <c r="F22" s="472"/>
      <c r="G22" s="319"/>
      <c r="H22" s="472"/>
      <c r="I22" s="319"/>
      <c r="J22" s="472"/>
      <c r="K22" s="321"/>
    </row>
    <row r="23" spans="1:12" s="1068" customFormat="1" ht="18" x14ac:dyDescent="0.35">
      <c r="A23" s="1058" t="s">
        <v>473</v>
      </c>
      <c r="B23" s="1060"/>
      <c r="C23" s="1060"/>
      <c r="D23" s="1060"/>
      <c r="E23" s="1060"/>
      <c r="F23" s="1060"/>
      <c r="G23" s="1060"/>
      <c r="H23" s="1060"/>
      <c r="I23" s="1060"/>
      <c r="J23" s="1060"/>
      <c r="K23" s="1061"/>
      <c r="L23" s="827"/>
    </row>
    <row r="24" spans="1:12" x14ac:dyDescent="0.35">
      <c r="A24" s="442"/>
      <c r="B24" s="443" t="s">
        <v>1205</v>
      </c>
      <c r="C24" s="467"/>
      <c r="D24" s="443"/>
      <c r="E24" s="443"/>
      <c r="F24" s="443"/>
      <c r="G24" s="443"/>
      <c r="H24" s="443"/>
      <c r="I24" s="443"/>
      <c r="J24" s="443"/>
      <c r="K24" s="467"/>
    </row>
    <row r="25" spans="1:12" x14ac:dyDescent="0.35">
      <c r="A25" s="442"/>
      <c r="B25" s="443" t="s">
        <v>1206</v>
      </c>
      <c r="C25" s="467"/>
      <c r="D25" s="443"/>
      <c r="E25" s="443"/>
      <c r="F25" s="443"/>
      <c r="G25" s="443"/>
      <c r="H25" s="443"/>
      <c r="I25" s="443"/>
      <c r="J25" s="443"/>
      <c r="K25" s="467"/>
    </row>
    <row r="26" spans="1:12" x14ac:dyDescent="0.35">
      <c r="A26" s="442" t="s">
        <v>1207</v>
      </c>
      <c r="B26" s="234">
        <v>4</v>
      </c>
      <c r="C26" s="483">
        <f>$B26*('7.1 Dealer area'!C47+'7.1 Dealer area'!C41)</f>
        <v>116</v>
      </c>
      <c r="D26" s="494" t="str">
        <f>IF(C26&gt;C16,"ERROR"," ")</f>
        <v xml:space="preserve"> </v>
      </c>
      <c r="E26" s="469">
        <f>$B26*('7.1 Dealer area'!E47+'7.1 Dealer area'!E41)</f>
        <v>292</v>
      </c>
      <c r="F26" s="469"/>
      <c r="G26" s="469">
        <f>$B26*('7.1 Dealer area'!G47+'7.1 Dealer area'!G41)</f>
        <v>500</v>
      </c>
      <c r="H26" s="469"/>
      <c r="I26" s="469">
        <f>$B26*('7.1 Dealer area'!I47+'7.1 Dealer area'!I41)</f>
        <v>616</v>
      </c>
      <c r="J26" s="469"/>
      <c r="K26" s="483">
        <f>$B26*('7.1 Dealer area'!K47+'7.1 Dealer area'!K41)</f>
        <v>736</v>
      </c>
    </row>
    <row r="27" spans="1:12" x14ac:dyDescent="0.35">
      <c r="A27" s="442" t="s">
        <v>1208</v>
      </c>
      <c r="B27" s="234">
        <v>0</v>
      </c>
      <c r="C27" s="495">
        <f>$B27*'5.1 DAF Vehicle Parc Input'!K43</f>
        <v>0</v>
      </c>
      <c r="D27" s="494" t="str">
        <f>IF(C27&gt;C18,"ERROR"," ")</f>
        <v xml:space="preserve"> </v>
      </c>
      <c r="E27" s="474">
        <f>$B27*'5.1 DAF Vehicle Parc Input'!M43</f>
        <v>0</v>
      </c>
      <c r="F27" s="469"/>
      <c r="G27" s="474">
        <f>$B27*'5.1 DAF Vehicle Parc Input'!O43</f>
        <v>0</v>
      </c>
      <c r="H27" s="469"/>
      <c r="I27" s="474">
        <f>$B27*'5.1 DAF Vehicle Parc Input'!Q43</f>
        <v>0</v>
      </c>
      <c r="J27" s="469"/>
      <c r="K27" s="495">
        <f>$B27*'5.1 DAF Vehicle Parc Input'!S43</f>
        <v>0</v>
      </c>
    </row>
    <row r="28" spans="1:12" x14ac:dyDescent="0.35">
      <c r="A28" s="490" t="s">
        <v>1056</v>
      </c>
      <c r="B28" s="443"/>
      <c r="C28" s="496">
        <f>+C26+C27</f>
        <v>116</v>
      </c>
      <c r="D28" s="497"/>
      <c r="E28" s="497">
        <f>+E26+E27</f>
        <v>292</v>
      </c>
      <c r="F28" s="497"/>
      <c r="G28" s="497">
        <f>+G26+G27</f>
        <v>500</v>
      </c>
      <c r="H28" s="497"/>
      <c r="I28" s="497">
        <f>+I26+I27</f>
        <v>616</v>
      </c>
      <c r="J28" s="497"/>
      <c r="K28" s="496">
        <f>+K26+K27</f>
        <v>736</v>
      </c>
    </row>
    <row r="29" spans="1:12" x14ac:dyDescent="0.35">
      <c r="A29" s="473"/>
      <c r="B29" s="478"/>
      <c r="C29" s="495"/>
      <c r="D29" s="474"/>
      <c r="E29" s="474"/>
      <c r="F29" s="474"/>
      <c r="G29" s="474"/>
      <c r="H29" s="474"/>
      <c r="I29" s="474"/>
      <c r="J29" s="474"/>
      <c r="K29" s="495"/>
    </row>
    <row r="30" spans="1:12" ht="18" x14ac:dyDescent="0.35">
      <c r="A30" s="1058" t="s">
        <v>474</v>
      </c>
      <c r="B30" s="1060"/>
      <c r="C30" s="1069"/>
      <c r="D30" s="1070"/>
      <c r="E30" s="1071"/>
      <c r="F30" s="1060"/>
      <c r="G30" s="1071"/>
      <c r="H30" s="1060"/>
      <c r="I30" s="1071"/>
      <c r="J30" s="1060"/>
      <c r="K30" s="1072"/>
    </row>
    <row r="31" spans="1:12" x14ac:dyDescent="0.35">
      <c r="A31" s="442"/>
      <c r="B31" s="443"/>
      <c r="C31" s="489"/>
      <c r="D31" s="460"/>
      <c r="E31" s="498"/>
      <c r="F31" s="443"/>
      <c r="G31" s="498"/>
      <c r="H31" s="443"/>
      <c r="I31" s="498"/>
      <c r="J31" s="443"/>
      <c r="K31" s="499"/>
    </row>
    <row r="32" spans="1:12" x14ac:dyDescent="0.35">
      <c r="A32" s="500" t="s">
        <v>1209</v>
      </c>
      <c r="B32" s="443"/>
      <c r="C32" s="489"/>
      <c r="D32" s="460"/>
      <c r="E32" s="498"/>
      <c r="F32" s="443"/>
      <c r="G32" s="498"/>
      <c r="H32" s="443"/>
      <c r="I32" s="498"/>
      <c r="J32" s="443"/>
      <c r="K32" s="499"/>
    </row>
    <row r="33" spans="1:11" x14ac:dyDescent="0.35">
      <c r="A33" s="501" t="s">
        <v>1202</v>
      </c>
      <c r="B33" s="443"/>
      <c r="C33" s="502">
        <v>0.35</v>
      </c>
      <c r="D33" s="482"/>
      <c r="E33" s="503">
        <v>0.4</v>
      </c>
      <c r="F33" s="504"/>
      <c r="G33" s="503">
        <v>0.5</v>
      </c>
      <c r="H33" s="505"/>
      <c r="I33" s="503">
        <v>0.6</v>
      </c>
      <c r="J33" s="505"/>
      <c r="K33" s="506">
        <v>0.7</v>
      </c>
    </row>
    <row r="34" spans="1:11" x14ac:dyDescent="0.35">
      <c r="A34" s="501" t="s">
        <v>636</v>
      </c>
      <c r="B34" s="443"/>
      <c r="C34" s="502">
        <v>0.05</v>
      </c>
      <c r="D34" s="507"/>
      <c r="E34" s="503">
        <v>0.1</v>
      </c>
      <c r="F34" s="504"/>
      <c r="G34" s="503">
        <v>0.1</v>
      </c>
      <c r="H34" s="505"/>
      <c r="I34" s="503">
        <v>0.15</v>
      </c>
      <c r="J34" s="505"/>
      <c r="K34" s="506">
        <v>0.15</v>
      </c>
    </row>
    <row r="35" spans="1:11" x14ac:dyDescent="0.35">
      <c r="A35" s="500" t="s">
        <v>200</v>
      </c>
      <c r="B35" s="443"/>
      <c r="C35" s="489"/>
      <c r="D35" s="460"/>
      <c r="E35" s="498"/>
      <c r="F35" s="443"/>
      <c r="G35" s="498"/>
      <c r="H35" s="443"/>
      <c r="I35" s="498"/>
      <c r="J35" s="443"/>
      <c r="K35" s="499"/>
    </row>
    <row r="36" spans="1:11" x14ac:dyDescent="0.35">
      <c r="A36" s="501" t="s">
        <v>1212</v>
      </c>
      <c r="B36" s="443"/>
      <c r="C36" s="489">
        <f>C33*C17</f>
        <v>52500</v>
      </c>
      <c r="D36" s="460"/>
      <c r="E36" s="488">
        <f ca="1">E33*E17</f>
        <v>139263.9905607666</v>
      </c>
      <c r="F36" s="443"/>
      <c r="G36" s="488">
        <f ca="1">G33*G17</f>
        <v>230049.00089752045</v>
      </c>
      <c r="H36" s="443"/>
      <c r="I36" s="488">
        <f ca="1">I33*I17</f>
        <v>384406.92551804613</v>
      </c>
      <c r="J36" s="443"/>
      <c r="K36" s="489">
        <f ca="1">K33*K17</f>
        <v>621271.40656305943</v>
      </c>
    </row>
    <row r="37" spans="1:11" x14ac:dyDescent="0.35">
      <c r="A37" s="501" t="s">
        <v>637</v>
      </c>
      <c r="B37" s="443"/>
      <c r="C37" s="508">
        <f>C34*C18</f>
        <v>2500</v>
      </c>
      <c r="D37" s="460"/>
      <c r="E37" s="509">
        <f>E34*E18</f>
        <v>10000</v>
      </c>
      <c r="F37" s="443"/>
      <c r="G37" s="509">
        <f>G34*G18</f>
        <v>15000</v>
      </c>
      <c r="H37" s="443"/>
      <c r="I37" s="509">
        <f>I34*I18</f>
        <v>30000</v>
      </c>
      <c r="J37" s="443"/>
      <c r="K37" s="508">
        <f>K34*K18</f>
        <v>37500</v>
      </c>
    </row>
    <row r="38" spans="1:11" x14ac:dyDescent="0.35">
      <c r="A38" s="501" t="s">
        <v>1214</v>
      </c>
      <c r="B38" s="443"/>
      <c r="C38" s="489">
        <f>SUM(C36:C37)</f>
        <v>55000</v>
      </c>
      <c r="D38" s="460"/>
      <c r="E38" s="488">
        <f ca="1">SUM(E36:E37)</f>
        <v>149263.9905607666</v>
      </c>
      <c r="F38" s="443"/>
      <c r="G38" s="488">
        <f ca="1">SUM(G36:G37)</f>
        <v>245049.00089752045</v>
      </c>
      <c r="H38" s="443"/>
      <c r="I38" s="488">
        <f ca="1">SUM(I36:I37)</f>
        <v>414406.92551804613</v>
      </c>
      <c r="J38" s="443"/>
      <c r="K38" s="510">
        <f ca="1">SUM(K36:K37)</f>
        <v>658771.40656305943</v>
      </c>
    </row>
    <row r="39" spans="1:11" x14ac:dyDescent="0.35">
      <c r="A39" s="442"/>
      <c r="B39" s="443"/>
      <c r="C39" s="489"/>
      <c r="D39" s="460"/>
      <c r="E39" s="498"/>
      <c r="F39" s="443"/>
      <c r="G39" s="498"/>
      <c r="H39" s="443"/>
      <c r="I39" s="498"/>
      <c r="J39" s="443"/>
      <c r="K39" s="499"/>
    </row>
    <row r="40" spans="1:11" x14ac:dyDescent="0.35">
      <c r="A40" s="442" t="s">
        <v>501</v>
      </c>
      <c r="B40" s="443"/>
      <c r="C40" s="511">
        <v>0.65</v>
      </c>
      <c r="D40" s="460"/>
      <c r="E40" s="235">
        <v>0.6</v>
      </c>
      <c r="F40" s="443"/>
      <c r="G40" s="235">
        <v>0.5</v>
      </c>
      <c r="H40" s="443"/>
      <c r="I40" s="235">
        <v>0.4</v>
      </c>
      <c r="J40" s="443"/>
      <c r="K40" s="511">
        <v>0.3</v>
      </c>
    </row>
    <row r="41" spans="1:11" x14ac:dyDescent="0.35">
      <c r="A41" s="442" t="s">
        <v>502</v>
      </c>
      <c r="B41" s="443"/>
      <c r="C41" s="489">
        <f>(1-C33)*C40*C16*$B$14</f>
        <v>63375.000000000007</v>
      </c>
      <c r="D41" s="460"/>
      <c r="E41" s="469">
        <f ca="1">(1-E33)*E40*E17*$B$14</f>
        <v>125337.59150468993</v>
      </c>
      <c r="F41" s="443"/>
      <c r="G41" s="469">
        <f ca="1">(1-G33)*G40*G17*$B$14</f>
        <v>115024.50044876023</v>
      </c>
      <c r="H41" s="443"/>
      <c r="I41" s="469">
        <f ca="1">(1-I33)*I40*I17*$B$14</f>
        <v>102508.51347147899</v>
      </c>
      <c r="J41" s="443"/>
      <c r="K41" s="489">
        <f ca="1">(1-K33)*K40*K17*$B$14</f>
        <v>79877.752272393365</v>
      </c>
    </row>
    <row r="42" spans="1:11" x14ac:dyDescent="0.35">
      <c r="A42" s="442" t="s">
        <v>503</v>
      </c>
      <c r="B42" s="443"/>
      <c r="C42" s="489">
        <f>(1-C33)*(1-C40)*C17</f>
        <v>34125</v>
      </c>
      <c r="D42" s="460"/>
      <c r="E42" s="488">
        <f ca="1">(1-E33)*(1-E40)*E17</f>
        <v>83558.394336459955</v>
      </c>
      <c r="F42" s="443"/>
      <c r="G42" s="488">
        <f ca="1">(1-G33)*(1-G40)*G17</f>
        <v>115024.50044876023</v>
      </c>
      <c r="H42" s="443"/>
      <c r="I42" s="488">
        <f ca="1">(1-I33)*(1-I40)*I17</f>
        <v>153762.77020721845</v>
      </c>
      <c r="J42" s="443"/>
      <c r="K42" s="489">
        <f ca="1">(1-K33)*(1-K40)*K17</f>
        <v>186381.42196891786</v>
      </c>
    </row>
    <row r="43" spans="1:11" x14ac:dyDescent="0.35">
      <c r="A43" s="442" t="s">
        <v>1210</v>
      </c>
      <c r="B43" s="443"/>
      <c r="C43" s="508">
        <f>(1-C34)*C18</f>
        <v>47500</v>
      </c>
      <c r="D43" s="460"/>
      <c r="E43" s="509">
        <f>(1-E34)*E18</f>
        <v>90000</v>
      </c>
      <c r="F43" s="443"/>
      <c r="G43" s="509">
        <f>(1-G34)*G18</f>
        <v>135000</v>
      </c>
      <c r="H43" s="443"/>
      <c r="I43" s="509">
        <f>(1-I34)*I18</f>
        <v>170000</v>
      </c>
      <c r="J43" s="443"/>
      <c r="K43" s="508">
        <f>(1-K34)*K18</f>
        <v>212500</v>
      </c>
    </row>
    <row r="44" spans="1:11" x14ac:dyDescent="0.35">
      <c r="A44" s="442" t="s">
        <v>1211</v>
      </c>
      <c r="B44" s="443"/>
      <c r="C44" s="489">
        <f>SUM(C41:C43)</f>
        <v>145000</v>
      </c>
      <c r="D44" s="460"/>
      <c r="E44" s="488">
        <f ca="1">SUM(E41:E43)</f>
        <v>298895.98584114987</v>
      </c>
      <c r="F44" s="443"/>
      <c r="G44" s="488">
        <f ca="1">SUM(G41:G43)</f>
        <v>365049.00089752045</v>
      </c>
      <c r="H44" s="443"/>
      <c r="I44" s="488">
        <f ca="1">SUM(I41:I43)</f>
        <v>426271.28367869742</v>
      </c>
      <c r="J44" s="443"/>
      <c r="K44" s="489">
        <f ca="1">SUM(K41:K43)</f>
        <v>478759.17424131121</v>
      </c>
    </row>
    <row r="45" spans="1:11" x14ac:dyDescent="0.35">
      <c r="A45" s="473"/>
      <c r="B45" s="478"/>
      <c r="C45" s="495"/>
      <c r="D45" s="479"/>
      <c r="E45" s="480"/>
      <c r="F45" s="478"/>
      <c r="G45" s="480"/>
      <c r="H45" s="478"/>
      <c r="I45" s="480"/>
      <c r="J45" s="478"/>
      <c r="K45" s="481"/>
    </row>
    <row r="46" spans="1:11" x14ac:dyDescent="0.35">
      <c r="A46" s="443"/>
      <c r="B46" s="443"/>
      <c r="C46" s="469"/>
      <c r="D46" s="460"/>
      <c r="E46" s="498"/>
      <c r="F46" s="443"/>
      <c r="G46" s="498"/>
      <c r="H46" s="443"/>
      <c r="I46" s="498"/>
      <c r="J46" s="443"/>
      <c r="K46" s="498"/>
    </row>
    <row r="47" spans="1:11" ht="18" x14ac:dyDescent="0.35">
      <c r="A47" s="1058" t="s">
        <v>320</v>
      </c>
      <c r="B47" s="1060"/>
      <c r="C47" s="1060"/>
      <c r="D47" s="1060"/>
      <c r="E47" s="1060"/>
      <c r="F47" s="1060"/>
      <c r="G47" s="1060"/>
      <c r="H47" s="1060"/>
      <c r="I47" s="1060"/>
      <c r="J47" s="1060"/>
      <c r="K47" s="1061"/>
    </row>
    <row r="48" spans="1:11" x14ac:dyDescent="0.35">
      <c r="A48" s="442"/>
      <c r="B48" s="443"/>
      <c r="C48" s="467"/>
      <c r="D48" s="443"/>
      <c r="E48" s="443"/>
      <c r="F48" s="443"/>
      <c r="G48" s="443"/>
      <c r="H48" s="443"/>
      <c r="I48" s="443"/>
      <c r="J48" s="443"/>
      <c r="K48" s="467"/>
    </row>
    <row r="49" spans="1:12" x14ac:dyDescent="0.35">
      <c r="A49" s="442" t="s">
        <v>324</v>
      </c>
      <c r="B49" s="443"/>
      <c r="C49" s="250">
        <v>200000</v>
      </c>
      <c r="D49" s="469"/>
      <c r="E49" s="234">
        <v>200000</v>
      </c>
      <c r="F49" s="469"/>
      <c r="G49" s="234">
        <v>200000</v>
      </c>
      <c r="H49" s="469"/>
      <c r="I49" s="234">
        <v>200000</v>
      </c>
      <c r="J49" s="469"/>
      <c r="K49" s="250">
        <v>200000</v>
      </c>
    </row>
    <row r="50" spans="1:12" x14ac:dyDescent="0.35">
      <c r="A50" s="442"/>
      <c r="B50" s="443"/>
      <c r="C50" s="467"/>
      <c r="D50" s="443"/>
      <c r="E50" s="443"/>
      <c r="F50" s="443"/>
      <c r="G50" s="443"/>
      <c r="H50" s="443"/>
      <c r="I50" s="443"/>
      <c r="J50" s="443"/>
      <c r="K50" s="467"/>
    </row>
    <row r="51" spans="1:12" x14ac:dyDescent="0.35">
      <c r="A51" s="442" t="s">
        <v>321</v>
      </c>
      <c r="B51" s="443"/>
      <c r="C51" s="512">
        <f>IF(C49=0,0,C21/C49)</f>
        <v>1.0692930240472778</v>
      </c>
      <c r="D51" s="513"/>
      <c r="E51" s="513">
        <f ca="1">IF(E49=0,0,E21/E49)</f>
        <v>2.4879858359898455</v>
      </c>
      <c r="F51" s="513"/>
      <c r="G51" s="513">
        <f ca="1">IF(G49=0,0,G21/G49)</f>
        <v>3.4157579367219149</v>
      </c>
      <c r="H51" s="513"/>
      <c r="I51" s="513">
        <f ca="1">IF(I49=0,0,I21/I49)</f>
        <v>4.7307977632205596</v>
      </c>
      <c r="J51" s="513"/>
      <c r="K51" s="512">
        <f ca="1">IF(K49=0,0,K21/K49)</f>
        <v>6.3628536071961959</v>
      </c>
    </row>
    <row r="52" spans="1:12" x14ac:dyDescent="0.35">
      <c r="A52" s="442"/>
      <c r="B52" s="443"/>
      <c r="C52" s="467"/>
      <c r="D52" s="443"/>
      <c r="E52" s="443"/>
      <c r="F52" s="443"/>
      <c r="G52" s="443"/>
      <c r="H52" s="443"/>
      <c r="I52" s="443"/>
      <c r="J52" s="443"/>
      <c r="K52" s="467"/>
    </row>
    <row r="53" spans="1:12" x14ac:dyDescent="0.35">
      <c r="A53" s="442" t="s">
        <v>1215</v>
      </c>
      <c r="B53" s="443"/>
      <c r="C53" s="430">
        <v>1</v>
      </c>
      <c r="D53" s="514"/>
      <c r="E53" s="431">
        <v>4</v>
      </c>
      <c r="F53" s="514"/>
      <c r="G53" s="431">
        <v>2</v>
      </c>
      <c r="H53" s="514"/>
      <c r="I53" s="431">
        <v>2</v>
      </c>
      <c r="J53" s="514"/>
      <c r="K53" s="430">
        <v>2</v>
      </c>
    </row>
    <row r="54" spans="1:12" x14ac:dyDescent="0.35">
      <c r="A54" s="442" t="s">
        <v>322</v>
      </c>
      <c r="B54" s="443"/>
      <c r="C54" s="430">
        <v>1</v>
      </c>
      <c r="D54" s="514"/>
      <c r="E54" s="431">
        <v>3</v>
      </c>
      <c r="F54" s="514"/>
      <c r="G54" s="431">
        <v>3</v>
      </c>
      <c r="H54" s="514"/>
      <c r="I54" s="431">
        <v>3</v>
      </c>
      <c r="J54" s="514"/>
      <c r="K54" s="430">
        <v>3</v>
      </c>
    </row>
    <row r="55" spans="1:12" x14ac:dyDescent="0.35">
      <c r="A55" s="442" t="s">
        <v>1216</v>
      </c>
      <c r="B55" s="443"/>
      <c r="C55" s="430">
        <v>0</v>
      </c>
      <c r="D55" s="514"/>
      <c r="E55" s="431">
        <v>1</v>
      </c>
      <c r="F55" s="514"/>
      <c r="G55" s="431">
        <v>1</v>
      </c>
      <c r="H55" s="514"/>
      <c r="I55" s="431">
        <v>1</v>
      </c>
      <c r="J55" s="514"/>
      <c r="K55" s="430">
        <v>1</v>
      </c>
    </row>
    <row r="56" spans="1:12" x14ac:dyDescent="0.35">
      <c r="A56" s="442" t="s">
        <v>1217</v>
      </c>
      <c r="B56" s="443"/>
      <c r="C56" s="430">
        <v>1</v>
      </c>
      <c r="D56" s="514"/>
      <c r="E56" s="431">
        <v>1</v>
      </c>
      <c r="F56" s="514"/>
      <c r="G56" s="431">
        <v>1</v>
      </c>
      <c r="H56" s="514"/>
      <c r="I56" s="431">
        <v>1</v>
      </c>
      <c r="J56" s="514"/>
      <c r="K56" s="430">
        <v>1</v>
      </c>
    </row>
    <row r="57" spans="1:12" x14ac:dyDescent="0.35">
      <c r="A57" s="442" t="s">
        <v>323</v>
      </c>
      <c r="B57" s="443"/>
      <c r="C57" s="515">
        <f>SUM(C53:C56)</f>
        <v>3</v>
      </c>
      <c r="D57" s="514"/>
      <c r="E57" s="515">
        <f>SUM(E53:E56)</f>
        <v>9</v>
      </c>
      <c r="F57" s="514"/>
      <c r="G57" s="515">
        <f>SUM(G53:G56)</f>
        <v>7</v>
      </c>
      <c r="H57" s="514"/>
      <c r="I57" s="515">
        <f>SUM(I53:I56)</f>
        <v>7</v>
      </c>
      <c r="J57" s="514"/>
      <c r="K57" s="515">
        <f>SUM(K53:K56)</f>
        <v>7</v>
      </c>
    </row>
    <row r="58" spans="1:12" x14ac:dyDescent="0.35">
      <c r="A58" s="473"/>
      <c r="B58" s="478"/>
      <c r="C58" s="516"/>
      <c r="D58" s="478"/>
      <c r="E58" s="478"/>
      <c r="F58" s="478"/>
      <c r="G58" s="478"/>
      <c r="H58" s="478"/>
      <c r="I58" s="478"/>
      <c r="J58" s="478"/>
      <c r="K58" s="516"/>
    </row>
    <row r="59" spans="1:12" x14ac:dyDescent="0.35">
      <c r="A59" s="443"/>
      <c r="B59" s="443"/>
      <c r="C59" s="443"/>
      <c r="D59" s="443"/>
      <c r="E59" s="443"/>
      <c r="F59" s="443"/>
      <c r="G59" s="443"/>
      <c r="H59" s="443"/>
      <c r="I59" s="443"/>
      <c r="J59" s="443"/>
      <c r="K59" s="443"/>
    </row>
    <row r="60" spans="1:12" s="1068" customFormat="1" ht="18" x14ac:dyDescent="0.35">
      <c r="A60" s="1058" t="s">
        <v>496</v>
      </c>
      <c r="B60" s="1060"/>
      <c r="C60" s="1060"/>
      <c r="D60" s="1060"/>
      <c r="E60" s="1060"/>
      <c r="F60" s="1060"/>
      <c r="G60" s="1060"/>
      <c r="H60" s="1060"/>
      <c r="I60" s="1060"/>
      <c r="J60" s="1060"/>
      <c r="K60" s="1061"/>
      <c r="L60" s="827"/>
    </row>
    <row r="61" spans="1:12" ht="18" x14ac:dyDescent="0.35">
      <c r="A61" s="1073" t="s">
        <v>1218</v>
      </c>
      <c r="B61" s="1074"/>
      <c r="C61" s="1074"/>
      <c r="D61" s="1074"/>
      <c r="E61" s="1074"/>
      <c r="F61" s="1074"/>
      <c r="G61" s="1074"/>
      <c r="H61" s="1074"/>
      <c r="I61" s="1074"/>
      <c r="J61" s="1074"/>
      <c r="K61" s="1075"/>
    </row>
    <row r="62" spans="1:12" x14ac:dyDescent="0.35">
      <c r="A62" s="519"/>
      <c r="B62" s="517"/>
      <c r="C62" s="518"/>
      <c r="D62" s="517"/>
      <c r="E62" s="517"/>
      <c r="F62" s="517"/>
      <c r="G62" s="517"/>
      <c r="H62" s="517"/>
      <c r="I62" s="517"/>
      <c r="J62" s="517"/>
      <c r="K62" s="518"/>
    </row>
    <row r="63" spans="1:12" x14ac:dyDescent="0.35">
      <c r="A63" s="442" t="s">
        <v>0</v>
      </c>
      <c r="B63" s="443"/>
      <c r="C63" s="430">
        <v>2</v>
      </c>
      <c r="D63" s="514"/>
      <c r="E63" s="431">
        <v>2</v>
      </c>
      <c r="F63" s="514"/>
      <c r="G63" s="431">
        <v>2</v>
      </c>
      <c r="H63" s="514"/>
      <c r="I63" s="431">
        <v>2</v>
      </c>
      <c r="J63" s="514"/>
      <c r="K63" s="430">
        <v>2</v>
      </c>
    </row>
    <row r="64" spans="1:12" x14ac:dyDescent="0.35">
      <c r="A64" s="442" t="s">
        <v>1</v>
      </c>
      <c r="B64" s="443"/>
      <c r="C64" s="520">
        <f>IF(C63=0,0,12/C63)</f>
        <v>6</v>
      </c>
      <c r="D64" s="514"/>
      <c r="E64" s="514">
        <f>IF(E63=0,0,12/E63)</f>
        <v>6</v>
      </c>
      <c r="F64" s="514"/>
      <c r="G64" s="514">
        <f>IF(G63=0,0,12/G63)</f>
        <v>6</v>
      </c>
      <c r="H64" s="514"/>
      <c r="I64" s="514">
        <f>IF(I63=0,0,12/I63)</f>
        <v>6</v>
      </c>
      <c r="J64" s="514"/>
      <c r="K64" s="520">
        <f>IF(K63=0,0,12/K63)</f>
        <v>6</v>
      </c>
    </row>
    <row r="65" spans="1:12" x14ac:dyDescent="0.35">
      <c r="A65" s="442" t="s">
        <v>2</v>
      </c>
      <c r="B65" s="443"/>
      <c r="C65" s="483">
        <f>IF(C63=0,0,C21/C63)</f>
        <v>106929.30240472779</v>
      </c>
      <c r="D65" s="443"/>
      <c r="E65" s="469">
        <f ca="1">IF(E63=0,0,E21/E63)</f>
        <v>248798.58359898455</v>
      </c>
      <c r="F65" s="469"/>
      <c r="G65" s="469">
        <f ca="1">IF(G63=0,0,G21/G63)</f>
        <v>341575.7936721915</v>
      </c>
      <c r="H65" s="469"/>
      <c r="I65" s="469">
        <f ca="1">IF(I63=0,0,I21/I63)</f>
        <v>473079.77632205596</v>
      </c>
      <c r="J65" s="469"/>
      <c r="K65" s="483">
        <f ca="1">IF(K63=0,0,K21/K63)</f>
        <v>636285.36071961955</v>
      </c>
    </row>
    <row r="66" spans="1:12" x14ac:dyDescent="0.35">
      <c r="A66" s="473"/>
      <c r="B66" s="478"/>
      <c r="C66" s="516"/>
      <c r="D66" s="478"/>
      <c r="E66" s="478"/>
      <c r="F66" s="478"/>
      <c r="G66" s="478"/>
      <c r="H66" s="478"/>
      <c r="I66" s="478"/>
      <c r="J66" s="478"/>
      <c r="K66" s="516"/>
    </row>
    <row r="67" spans="1:12" ht="18" x14ac:dyDescent="0.35">
      <c r="A67" s="1076" t="s">
        <v>497</v>
      </c>
      <c r="B67" s="1035"/>
      <c r="C67" s="1035"/>
      <c r="D67" s="1035"/>
      <c r="E67" s="1035"/>
      <c r="F67" s="1035"/>
      <c r="G67" s="1035"/>
      <c r="H67" s="1035"/>
      <c r="I67" s="1035"/>
      <c r="J67" s="1035"/>
      <c r="K67" s="1036"/>
    </row>
    <row r="68" spans="1:12" x14ac:dyDescent="0.35">
      <c r="A68" s="442"/>
      <c r="B68" s="521" t="s">
        <v>3</v>
      </c>
      <c r="C68" s="467"/>
      <c r="D68" s="443"/>
      <c r="E68" s="443"/>
      <c r="F68" s="443"/>
      <c r="G68" s="443"/>
      <c r="H68" s="443"/>
      <c r="I68" s="443"/>
      <c r="J68" s="443"/>
      <c r="K68" s="467"/>
    </row>
    <row r="69" spans="1:12" x14ac:dyDescent="0.35">
      <c r="A69" s="442"/>
      <c r="B69" s="521" t="s">
        <v>4</v>
      </c>
      <c r="C69" s="445"/>
      <c r="D69" s="443"/>
      <c r="E69" s="522"/>
      <c r="F69" s="523"/>
      <c r="G69" s="522"/>
      <c r="H69" s="522"/>
      <c r="I69" s="522"/>
      <c r="J69" s="522"/>
      <c r="K69" s="524"/>
    </row>
    <row r="70" spans="1:12" x14ac:dyDescent="0.35">
      <c r="A70" s="442"/>
      <c r="B70" s="521"/>
      <c r="C70" s="445"/>
      <c r="D70" s="443"/>
      <c r="E70" s="522"/>
      <c r="F70" s="523"/>
      <c r="G70" s="522"/>
      <c r="H70" s="522"/>
      <c r="I70" s="522"/>
      <c r="J70" s="522"/>
      <c r="K70" s="524"/>
    </row>
    <row r="71" spans="1:12" x14ac:dyDescent="0.35">
      <c r="A71" s="525" t="s">
        <v>5</v>
      </c>
      <c r="B71" s="526">
        <f>IF(B72=0,0,B72)</f>
        <v>0.2349756105115596</v>
      </c>
      <c r="C71" s="250">
        <v>50000</v>
      </c>
      <c r="D71" s="443"/>
      <c r="E71" s="469">
        <f>('7.2.2 Turnover Parts'!C65-'7.4.3 Inv. &amp; Depr.'!D129)/(1+B72)</f>
        <v>73523.964062023777</v>
      </c>
      <c r="F71" s="443"/>
      <c r="G71" s="469">
        <f ca="1">('7.2.2 Turnover Parts'!$E$65-'7.4.3 Inv. &amp; Depr.'!$F$129)/(1+$B$72)</f>
        <v>201460.32154912403</v>
      </c>
      <c r="H71" s="443"/>
      <c r="I71" s="469">
        <f ca="1">('7.2.2 Turnover Parts'!$G$65-'7.4.3 Inv. &amp; Depr.'!$H$129)/(1+$B$72)</f>
        <v>276585.05217823834</v>
      </c>
      <c r="J71" s="443"/>
      <c r="K71" s="483">
        <f ca="1">('7.2.2 Turnover Parts'!$I$65-'7.4.3 Inv. &amp; Depr.'!$J$129)/(1+$B$72)</f>
        <v>383068.11267802591</v>
      </c>
    </row>
    <row r="72" spans="1:12" x14ac:dyDescent="0.35">
      <c r="A72" s="525" t="s">
        <v>6</v>
      </c>
      <c r="B72" s="526">
        <f>IF('7.3 Cost of sales'!C85=0,0,('7.3 Cost of sales'!B76*'7.3 Cost of sales'!C76+'7.3 Cost of sales'!B77*'7.3 Cost of sales'!C77+'7.3 Cost of sales'!B78*'7.3 Cost of sales'!C78+'7.3 Cost of sales'!B79*'7.3 Cost of sales'!C79+'7.3 Cost of sales'!B80*'7.3 Cost of sales'!C80+'7.3 Cost of sales'!B81*'7.3 Cost of sales'!C81+'7.3 Cost of sales'!B82*'7.3 Cost of sales'!C82+'7.3 Cost of sales'!B83*'7.3 Cost of sales'!C83+'7.3 Cost of sales'!B84*'7.3 Cost of sales'!C84)/'7.3 Cost of sales'!C85+IF('7.3 Cost of sales'!C85=0,0))</f>
        <v>0.2349756105115596</v>
      </c>
      <c r="C72" s="495">
        <f>('7.2.2 Turnover Parts'!C65-'7.4.3 Inv. &amp; Depr.'!D129)/(1+B72)</f>
        <v>73523.964062023777</v>
      </c>
      <c r="D72" s="443"/>
      <c r="E72" s="474">
        <f ca="1">('7.2.2 Turnover Parts'!$E$65-'7.4.3 Inv. &amp; Depr.'!$F$129)/(1+$B$72)</f>
        <v>201460.32154912403</v>
      </c>
      <c r="F72" s="443"/>
      <c r="G72" s="474">
        <f ca="1">('7.2.2 Turnover Parts'!$G$65-'7.4.3 Inv. &amp; Depr.'!$H$129)/(1+$B$72)</f>
        <v>276585.05217823834</v>
      </c>
      <c r="H72" s="443"/>
      <c r="I72" s="474">
        <f ca="1">('7.2.2 Turnover Parts'!$I$65-'7.4.3 Inv. &amp; Depr.'!$J$129)/(1+$B$72)</f>
        <v>383068.11267802591</v>
      </c>
      <c r="J72" s="443"/>
      <c r="K72" s="495">
        <f ca="1">('7.2.2 Turnover Parts'!K65-'7.4.3 Inv. &amp; Depr.'!L129)/(1+B72)</f>
        <v>515220.99327617756</v>
      </c>
    </row>
    <row r="73" spans="1:12" x14ac:dyDescent="0.35">
      <c r="A73" s="527" t="s">
        <v>7</v>
      </c>
      <c r="B73" s="460"/>
      <c r="C73" s="496">
        <f>+C72-C71</f>
        <v>23523.964062023777</v>
      </c>
      <c r="D73" s="460"/>
      <c r="E73" s="497">
        <f ca="1">+E72-E71</f>
        <v>127936.35748710025</v>
      </c>
      <c r="F73" s="460"/>
      <c r="G73" s="497">
        <f ca="1">+G72-G71</f>
        <v>75124.730629114318</v>
      </c>
      <c r="H73" s="460"/>
      <c r="I73" s="497">
        <f ca="1">+I72-I71</f>
        <v>106483.06049978756</v>
      </c>
      <c r="J73" s="460"/>
      <c r="K73" s="496">
        <f ca="1">+K72-K71</f>
        <v>132152.88059815165</v>
      </c>
    </row>
    <row r="74" spans="1:12" x14ac:dyDescent="0.35">
      <c r="A74" s="473"/>
      <c r="B74" s="478"/>
      <c r="C74" s="516"/>
      <c r="D74" s="478"/>
      <c r="E74" s="478"/>
      <c r="F74" s="478"/>
      <c r="G74" s="478"/>
      <c r="H74" s="478"/>
      <c r="I74" s="478"/>
      <c r="J74" s="478"/>
      <c r="K74" s="516"/>
    </row>
    <row r="75" spans="1:12" ht="18" x14ac:dyDescent="0.35">
      <c r="A75" s="1076" t="s">
        <v>8</v>
      </c>
      <c r="B75" s="1035"/>
      <c r="C75" s="1035"/>
      <c r="D75" s="1035"/>
      <c r="E75" s="1035"/>
      <c r="F75" s="1035"/>
      <c r="G75" s="1035"/>
      <c r="H75" s="1035"/>
      <c r="I75" s="1035"/>
      <c r="J75" s="1035"/>
      <c r="K75" s="1036"/>
    </row>
    <row r="76" spans="1:12" x14ac:dyDescent="0.35">
      <c r="A76" s="442"/>
      <c r="B76" s="443"/>
      <c r="C76" s="467"/>
      <c r="D76" s="443"/>
      <c r="E76" s="443"/>
      <c r="F76" s="443"/>
      <c r="G76" s="443"/>
      <c r="H76" s="443"/>
      <c r="I76" s="443"/>
      <c r="J76" s="443"/>
      <c r="K76" s="467"/>
    </row>
    <row r="77" spans="1:12" x14ac:dyDescent="0.35">
      <c r="A77" s="442" t="s">
        <v>9</v>
      </c>
      <c r="B77" s="443"/>
      <c r="C77" s="483">
        <f>C72-C71+'7.3 Cost of sales'!C85</f>
        <v>181219.92694769712</v>
      </c>
      <c r="D77" s="443"/>
      <c r="E77" s="469">
        <f ca="1">E72-E71+'7.3 Cost of sales'!E85</f>
        <v>490520.4561540159</v>
      </c>
      <c r="F77" s="443"/>
      <c r="G77" s="469">
        <f ca="1">G72-G71+'7.3 Cost of sales'!G85</f>
        <v>578688.03317037225</v>
      </c>
      <c r="H77" s="443"/>
      <c r="I77" s="469">
        <f ca="1">I72-I71+'7.3 Cost of sales'!I85</f>
        <v>801983.84882199438</v>
      </c>
      <c r="J77" s="443"/>
      <c r="K77" s="483">
        <f ca="1">K72-K71+'7.3 Cost of sales'!K85</f>
        <v>1066362.2128300667</v>
      </c>
    </row>
    <row r="78" spans="1:12" x14ac:dyDescent="0.35">
      <c r="A78" s="473"/>
      <c r="B78" s="478"/>
      <c r="C78" s="516"/>
      <c r="D78" s="478"/>
      <c r="E78" s="478"/>
      <c r="F78" s="478"/>
      <c r="G78" s="478"/>
      <c r="H78" s="478"/>
      <c r="I78" s="478"/>
      <c r="J78" s="478"/>
      <c r="K78" s="516"/>
    </row>
    <row r="79" spans="1:12" s="443" customFormat="1" hidden="1" x14ac:dyDescent="0.35">
      <c r="B79" s="472"/>
      <c r="C79" s="472"/>
      <c r="D79" s="472"/>
      <c r="E79" s="472"/>
      <c r="F79" s="472"/>
      <c r="G79" s="472"/>
      <c r="H79" s="472"/>
      <c r="I79" s="472"/>
      <c r="J79" s="472"/>
      <c r="K79" s="472"/>
      <c r="L79" s="53"/>
    </row>
    <row r="80" spans="1:12" s="443" customFormat="1" hidden="1" x14ac:dyDescent="0.35">
      <c r="C80" s="469"/>
      <c r="E80" s="469"/>
      <c r="F80" s="469"/>
      <c r="G80" s="469"/>
      <c r="H80" s="469"/>
      <c r="I80" s="469"/>
      <c r="J80" s="469"/>
      <c r="K80" s="469"/>
      <c r="L80" s="53"/>
    </row>
    <row r="81" spans="3:12" s="443" customFormat="1" hidden="1" x14ac:dyDescent="0.35">
      <c r="L81" s="53"/>
    </row>
    <row r="82" spans="3:12" s="443" customFormat="1" hidden="1" x14ac:dyDescent="0.35">
      <c r="C82" s="514"/>
      <c r="D82" s="514"/>
      <c r="E82" s="514"/>
      <c r="F82" s="514"/>
      <c r="G82" s="514"/>
      <c r="H82" s="514"/>
      <c r="I82" s="514"/>
      <c r="J82" s="514"/>
      <c r="K82" s="514"/>
      <c r="L82" s="53"/>
    </row>
    <row r="83" spans="3:12" s="443" customFormat="1" hidden="1" x14ac:dyDescent="0.35">
      <c r="L83" s="53"/>
    </row>
  </sheetData>
  <sheetProtection password="813F" sheet="1" objects="1" scenarios="1" selectLockedCells="1"/>
  <customSheetViews>
    <customSheetView guid="{51165254-F18A-4CD1-9981-8F2DE14CC76C}" showGridLines="0" fitToPage="1" hiddenRows="1" hiddenColumns="1" showRuler="0">
      <pane ySplit="5" topLeftCell="A6" activePane="bottomLeft" state="frozen"/>
      <selection pane="bottomLeft" activeCell="C9" sqref="C9"/>
      <pageMargins left="0.78740157480314965" right="0.78740157480314965" top="0.98425196850393704" bottom="0.98425196850393704" header="0.51181102362204722" footer="0.51181102362204722"/>
      <printOptions horizontalCentered="1" verticalCentered="1"/>
      <pageSetup paperSize="9" scale="59" orientation="portrait" r:id="rId1"/>
      <headerFooter alignWithMargins="0">
        <oddHeader>&amp;L&amp;F</oddHeader>
        <oddFooter xml:space="preserve">&amp;LDAF Dealer Business Plan&amp;CPrint date: &amp;D&amp;R&amp;P/&amp;N | DAF Trucks NV    </oddFooter>
      </headerFooter>
    </customSheetView>
  </customSheetViews>
  <mergeCells count="1">
    <mergeCell ref="E8:G8"/>
  </mergeCells>
  <phoneticPr fontId="11" type="noConversion"/>
  <conditionalFormatting sqref="H8">
    <cfRule type="cellIs" dxfId="0" priority="1" stopIfTrue="1" operator="equal">
      <formula>0</formula>
    </cfRule>
  </conditionalFormatting>
  <dataValidations count="2">
    <dataValidation type="decimal" allowBlank="1" showInputMessage="1" showErrorMessage="1" sqref="H8">
      <formula1>0</formula1>
      <formula2>10000000</formula2>
    </dataValidation>
    <dataValidation type="list" allowBlank="1" showInputMessage="1" showErrorMessage="1" sqref="C9">
      <formula1>"1,2,3,4,5,6,7,8,9,10, ,"</formula1>
    </dataValidation>
  </dataValidations>
  <printOptions horizontalCentered="1" verticalCentered="1"/>
  <pageMargins left="0.78740157480314965" right="0.78740157480314965" top="0.98425196850393704" bottom="0.98425196850393704" header="0.51181102362204722" footer="0.51181102362204722"/>
  <pageSetup paperSize="9" scale="55"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9">
    <tabColor indexed="22"/>
    <pageSetUpPr fitToPage="1"/>
  </sheetPr>
  <dimension ref="A1:P72"/>
  <sheetViews>
    <sheetView showGridLines="0" zoomScale="120" zoomScaleNormal="120" workbookViewId="0">
      <pane ySplit="5" topLeftCell="A6" activePane="bottomLeft" state="frozen"/>
      <selection activeCell="C21" sqref="C21"/>
      <selection pane="bottomLeft" activeCell="K68" sqref="K68"/>
    </sheetView>
  </sheetViews>
  <sheetFormatPr baseColWidth="10" defaultColWidth="0" defaultRowHeight="14.4" zeroHeight="1" x14ac:dyDescent="0.35"/>
  <cols>
    <col min="1" max="1" width="24" style="45" customWidth="1"/>
    <col min="2" max="2" width="13" style="45" customWidth="1"/>
    <col min="3" max="3" width="13.44140625" style="45" customWidth="1"/>
    <col min="4" max="4" width="9.109375" style="45" customWidth="1"/>
    <col min="5" max="5" width="12" style="45" customWidth="1"/>
    <col min="6" max="6" width="9.109375" style="45" customWidth="1"/>
    <col min="7" max="7" width="12.77734375" style="45" customWidth="1"/>
    <col min="8" max="8" width="10.77734375" style="45" bestFit="1" customWidth="1"/>
    <col min="9" max="9" width="12.44140625" style="45" customWidth="1"/>
    <col min="10" max="10" width="11.109375" style="45" customWidth="1"/>
    <col min="11" max="11" width="12" style="45" customWidth="1"/>
    <col min="12" max="12" width="1.33203125" style="44" customWidth="1"/>
    <col min="13" max="16384" width="9.109375" style="45" hidden="1"/>
  </cols>
  <sheetData>
    <row r="1" spans="1:16" ht="28.8" x14ac:dyDescent="0.55000000000000004">
      <c r="A1" s="200" t="s">
        <v>1173</v>
      </c>
      <c r="B1" s="201"/>
      <c r="C1" s="201"/>
      <c r="D1" s="201"/>
      <c r="E1" s="201"/>
      <c r="F1" s="201"/>
      <c r="G1" s="201"/>
      <c r="H1" s="201"/>
      <c r="I1" s="201"/>
      <c r="J1" s="201"/>
      <c r="K1" s="202" t="s">
        <v>776</v>
      </c>
    </row>
    <row r="2" spans="1:16" x14ac:dyDescent="0.35">
      <c r="A2" s="135"/>
      <c r="B2" s="136"/>
      <c r="C2" s="136"/>
      <c r="D2" s="136"/>
      <c r="E2" s="280"/>
      <c r="F2" s="136"/>
      <c r="G2" s="136"/>
      <c r="H2" s="136"/>
      <c r="I2" s="136"/>
      <c r="J2" s="136"/>
      <c r="K2" s="137"/>
    </row>
    <row r="3" spans="1:16" ht="16.2" x14ac:dyDescent="0.35">
      <c r="A3" s="138" t="s">
        <v>1035</v>
      </c>
      <c r="B3" s="281" t="str">
        <f>'Reference sheet'!C12</f>
        <v>TRUCK INTERNATIONAL MOBILITY SA</v>
      </c>
      <c r="C3" s="240"/>
      <c r="E3" s="242" t="s">
        <v>1036</v>
      </c>
      <c r="F3" s="282">
        <f>'Reference sheet'!C15</f>
        <v>2</v>
      </c>
      <c r="G3" s="283" t="s">
        <v>1037</v>
      </c>
      <c r="H3" s="243" t="str">
        <f>'Reference sheet'!C17</f>
        <v>October</v>
      </c>
      <c r="I3" s="982">
        <f>'Reference sheet'!D17</f>
        <v>2018</v>
      </c>
      <c r="J3" s="143" t="s">
        <v>1175</v>
      </c>
      <c r="K3" s="284" t="str">
        <f>'7.1 Dealer area'!K3</f>
        <v>EUR</v>
      </c>
    </row>
    <row r="4" spans="1:16" x14ac:dyDescent="0.35">
      <c r="A4" s="135"/>
      <c r="B4" s="169"/>
      <c r="C4" s="136"/>
      <c r="D4" s="528"/>
      <c r="E4" s="136"/>
      <c r="F4" s="136"/>
      <c r="G4" s="182"/>
      <c r="H4" s="136"/>
      <c r="I4" s="136"/>
      <c r="J4" s="136"/>
      <c r="K4" s="340"/>
    </row>
    <row r="5" spans="1:16" s="255" customFormat="1" x14ac:dyDescent="0.35">
      <c r="A5" s="263"/>
      <c r="B5" s="164"/>
      <c r="C5" s="257">
        <f>'7.2.1 Turnover Vehicles'!C5</f>
        <v>2019</v>
      </c>
      <c r="D5" s="164"/>
      <c r="E5" s="257">
        <f>'7.2.1 Turnover Vehicles'!E5</f>
        <v>2020</v>
      </c>
      <c r="F5" s="164"/>
      <c r="G5" s="257">
        <f>'7.2.1 Turnover Vehicles'!G5</f>
        <v>2021</v>
      </c>
      <c r="H5" s="164"/>
      <c r="I5" s="257">
        <f>'7.2.1 Turnover Vehicles'!I5</f>
        <v>2022</v>
      </c>
      <c r="J5" s="164"/>
      <c r="K5" s="257">
        <f>'7.2.1 Turnover Vehicles'!K5</f>
        <v>2023</v>
      </c>
      <c r="L5" s="1564"/>
    </row>
    <row r="6" spans="1:16" ht="18" x14ac:dyDescent="0.35">
      <c r="A6" s="1042" t="s">
        <v>10</v>
      </c>
      <c r="B6" s="1043"/>
      <c r="C6" s="833"/>
      <c r="D6" s="833"/>
      <c r="E6" s="833"/>
      <c r="F6" s="833"/>
      <c r="G6" s="833"/>
      <c r="H6" s="833"/>
      <c r="I6" s="833"/>
      <c r="J6" s="833"/>
      <c r="K6" s="834"/>
    </row>
    <row r="7" spans="1:16" x14ac:dyDescent="0.35">
      <c r="A7" s="147"/>
      <c r="B7" s="529"/>
      <c r="C7" s="530"/>
      <c r="D7" s="531"/>
      <c r="E7" s="531"/>
      <c r="F7" s="148"/>
      <c r="G7" s="148"/>
      <c r="H7" s="148"/>
      <c r="I7" s="148"/>
      <c r="J7" s="148"/>
      <c r="K7" s="78"/>
    </row>
    <row r="8" spans="1:16" x14ac:dyDescent="0.35">
      <c r="A8" s="135" t="s">
        <v>1200</v>
      </c>
      <c r="B8" s="136"/>
      <c r="C8" s="532">
        <f>'Calculation (short)'!BV14</f>
        <v>4918.2423542576844</v>
      </c>
      <c r="D8" s="136"/>
      <c r="E8" s="533">
        <f>'Calculation (short)'!BV24</f>
        <v>6247.8305154014297</v>
      </c>
      <c r="F8" s="352"/>
      <c r="G8" s="533">
        <f>'Calculation (short)'!BV35</f>
        <v>8531.1783463982028</v>
      </c>
      <c r="H8" s="352"/>
      <c r="I8" s="533">
        <f>'Calculation (short)'!BV45</f>
        <v>11980.174658932881</v>
      </c>
      <c r="J8" s="352"/>
      <c r="K8" s="532">
        <f>'Calculation (short)'!BV55</f>
        <v>16179.181110957743</v>
      </c>
    </row>
    <row r="9" spans="1:16" x14ac:dyDescent="0.35">
      <c r="A9" s="135" t="s">
        <v>506</v>
      </c>
      <c r="B9" s="136"/>
      <c r="C9" s="511">
        <v>0.1</v>
      </c>
      <c r="D9" s="393"/>
      <c r="E9" s="235">
        <v>0.1</v>
      </c>
      <c r="F9" s="395"/>
      <c r="G9" s="235">
        <v>0.1</v>
      </c>
      <c r="H9" s="395"/>
      <c r="I9" s="235">
        <v>0.1</v>
      </c>
      <c r="J9" s="395"/>
      <c r="K9" s="511">
        <v>0.1</v>
      </c>
    </row>
    <row r="10" spans="1:16" x14ac:dyDescent="0.35">
      <c r="A10" s="135" t="s">
        <v>507</v>
      </c>
      <c r="B10" s="136"/>
      <c r="C10" s="332">
        <f>(1-C9)*C8</f>
        <v>4426.4181188319162</v>
      </c>
      <c r="D10" s="136"/>
      <c r="E10" s="357">
        <f>(1-E9)*E8</f>
        <v>5623.0474638612868</v>
      </c>
      <c r="F10" s="352"/>
      <c r="G10" s="357">
        <f>(1-G9)*G8</f>
        <v>7678.0605117583827</v>
      </c>
      <c r="H10" s="352"/>
      <c r="I10" s="357">
        <f>(1-I9)*I8</f>
        <v>10782.157193039593</v>
      </c>
      <c r="J10" s="352"/>
      <c r="K10" s="332">
        <f>(1-K9)*K8</f>
        <v>14561.262999861969</v>
      </c>
    </row>
    <row r="11" spans="1:16" x14ac:dyDescent="0.35">
      <c r="A11" s="135"/>
      <c r="B11" s="136"/>
      <c r="C11" s="353"/>
      <c r="D11" s="164"/>
      <c r="E11" s="253"/>
      <c r="F11" s="136"/>
      <c r="G11" s="253"/>
      <c r="H11" s="136"/>
      <c r="I11" s="253"/>
      <c r="J11" s="136"/>
      <c r="K11" s="296"/>
    </row>
    <row r="12" spans="1:16" x14ac:dyDescent="0.35">
      <c r="A12" s="148"/>
      <c r="B12" s="148"/>
      <c r="C12" s="534"/>
      <c r="D12" s="277"/>
      <c r="E12" s="535"/>
      <c r="F12" s="148"/>
      <c r="G12" s="535"/>
      <c r="H12" s="148"/>
      <c r="I12" s="535"/>
      <c r="J12" s="148"/>
      <c r="K12" s="535"/>
    </row>
    <row r="13" spans="1:16" ht="18" x14ac:dyDescent="0.35">
      <c r="A13" s="1042" t="s">
        <v>750</v>
      </c>
      <c r="B13" s="833"/>
      <c r="C13" s="1077"/>
      <c r="D13" s="835"/>
      <c r="E13" s="1004"/>
      <c r="F13" s="833"/>
      <c r="G13" s="1004"/>
      <c r="H13" s="833"/>
      <c r="I13" s="1004"/>
      <c r="J13" s="833"/>
      <c r="K13" s="1003"/>
    </row>
    <row r="14" spans="1:16" x14ac:dyDescent="0.35">
      <c r="A14" s="147" t="s">
        <v>726</v>
      </c>
      <c r="B14" s="254">
        <f>'9.0 Scenario''s'!D13</f>
        <v>1</v>
      </c>
      <c r="C14" s="537"/>
      <c r="D14" s="164"/>
      <c r="E14" s="351">
        <v>0.6</v>
      </c>
      <c r="F14" s="443"/>
      <c r="G14" s="351">
        <v>0.6</v>
      </c>
      <c r="H14" s="443"/>
      <c r="I14" s="351">
        <v>0.6</v>
      </c>
      <c r="J14" s="443"/>
      <c r="K14" s="487">
        <v>0.6</v>
      </c>
      <c r="P14" s="199"/>
    </row>
    <row r="15" spans="1:16" x14ac:dyDescent="0.35">
      <c r="A15" s="135" t="s">
        <v>11</v>
      </c>
      <c r="B15" s="136"/>
      <c r="C15" s="309">
        <f>IF(C10=0,0,C16/C10*$B$14)</f>
        <v>0.33887444875990019</v>
      </c>
      <c r="D15" s="538"/>
      <c r="E15" s="485">
        <f>E14*$B$14</f>
        <v>0.6</v>
      </c>
      <c r="F15" s="485"/>
      <c r="G15" s="485">
        <f>G14*$B$14</f>
        <v>0.6</v>
      </c>
      <c r="H15" s="485"/>
      <c r="I15" s="485">
        <f>I14*$B$14</f>
        <v>0.6</v>
      </c>
      <c r="J15" s="485"/>
      <c r="K15" s="468">
        <f>K14*$B$14</f>
        <v>0.6</v>
      </c>
      <c r="P15" s="199"/>
    </row>
    <row r="16" spans="1:16" x14ac:dyDescent="0.35">
      <c r="A16" s="135"/>
      <c r="B16" s="136"/>
      <c r="C16" s="250">
        <v>1500</v>
      </c>
      <c r="D16" s="222"/>
      <c r="E16" s="399"/>
      <c r="F16" s="488"/>
      <c r="G16" s="399"/>
      <c r="H16" s="488"/>
      <c r="I16" s="399"/>
      <c r="J16" s="488"/>
      <c r="K16" s="355"/>
    </row>
    <row r="17" spans="1:11" x14ac:dyDescent="0.35">
      <c r="A17" s="135" t="s">
        <v>1244</v>
      </c>
      <c r="C17" s="489">
        <f>IF(C16&lt;&gt;0,C16,C10*C15)</f>
        <v>1500</v>
      </c>
      <c r="D17" s="222"/>
      <c r="E17" s="488">
        <f>IF(E16&lt;&gt;0,E16,E10*E15)</f>
        <v>3373.8284783167719</v>
      </c>
      <c r="F17" s="488"/>
      <c r="G17" s="488">
        <f>IF(G16&lt;&gt;0,G16,G10*G15)</f>
        <v>4606.8363070550295</v>
      </c>
      <c r="H17" s="488"/>
      <c r="I17" s="488">
        <f>IF(I16&lt;&gt;0,I16,I10*I15)</f>
        <v>6469.2943158237558</v>
      </c>
      <c r="J17" s="488"/>
      <c r="K17" s="489">
        <f>IF(K16&lt;&gt;0,K16,K10*K15)</f>
        <v>8736.7577999171808</v>
      </c>
    </row>
    <row r="18" spans="1:11" x14ac:dyDescent="0.35">
      <c r="A18" s="135" t="s">
        <v>12</v>
      </c>
      <c r="B18" s="136"/>
      <c r="C18" s="394">
        <v>0</v>
      </c>
      <c r="D18" s="164"/>
      <c r="E18" s="396">
        <v>500</v>
      </c>
      <c r="F18" s="469"/>
      <c r="G18" s="396">
        <v>1000</v>
      </c>
      <c r="H18" s="469"/>
      <c r="I18" s="396">
        <v>1500</v>
      </c>
      <c r="J18" s="469"/>
      <c r="K18" s="394">
        <v>2000</v>
      </c>
    </row>
    <row r="19" spans="1:11" x14ac:dyDescent="0.35">
      <c r="A19" s="263" t="s">
        <v>13</v>
      </c>
      <c r="B19" s="164"/>
      <c r="C19" s="411">
        <f>SUM(C17:C18)</f>
        <v>1500</v>
      </c>
      <c r="D19" s="164"/>
      <c r="E19" s="372">
        <f>SUM(E17:E18)</f>
        <v>3873.8284783167719</v>
      </c>
      <c r="F19" s="497"/>
      <c r="G19" s="372">
        <f>SUM(G17:G18)</f>
        <v>5606.8363070550295</v>
      </c>
      <c r="H19" s="372"/>
      <c r="I19" s="372">
        <f>SUM(I17:I18)</f>
        <v>7969.2943158237558</v>
      </c>
      <c r="J19" s="372"/>
      <c r="K19" s="539">
        <f>SUM(K17:K18)</f>
        <v>10736.757799917181</v>
      </c>
    </row>
    <row r="20" spans="1:11" x14ac:dyDescent="0.35">
      <c r="A20" s="135"/>
      <c r="B20" s="136"/>
      <c r="C20" s="353"/>
      <c r="D20" s="164"/>
      <c r="E20" s="253"/>
      <c r="F20" s="136"/>
      <c r="G20" s="253"/>
      <c r="H20" s="136"/>
      <c r="I20" s="253"/>
      <c r="J20" s="136"/>
      <c r="K20" s="296"/>
    </row>
    <row r="21" spans="1:11" ht="18" x14ac:dyDescent="0.35">
      <c r="A21" s="1042" t="s">
        <v>471</v>
      </c>
      <c r="B21" s="833"/>
      <c r="C21" s="834"/>
      <c r="D21" s="833"/>
      <c r="E21" s="833"/>
      <c r="F21" s="833"/>
      <c r="G21" s="833"/>
      <c r="H21" s="833"/>
      <c r="I21" s="833"/>
      <c r="J21" s="833"/>
      <c r="K21" s="834"/>
    </row>
    <row r="22" spans="1:11" x14ac:dyDescent="0.35">
      <c r="A22" s="135"/>
      <c r="B22" s="136" t="s">
        <v>1205</v>
      </c>
      <c r="C22" s="79"/>
      <c r="D22" s="136"/>
      <c r="E22" s="136"/>
      <c r="F22" s="136"/>
      <c r="G22" s="136"/>
      <c r="H22" s="136"/>
      <c r="I22" s="136"/>
      <c r="J22" s="136"/>
      <c r="K22" s="79"/>
    </row>
    <row r="23" spans="1:11" x14ac:dyDescent="0.35">
      <c r="A23" s="135"/>
      <c r="B23" s="136" t="s">
        <v>1206</v>
      </c>
      <c r="C23" s="79"/>
      <c r="D23" s="136"/>
      <c r="E23" s="136"/>
      <c r="F23" s="136"/>
      <c r="G23" s="136"/>
      <c r="H23" s="136"/>
      <c r="I23" s="136"/>
      <c r="J23" s="136"/>
      <c r="K23" s="79"/>
    </row>
    <row r="24" spans="1:11" x14ac:dyDescent="0.35">
      <c r="A24" s="135" t="s">
        <v>416</v>
      </c>
      <c r="B24" s="234">
        <v>0</v>
      </c>
      <c r="C24" s="353">
        <f>('7.1 Dealer area'!C47+'7.1 Dealer area'!C41)*'7.2.3 Turnover Service &amp; Body'!$B24</f>
        <v>0</v>
      </c>
      <c r="D24" s="2022" t="str">
        <f>IF(C24&gt;C16,"ERROR"," ")</f>
        <v xml:space="preserve"> </v>
      </c>
      <c r="E24" s="352">
        <f>('7.1 Dealer area'!E47+'7.1 Dealer area'!E41)*'7.2.3 Turnover Service &amp; Body'!$B24</f>
        <v>0</v>
      </c>
      <c r="F24" s="352"/>
      <c r="G24" s="352">
        <f>('7.1 Dealer area'!G47+'7.1 Dealer area'!G41)*'7.2.3 Turnover Service &amp; Body'!$B24</f>
        <v>0</v>
      </c>
      <c r="H24" s="352"/>
      <c r="I24" s="352">
        <f>('7.1 Dealer area'!I47+'7.1 Dealer area'!I41)*'7.2.3 Turnover Service &amp; Body'!$B24</f>
        <v>0</v>
      </c>
      <c r="J24" s="352"/>
      <c r="K24" s="353">
        <f>('7.1 Dealer area'!K47+'7.1 Dealer area'!K41)*'7.2.3 Turnover Service &amp; Body'!$B24</f>
        <v>0</v>
      </c>
    </row>
    <row r="25" spans="1:11" x14ac:dyDescent="0.35">
      <c r="A25" s="135" t="s">
        <v>417</v>
      </c>
      <c r="B25" s="234"/>
      <c r="C25" s="368">
        <f>'5.1 DAF Vehicle Parc Input'!K43*'7.2.3 Turnover Service &amp; Body'!$B25</f>
        <v>0</v>
      </c>
      <c r="D25" s="2022" t="str">
        <f>IF(C25&gt;C18,"ERROR"," ")</f>
        <v xml:space="preserve"> </v>
      </c>
      <c r="E25" s="369">
        <f>'5.1 DAF Vehicle Parc Input'!M43*'7.2.3 Turnover Service &amp; Body'!$B25</f>
        <v>0</v>
      </c>
      <c r="F25" s="352"/>
      <c r="G25" s="369">
        <f>'5.1 DAF Vehicle Parc Input'!O43*'7.2.3 Turnover Service &amp; Body'!$B25</f>
        <v>0</v>
      </c>
      <c r="H25" s="352"/>
      <c r="I25" s="369">
        <f>'5.1 DAF Vehicle Parc Input'!Q43*'7.2.3 Turnover Service &amp; Body'!$B25</f>
        <v>0</v>
      </c>
      <c r="J25" s="352"/>
      <c r="K25" s="368">
        <f>'5.1 DAF Vehicle Parc Input'!S43*'7.2.3 Turnover Service &amp; Body'!$B25</f>
        <v>0</v>
      </c>
    </row>
    <row r="26" spans="1:11" x14ac:dyDescent="0.35">
      <c r="A26" s="263" t="s">
        <v>1056</v>
      </c>
      <c r="B26" s="164"/>
      <c r="C26" s="397">
        <f>+C24+C25</f>
        <v>0</v>
      </c>
      <c r="D26" s="372"/>
      <c r="E26" s="372">
        <f>+E24+E25</f>
        <v>0</v>
      </c>
      <c r="F26" s="372"/>
      <c r="G26" s="372">
        <f>+G24+G25</f>
        <v>0</v>
      </c>
      <c r="H26" s="372"/>
      <c r="I26" s="372">
        <f>+I24+I25</f>
        <v>0</v>
      </c>
      <c r="J26" s="372"/>
      <c r="K26" s="397">
        <f>+K24+K25</f>
        <v>0</v>
      </c>
    </row>
    <row r="27" spans="1:11" x14ac:dyDescent="0.35">
      <c r="A27" s="135"/>
      <c r="B27" s="136"/>
      <c r="C27" s="79"/>
      <c r="D27" s="136"/>
      <c r="E27" s="136"/>
      <c r="F27" s="136"/>
      <c r="G27" s="136"/>
      <c r="H27" s="136"/>
      <c r="I27" s="136"/>
      <c r="J27" s="136"/>
      <c r="K27" s="79"/>
    </row>
    <row r="28" spans="1:11" x14ac:dyDescent="0.35">
      <c r="A28" s="184"/>
      <c r="B28" s="184"/>
      <c r="C28" s="184"/>
      <c r="D28" s="184"/>
      <c r="E28" s="184"/>
      <c r="F28" s="184"/>
      <c r="G28" s="184"/>
      <c r="H28" s="184"/>
      <c r="I28" s="184"/>
      <c r="J28" s="184"/>
      <c r="K28" s="184"/>
    </row>
    <row r="29" spans="1:11" ht="18" x14ac:dyDescent="0.35">
      <c r="A29" s="1042" t="s">
        <v>14</v>
      </c>
      <c r="B29" s="833"/>
      <c r="C29" s="833"/>
      <c r="D29" s="1078"/>
      <c r="E29" s="1078"/>
      <c r="F29" s="1078"/>
      <c r="G29" s="1078"/>
      <c r="H29" s="1078"/>
      <c r="I29" s="1078"/>
      <c r="J29" s="1078"/>
      <c r="K29" s="166"/>
    </row>
    <row r="30" spans="1:11" x14ac:dyDescent="0.35">
      <c r="A30" s="135" t="s">
        <v>15</v>
      </c>
      <c r="B30" s="540"/>
      <c r="C30" s="541"/>
      <c r="D30" s="287"/>
      <c r="E30" s="300">
        <v>0.06</v>
      </c>
      <c r="F30" s="443"/>
      <c r="G30" s="351">
        <v>0.06</v>
      </c>
      <c r="H30" s="443"/>
      <c r="I30" s="351">
        <v>0.06</v>
      </c>
      <c r="J30" s="443"/>
      <c r="K30" s="487">
        <v>0.06</v>
      </c>
    </row>
    <row r="31" spans="1:11" x14ac:dyDescent="0.35">
      <c r="A31" s="135"/>
      <c r="B31" s="540"/>
      <c r="C31" s="542"/>
      <c r="D31" s="287"/>
      <c r="E31" s="287"/>
      <c r="F31" s="443"/>
      <c r="G31" s="136"/>
      <c r="H31" s="443"/>
      <c r="I31" s="136"/>
      <c r="J31" s="443"/>
      <c r="K31" s="79"/>
    </row>
    <row r="32" spans="1:11" x14ac:dyDescent="0.35">
      <c r="A32" s="135" t="s">
        <v>16</v>
      </c>
      <c r="B32" s="136"/>
      <c r="C32" s="296"/>
      <c r="D32" s="443"/>
      <c r="E32" s="253"/>
      <c r="F32" s="443"/>
      <c r="G32" s="253"/>
      <c r="H32" s="443"/>
      <c r="I32" s="253"/>
      <c r="J32" s="443"/>
      <c r="K32" s="296"/>
    </row>
    <row r="33" spans="1:11" x14ac:dyDescent="0.35">
      <c r="A33" s="135" t="s">
        <v>17</v>
      </c>
      <c r="B33" s="136"/>
      <c r="C33" s="543">
        <v>12</v>
      </c>
      <c r="D33" s="443"/>
      <c r="E33" s="544">
        <v>12</v>
      </c>
      <c r="F33" s="443"/>
      <c r="G33" s="544">
        <v>12</v>
      </c>
      <c r="H33" s="443"/>
      <c r="I33" s="544">
        <v>12</v>
      </c>
      <c r="J33" s="443"/>
      <c r="K33" s="543">
        <v>12</v>
      </c>
    </row>
    <row r="34" spans="1:11" x14ac:dyDescent="0.35">
      <c r="A34" s="135" t="s">
        <v>18</v>
      </c>
      <c r="B34" s="136"/>
      <c r="C34" s="543">
        <v>12</v>
      </c>
      <c r="D34" s="443"/>
      <c r="E34" s="544">
        <f>+C34*(1+E30)</f>
        <v>12.72</v>
      </c>
      <c r="F34" s="443"/>
      <c r="G34" s="544">
        <f>+E34*(1+G30)</f>
        <v>13.483200000000002</v>
      </c>
      <c r="H34" s="443"/>
      <c r="I34" s="544">
        <f>+G34*(1+I30)</f>
        <v>14.292192000000004</v>
      </c>
      <c r="J34" s="443"/>
      <c r="K34" s="543">
        <f>+I34*(1+K30)</f>
        <v>15.149723520000004</v>
      </c>
    </row>
    <row r="35" spans="1:11" x14ac:dyDescent="0.35">
      <c r="A35" s="135" t="s">
        <v>19</v>
      </c>
      <c r="B35" s="136"/>
      <c r="C35" s="543">
        <v>12</v>
      </c>
      <c r="D35" s="498"/>
      <c r="E35" s="544">
        <f>+C35*(1+E30)</f>
        <v>12.72</v>
      </c>
      <c r="F35" s="443"/>
      <c r="G35" s="544">
        <f>+E35*(1+G30)</f>
        <v>13.483200000000002</v>
      </c>
      <c r="H35" s="443"/>
      <c r="I35" s="544">
        <f>+G35*(1+I30)</f>
        <v>14.292192000000004</v>
      </c>
      <c r="J35" s="443"/>
      <c r="K35" s="543">
        <f>+I35*(1+K30)</f>
        <v>15.149723520000004</v>
      </c>
    </row>
    <row r="36" spans="1:11" x14ac:dyDescent="0.35">
      <c r="A36" s="135"/>
      <c r="B36" s="136"/>
      <c r="C36" s="335"/>
      <c r="D36" s="498"/>
      <c r="E36" s="253"/>
      <c r="F36" s="498"/>
      <c r="G36" s="253"/>
      <c r="H36" s="498"/>
      <c r="I36" s="253"/>
      <c r="J36" s="498"/>
      <c r="K36" s="296"/>
    </row>
    <row r="37" spans="1:11" x14ac:dyDescent="0.35">
      <c r="A37" s="135" t="s">
        <v>20</v>
      </c>
      <c r="B37" s="136"/>
      <c r="C37" s="335"/>
      <c r="D37" s="253"/>
      <c r="E37" s="253"/>
      <c r="F37" s="253"/>
      <c r="G37" s="253"/>
      <c r="H37" s="498"/>
      <c r="I37" s="253"/>
      <c r="J37" s="253"/>
      <c r="K37" s="296"/>
    </row>
    <row r="38" spans="1:11" x14ac:dyDescent="0.35">
      <c r="A38" s="135" t="s">
        <v>24</v>
      </c>
      <c r="B38" s="136"/>
      <c r="C38" s="353">
        <f>(C17-C24)*C33</f>
        <v>18000</v>
      </c>
      <c r="D38" s="352"/>
      <c r="E38" s="352">
        <f>(E17-E24)*E33</f>
        <v>40485.941739801259</v>
      </c>
      <c r="F38" s="352"/>
      <c r="G38" s="352">
        <f>(G17-G24)*G33</f>
        <v>55282.035684660354</v>
      </c>
      <c r="H38" s="352"/>
      <c r="I38" s="352">
        <f>(I17-I24)*I33</f>
        <v>77631.531789885077</v>
      </c>
      <c r="J38" s="352"/>
      <c r="K38" s="353">
        <f>(K17-K24)*K33</f>
        <v>104841.09359900617</v>
      </c>
    </row>
    <row r="39" spans="1:11" x14ac:dyDescent="0.35">
      <c r="A39" s="135" t="s">
        <v>25</v>
      </c>
      <c r="B39" s="136"/>
      <c r="C39" s="353">
        <f>C34*C24</f>
        <v>0</v>
      </c>
      <c r="D39" s="352"/>
      <c r="E39" s="352">
        <f>E34*E24</f>
        <v>0</v>
      </c>
      <c r="F39" s="352"/>
      <c r="G39" s="352">
        <f>G34*G24</f>
        <v>0</v>
      </c>
      <c r="H39" s="352"/>
      <c r="I39" s="352">
        <f>I34*I24</f>
        <v>0</v>
      </c>
      <c r="J39" s="352"/>
      <c r="K39" s="353">
        <f>K34*K24</f>
        <v>0</v>
      </c>
    </row>
    <row r="40" spans="1:11" x14ac:dyDescent="0.35">
      <c r="A40" s="135" t="s">
        <v>26</v>
      </c>
      <c r="B40" s="136"/>
      <c r="C40" s="353">
        <f>C25*C34</f>
        <v>0</v>
      </c>
      <c r="D40" s="352"/>
      <c r="E40" s="352">
        <f>E25*E34</f>
        <v>0</v>
      </c>
      <c r="F40" s="352"/>
      <c r="G40" s="352">
        <f>G25*G34</f>
        <v>0</v>
      </c>
      <c r="H40" s="352"/>
      <c r="I40" s="352">
        <f>I25*I34</f>
        <v>0</v>
      </c>
      <c r="J40" s="352"/>
      <c r="K40" s="353">
        <f>K25*K34</f>
        <v>0</v>
      </c>
    </row>
    <row r="41" spans="1:11" x14ac:dyDescent="0.35">
      <c r="A41" s="135" t="s">
        <v>19</v>
      </c>
      <c r="B41" s="136"/>
      <c r="C41" s="353">
        <f>(C18-C25)*C35</f>
        <v>0</v>
      </c>
      <c r="D41" s="352"/>
      <c r="E41" s="352">
        <f>(E18-E25)*E35</f>
        <v>6360</v>
      </c>
      <c r="F41" s="352"/>
      <c r="G41" s="352">
        <f>(G18-G25)*G35</f>
        <v>13483.200000000003</v>
      </c>
      <c r="H41" s="352"/>
      <c r="I41" s="352">
        <f>(I18-I25)*I35</f>
        <v>21438.288000000004</v>
      </c>
      <c r="J41" s="352"/>
      <c r="K41" s="353">
        <f>(K18-K25)*K35</f>
        <v>30299.447040000006</v>
      </c>
    </row>
    <row r="42" spans="1:11" x14ac:dyDescent="0.35">
      <c r="A42" s="135"/>
      <c r="B42" s="136"/>
      <c r="C42" s="353"/>
      <c r="D42" s="352"/>
      <c r="E42" s="352"/>
      <c r="F42" s="352"/>
      <c r="G42" s="352"/>
      <c r="H42" s="352"/>
      <c r="I42" s="352"/>
      <c r="J42" s="352"/>
      <c r="K42" s="353"/>
    </row>
    <row r="43" spans="1:11" x14ac:dyDescent="0.35">
      <c r="A43" s="147"/>
      <c r="B43" s="148"/>
      <c r="C43" s="537"/>
      <c r="D43" s="534"/>
      <c r="E43" s="534"/>
      <c r="F43" s="534"/>
      <c r="G43" s="534"/>
      <c r="H43" s="534"/>
      <c r="I43" s="534"/>
      <c r="J43" s="534"/>
      <c r="K43" s="537"/>
    </row>
    <row r="44" spans="1:11" x14ac:dyDescent="0.35">
      <c r="A44" s="263" t="s">
        <v>418</v>
      </c>
      <c r="B44" s="164"/>
      <c r="C44" s="252">
        <f>SUM(C38:C41)</f>
        <v>18000</v>
      </c>
      <c r="D44" s="164"/>
      <c r="E44" s="252">
        <f>SUM(E38:E41)</f>
        <v>46845.941739801259</v>
      </c>
      <c r="F44" s="164"/>
      <c r="G44" s="252">
        <f>SUM(G38:G41)</f>
        <v>68765.235684660351</v>
      </c>
      <c r="H44" s="164"/>
      <c r="I44" s="252">
        <f>SUM(I38:I41)</f>
        <v>99069.819789885078</v>
      </c>
      <c r="J44" s="164"/>
      <c r="K44" s="252">
        <f>SUM(K38:K41)</f>
        <v>135140.54063900618</v>
      </c>
    </row>
    <row r="45" spans="1:11" x14ac:dyDescent="0.35">
      <c r="A45" s="135"/>
      <c r="B45" s="136"/>
      <c r="C45" s="79"/>
      <c r="D45" s="136"/>
      <c r="E45" s="136"/>
      <c r="F45" s="136"/>
      <c r="G45" s="136"/>
      <c r="H45" s="136"/>
      <c r="I45" s="136"/>
      <c r="J45" s="136"/>
      <c r="K45" s="79"/>
    </row>
    <row r="46" spans="1:11" x14ac:dyDescent="0.35">
      <c r="A46" s="184"/>
      <c r="B46" s="184"/>
      <c r="C46" s="184"/>
      <c r="D46" s="184"/>
      <c r="E46" s="184"/>
      <c r="F46" s="184"/>
      <c r="G46" s="184"/>
      <c r="H46" s="184"/>
      <c r="I46" s="184"/>
      <c r="J46" s="184"/>
      <c r="K46" s="184"/>
    </row>
    <row r="47" spans="1:11" ht="18" x14ac:dyDescent="0.35">
      <c r="A47" s="1079" t="s">
        <v>27</v>
      </c>
      <c r="B47" s="1078"/>
      <c r="C47" s="1078"/>
      <c r="D47" s="1078"/>
      <c r="E47" s="1078"/>
      <c r="F47" s="1078"/>
      <c r="G47" s="1078"/>
      <c r="H47" s="1078"/>
      <c r="I47" s="1078"/>
      <c r="J47" s="1078"/>
      <c r="K47" s="166"/>
    </row>
    <row r="48" spans="1:11" x14ac:dyDescent="0.35">
      <c r="A48" s="147"/>
      <c r="B48" s="148"/>
      <c r="C48" s="78"/>
      <c r="D48" s="517"/>
      <c r="E48" s="148"/>
      <c r="F48" s="517"/>
      <c r="G48" s="148"/>
      <c r="H48" s="517"/>
      <c r="I48" s="148"/>
      <c r="J48" s="517"/>
      <c r="K48" s="78"/>
    </row>
    <row r="49" spans="1:11" x14ac:dyDescent="0.35">
      <c r="A49" s="211" t="s">
        <v>419</v>
      </c>
      <c r="B49" s="393"/>
      <c r="C49" s="250">
        <v>3000</v>
      </c>
      <c r="D49" s="469"/>
      <c r="E49" s="234">
        <v>5000</v>
      </c>
      <c r="F49" s="469"/>
      <c r="G49" s="234">
        <v>8000</v>
      </c>
      <c r="H49" s="469"/>
      <c r="I49" s="234">
        <v>12000</v>
      </c>
      <c r="J49" s="469"/>
      <c r="K49" s="250">
        <v>16000</v>
      </c>
    </row>
    <row r="50" spans="1:11" x14ac:dyDescent="0.35">
      <c r="A50" s="211" t="s">
        <v>28</v>
      </c>
      <c r="B50" s="393"/>
      <c r="C50" s="250">
        <v>0</v>
      </c>
      <c r="D50" s="469"/>
      <c r="E50" s="234">
        <v>0</v>
      </c>
      <c r="F50" s="469"/>
      <c r="G50" s="234">
        <v>0</v>
      </c>
      <c r="H50" s="469"/>
      <c r="I50" s="234">
        <v>0</v>
      </c>
      <c r="J50" s="469"/>
      <c r="K50" s="250">
        <v>0</v>
      </c>
    </row>
    <row r="51" spans="1:11" x14ac:dyDescent="0.35">
      <c r="A51" s="211" t="s">
        <v>29</v>
      </c>
      <c r="B51" s="393"/>
      <c r="C51" s="394">
        <v>0</v>
      </c>
      <c r="D51" s="469"/>
      <c r="E51" s="396">
        <v>0</v>
      </c>
      <c r="F51" s="469"/>
      <c r="G51" s="396">
        <v>0</v>
      </c>
      <c r="H51" s="469"/>
      <c r="I51" s="396">
        <v>0</v>
      </c>
      <c r="J51" s="469"/>
      <c r="K51" s="394">
        <v>0</v>
      </c>
    </row>
    <row r="52" spans="1:11" x14ac:dyDescent="0.35">
      <c r="A52" s="410" t="s">
        <v>1056</v>
      </c>
      <c r="B52" s="222"/>
      <c r="C52" s="411">
        <f>SUM(C49:C51)</f>
        <v>3000</v>
      </c>
      <c r="D52" s="493"/>
      <c r="E52" s="412">
        <f>SUM(E49:E51)</f>
        <v>5000</v>
      </c>
      <c r="F52" s="493"/>
      <c r="G52" s="412">
        <f>SUM(G49:G51)</f>
        <v>8000</v>
      </c>
      <c r="H52" s="493"/>
      <c r="I52" s="412">
        <f>SUM(I49:I51)</f>
        <v>12000</v>
      </c>
      <c r="J52" s="493"/>
      <c r="K52" s="411">
        <f>SUM(K49:K51)</f>
        <v>16000</v>
      </c>
    </row>
    <row r="53" spans="1:11" x14ac:dyDescent="0.35">
      <c r="A53" s="145"/>
      <c r="B53" s="146"/>
      <c r="C53" s="85"/>
      <c r="D53" s="478"/>
      <c r="E53" s="146"/>
      <c r="F53" s="478"/>
      <c r="G53" s="146"/>
      <c r="H53" s="478"/>
      <c r="I53" s="146"/>
      <c r="J53" s="478"/>
      <c r="K53" s="85"/>
    </row>
    <row r="54" spans="1:11" x14ac:dyDescent="0.35">
      <c r="A54" s="136"/>
      <c r="B54" s="136"/>
      <c r="C54" s="136"/>
      <c r="D54" s="443"/>
      <c r="E54" s="136"/>
      <c r="F54" s="443"/>
      <c r="G54" s="136"/>
      <c r="H54" s="443"/>
      <c r="I54" s="136"/>
      <c r="J54" s="443"/>
      <c r="K54" s="136"/>
    </row>
    <row r="55" spans="1:11" ht="18" x14ac:dyDescent="0.35">
      <c r="A55" s="1042" t="s">
        <v>475</v>
      </c>
      <c r="B55" s="833"/>
      <c r="C55" s="833"/>
      <c r="D55" s="1060"/>
      <c r="E55" s="833"/>
      <c r="F55" s="1060"/>
      <c r="G55" s="833"/>
      <c r="H55" s="1060"/>
      <c r="I55" s="833"/>
      <c r="J55" s="1060"/>
      <c r="K55" s="834"/>
    </row>
    <row r="56" spans="1:11" x14ac:dyDescent="0.35">
      <c r="A56" s="135"/>
      <c r="B56" s="136"/>
      <c r="C56" s="296"/>
      <c r="D56" s="443"/>
      <c r="E56" s="253"/>
      <c r="F56" s="443"/>
      <c r="G56" s="253"/>
      <c r="H56" s="443"/>
      <c r="I56" s="253"/>
      <c r="J56" s="443"/>
      <c r="K56" s="296"/>
    </row>
    <row r="57" spans="1:11" x14ac:dyDescent="0.35">
      <c r="A57" s="135" t="s">
        <v>30</v>
      </c>
      <c r="B57" s="136"/>
      <c r="C57" s="250">
        <v>1688</v>
      </c>
      <c r="D57" s="469"/>
      <c r="E57" s="357">
        <f>C57</f>
        <v>1688</v>
      </c>
      <c r="F57" s="469"/>
      <c r="G57" s="357">
        <f>C57</f>
        <v>1688</v>
      </c>
      <c r="H57" s="469"/>
      <c r="I57" s="357">
        <f>C57</f>
        <v>1688</v>
      </c>
      <c r="J57" s="469"/>
      <c r="K57" s="332">
        <f>C57</f>
        <v>1688</v>
      </c>
    </row>
    <row r="58" spans="1:11" x14ac:dyDescent="0.35">
      <c r="A58" s="135" t="s">
        <v>31</v>
      </c>
      <c r="B58" s="136"/>
      <c r="C58" s="545">
        <v>0.65</v>
      </c>
      <c r="D58" s="1780"/>
      <c r="E58" s="546">
        <v>0.75</v>
      </c>
      <c r="F58" s="1780"/>
      <c r="G58" s="546">
        <v>0.75</v>
      </c>
      <c r="H58" s="1780"/>
      <c r="I58" s="546">
        <v>0.75</v>
      </c>
      <c r="J58" s="1780"/>
      <c r="K58" s="545">
        <v>0.75</v>
      </c>
    </row>
    <row r="59" spans="1:11" x14ac:dyDescent="0.35">
      <c r="A59" s="135" t="s">
        <v>1159</v>
      </c>
      <c r="B59" s="136"/>
      <c r="C59" s="545">
        <v>0.6</v>
      </c>
      <c r="D59" s="1780"/>
      <c r="E59" s="546">
        <v>0.6</v>
      </c>
      <c r="F59" s="1780"/>
      <c r="G59" s="546">
        <v>0.6</v>
      </c>
      <c r="H59" s="1780"/>
      <c r="I59" s="546">
        <v>0.6</v>
      </c>
      <c r="J59" s="1780"/>
      <c r="K59" s="545">
        <v>0.6</v>
      </c>
    </row>
    <row r="60" spans="1:11" x14ac:dyDescent="0.35">
      <c r="A60" s="135" t="s">
        <v>1161</v>
      </c>
      <c r="B60" s="136"/>
      <c r="C60" s="548">
        <f>C58*C59</f>
        <v>0.39</v>
      </c>
      <c r="D60" s="485"/>
      <c r="E60" s="323">
        <f>E58*E59</f>
        <v>0.44999999999999996</v>
      </c>
      <c r="F60" s="485"/>
      <c r="G60" s="323">
        <f>G58*G59</f>
        <v>0.44999999999999996</v>
      </c>
      <c r="H60" s="485"/>
      <c r="I60" s="323">
        <f>I58*I59</f>
        <v>0.44999999999999996</v>
      </c>
      <c r="J60" s="485"/>
      <c r="K60" s="548">
        <f>K58*K59</f>
        <v>0.44999999999999996</v>
      </c>
    </row>
    <row r="61" spans="1:11" x14ac:dyDescent="0.35">
      <c r="A61" s="135" t="s">
        <v>32</v>
      </c>
      <c r="B61" s="136"/>
      <c r="C61" s="353">
        <f>+C57*C60</f>
        <v>658.32</v>
      </c>
      <c r="D61" s="352"/>
      <c r="E61" s="352">
        <f>+E57*E60</f>
        <v>759.59999999999991</v>
      </c>
      <c r="F61" s="352"/>
      <c r="G61" s="352">
        <f>+G57*G60</f>
        <v>759.59999999999991</v>
      </c>
      <c r="H61" s="352"/>
      <c r="I61" s="352">
        <f>+I57*I60</f>
        <v>759.59999999999991</v>
      </c>
      <c r="J61" s="352"/>
      <c r="K61" s="353">
        <f>+K57*K60</f>
        <v>759.59999999999991</v>
      </c>
    </row>
    <row r="62" spans="1:11" x14ac:dyDescent="0.35">
      <c r="A62" s="135" t="s">
        <v>33</v>
      </c>
      <c r="B62" s="136"/>
      <c r="C62" s="549">
        <f>+IF(C61=0,0,C16/C61)</f>
        <v>2.2785271600437476</v>
      </c>
      <c r="D62" s="550"/>
      <c r="E62" s="549">
        <f>+IF(E61=0,0,E17/E61)</f>
        <v>4.4415856744559932</v>
      </c>
      <c r="F62" s="550"/>
      <c r="G62" s="549">
        <f>+IF(G61=0,0,G17/G61)</f>
        <v>6.0648187296669693</v>
      </c>
      <c r="H62" s="550"/>
      <c r="I62" s="549">
        <f>+IF(I61=0,0,I17/I61)</f>
        <v>8.5167118428432822</v>
      </c>
      <c r="J62" s="550"/>
      <c r="K62" s="549">
        <f>+IF(K61=0,0,K17/K61)</f>
        <v>11.501787519638206</v>
      </c>
    </row>
    <row r="63" spans="1:11" x14ac:dyDescent="0.35">
      <c r="A63" s="135" t="s">
        <v>420</v>
      </c>
      <c r="B63" s="136"/>
      <c r="C63" s="549">
        <f>+IF(C61=0,0,C18/C61)</f>
        <v>0</v>
      </c>
      <c r="D63" s="550"/>
      <c r="E63" s="549">
        <f>+IF(E61=0,0,E18/E61)</f>
        <v>0.65824117956819383</v>
      </c>
      <c r="F63" s="550"/>
      <c r="G63" s="549">
        <f>+IF(G61=0,0,G18/G61)</f>
        <v>1.3164823591363877</v>
      </c>
      <c r="H63" s="550"/>
      <c r="I63" s="549">
        <f>+IF(I61=0,0,I18/I61)</f>
        <v>1.9747235387045816</v>
      </c>
      <c r="J63" s="550"/>
      <c r="K63" s="549">
        <f>+IF(K61=0,0,K18/K61)</f>
        <v>2.6329647182727753</v>
      </c>
    </row>
    <row r="64" spans="1:11" x14ac:dyDescent="0.35">
      <c r="A64" s="551"/>
      <c r="B64" s="146"/>
      <c r="C64" s="85"/>
      <c r="D64" s="146"/>
      <c r="E64" s="146"/>
      <c r="F64" s="146"/>
      <c r="G64" s="146"/>
      <c r="H64" s="146"/>
      <c r="I64" s="146"/>
      <c r="J64" s="146"/>
      <c r="K64" s="85"/>
    </row>
    <row r="65" spans="1:11" ht="18" x14ac:dyDescent="0.35">
      <c r="A65" s="1042" t="s">
        <v>476</v>
      </c>
      <c r="B65" s="833"/>
      <c r="C65" s="833"/>
      <c r="D65" s="833"/>
      <c r="E65" s="833"/>
      <c r="F65" s="833"/>
      <c r="G65" s="833"/>
      <c r="H65" s="833"/>
      <c r="I65" s="833"/>
      <c r="J65" s="833"/>
      <c r="K65" s="834"/>
    </row>
    <row r="66" spans="1:11" x14ac:dyDescent="0.35">
      <c r="A66" s="147"/>
      <c r="B66" s="148"/>
      <c r="C66" s="78"/>
      <c r="D66" s="148"/>
      <c r="E66" s="148"/>
      <c r="F66" s="148"/>
      <c r="G66" s="148"/>
      <c r="H66" s="517"/>
      <c r="I66" s="148"/>
      <c r="J66" s="517"/>
      <c r="K66" s="78"/>
    </row>
    <row r="67" spans="1:11" x14ac:dyDescent="0.35">
      <c r="A67" s="135" t="s">
        <v>33</v>
      </c>
      <c r="B67" s="136"/>
      <c r="C67" s="430">
        <v>1</v>
      </c>
      <c r="D67" s="514"/>
      <c r="E67" s="431">
        <v>2</v>
      </c>
      <c r="F67" s="514"/>
      <c r="G67" s="431">
        <v>3</v>
      </c>
      <c r="H67" s="514"/>
      <c r="I67" s="431">
        <v>5</v>
      </c>
      <c r="J67" s="514"/>
      <c r="K67" s="430">
        <v>8</v>
      </c>
    </row>
    <row r="68" spans="1:11" x14ac:dyDescent="0.35">
      <c r="A68" s="135" t="s">
        <v>421</v>
      </c>
      <c r="B68" s="136"/>
      <c r="C68" s="430">
        <v>1</v>
      </c>
      <c r="D68" s="514"/>
      <c r="E68" s="431">
        <v>1</v>
      </c>
      <c r="F68" s="514"/>
      <c r="G68" s="431">
        <v>1</v>
      </c>
      <c r="H68" s="514"/>
      <c r="I68" s="431">
        <v>1</v>
      </c>
      <c r="J68" s="514"/>
      <c r="K68" s="430">
        <v>1</v>
      </c>
    </row>
    <row r="69" spans="1:11" x14ac:dyDescent="0.35">
      <c r="A69" s="135" t="s">
        <v>34</v>
      </c>
      <c r="B69" s="136"/>
      <c r="C69" s="430">
        <v>1</v>
      </c>
      <c r="D69" s="514"/>
      <c r="E69" s="431">
        <v>1</v>
      </c>
      <c r="F69" s="514"/>
      <c r="G69" s="431">
        <v>2</v>
      </c>
      <c r="H69" s="514"/>
      <c r="I69" s="431">
        <v>2</v>
      </c>
      <c r="J69" s="514"/>
      <c r="K69" s="430">
        <v>2</v>
      </c>
    </row>
    <row r="70" spans="1:11" x14ac:dyDescent="0.35">
      <c r="A70" s="135" t="s">
        <v>422</v>
      </c>
      <c r="B70" s="136"/>
      <c r="C70" s="430">
        <v>0</v>
      </c>
      <c r="D70" s="514"/>
      <c r="E70" s="431">
        <v>1</v>
      </c>
      <c r="F70" s="514"/>
      <c r="G70" s="431">
        <v>1</v>
      </c>
      <c r="H70" s="514"/>
      <c r="I70" s="431">
        <v>2</v>
      </c>
      <c r="J70" s="514"/>
      <c r="K70" s="430">
        <v>2</v>
      </c>
    </row>
    <row r="71" spans="1:11" x14ac:dyDescent="0.35">
      <c r="A71" s="263" t="s">
        <v>1056</v>
      </c>
      <c r="B71" s="164"/>
      <c r="C71" s="436">
        <f>SUM(C67:C70)</f>
        <v>3</v>
      </c>
      <c r="D71" s="1781"/>
      <c r="E71" s="436">
        <f>SUM(E67:E70)</f>
        <v>5</v>
      </c>
      <c r="F71" s="1781"/>
      <c r="G71" s="436">
        <f>SUM(G67:G70)</f>
        <v>7</v>
      </c>
      <c r="H71" s="1781"/>
      <c r="I71" s="436">
        <f>SUM(I67:I70)</f>
        <v>10</v>
      </c>
      <c r="J71" s="1781"/>
      <c r="K71" s="436">
        <f>SUM(K67:K70)</f>
        <v>13</v>
      </c>
    </row>
    <row r="72" spans="1:11" x14ac:dyDescent="0.35">
      <c r="A72" s="145"/>
      <c r="B72" s="146"/>
      <c r="C72" s="85"/>
      <c r="D72" s="146"/>
      <c r="E72" s="146"/>
      <c r="F72" s="478"/>
      <c r="G72" s="146"/>
      <c r="H72" s="146"/>
      <c r="I72" s="146"/>
      <c r="J72" s="146"/>
      <c r="K72" s="85"/>
    </row>
  </sheetData>
  <sheetProtection password="813F" sheet="1" objects="1" scenarios="1" selectLockedCells="1"/>
  <customSheetViews>
    <customSheetView guid="{51165254-F18A-4CD1-9981-8F2DE14CC76C}" showGridLines="0" fitToPage="1" hiddenRows="1" hiddenColumns="1" showRuler="0">
      <pane ySplit="5" topLeftCell="A6" activePane="bottomLeft" state="frozen"/>
      <selection pane="bottomLeft" activeCell="C9" sqref="C9"/>
      <pageMargins left="0.78740157480314965" right="0.78740157480314965" top="0.98425196850393704" bottom="0.98425196850393704" header="0.51181102362204722" footer="0.51181102362204722"/>
      <printOptions horizontalCentered="1" verticalCentered="1"/>
      <pageSetup paperSize="9" scale="62"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62"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0">
    <tabColor indexed="22"/>
    <pageSetUpPr fitToPage="1"/>
  </sheetPr>
  <dimension ref="A1:V113"/>
  <sheetViews>
    <sheetView showGridLines="0" tabSelected="1" zoomScale="110" zoomScaleNormal="110" workbookViewId="0">
      <pane ySplit="5" topLeftCell="A6" activePane="bottomLeft" state="frozen"/>
      <selection activeCell="C21" sqref="C21"/>
      <selection pane="bottomLeft" activeCell="J23" sqref="J23"/>
    </sheetView>
  </sheetViews>
  <sheetFormatPr baseColWidth="10" defaultColWidth="0" defaultRowHeight="14.4" zeroHeight="1" x14ac:dyDescent="0.35"/>
  <cols>
    <col min="1" max="1" width="22.77734375" style="45" customWidth="1"/>
    <col min="2" max="2" width="14" style="45" bestFit="1" customWidth="1"/>
    <col min="3" max="3" width="13.77734375" style="45" customWidth="1"/>
    <col min="4" max="4" width="14" style="45" bestFit="1" customWidth="1"/>
    <col min="5" max="5" width="17" style="45" customWidth="1"/>
    <col min="6" max="6" width="12.6640625" style="45" bestFit="1" customWidth="1"/>
    <col min="7" max="7" width="15.33203125" style="45" customWidth="1"/>
    <col min="8" max="8" width="12.6640625" style="45" bestFit="1" customWidth="1"/>
    <col min="9" max="9" width="14.33203125" style="45" customWidth="1"/>
    <col min="10" max="10" width="12.6640625" style="45" bestFit="1" customWidth="1"/>
    <col min="11" max="11" width="13.77734375" style="45" customWidth="1"/>
    <col min="12" max="12" width="1.44140625" style="44" customWidth="1"/>
    <col min="13" max="13" width="12.44140625" style="45" hidden="1" customWidth="1"/>
    <col min="14" max="14" width="9.109375" style="45" hidden="1" customWidth="1"/>
    <col min="15" max="15" width="11.77734375" style="45" hidden="1" customWidth="1"/>
    <col min="16" max="16" width="9.109375" style="45" hidden="1" customWidth="1"/>
    <col min="17" max="17" width="11.77734375" style="45" hidden="1" customWidth="1"/>
    <col min="18" max="18" width="9.109375" style="45" hidden="1" customWidth="1"/>
    <col min="19" max="19" width="11.77734375" style="45" hidden="1" customWidth="1"/>
    <col min="20" max="20" width="9.109375" style="45" hidden="1" customWidth="1"/>
    <col min="21" max="21" width="11.77734375" style="45" hidden="1" customWidth="1"/>
    <col min="22" max="16384" width="9.109375" style="45" hidden="1"/>
  </cols>
  <sheetData>
    <row r="1" spans="1:12" ht="28.8" x14ac:dyDescent="0.55000000000000004">
      <c r="A1" s="200" t="s">
        <v>1173</v>
      </c>
      <c r="B1" s="201"/>
      <c r="C1" s="201"/>
      <c r="D1" s="201"/>
      <c r="E1" s="201"/>
      <c r="F1" s="201"/>
      <c r="G1" s="201"/>
      <c r="H1" s="201"/>
      <c r="I1" s="201"/>
      <c r="J1" s="201"/>
      <c r="K1" s="202" t="s">
        <v>693</v>
      </c>
    </row>
    <row r="2" spans="1:12" x14ac:dyDescent="0.35">
      <c r="A2" s="135"/>
      <c r="B2" s="136"/>
      <c r="C2" s="136"/>
      <c r="D2" s="136"/>
      <c r="E2" s="280"/>
      <c r="F2" s="136"/>
      <c r="G2" s="136"/>
      <c r="H2" s="136"/>
      <c r="I2" s="136"/>
      <c r="J2" s="136"/>
      <c r="K2" s="137"/>
    </row>
    <row r="3" spans="1:12" ht="16.2" x14ac:dyDescent="0.35">
      <c r="A3" s="138" t="s">
        <v>1035</v>
      </c>
      <c r="B3" s="281" t="str">
        <f>'Reference sheet'!C12</f>
        <v>TRUCK INTERNATIONAL MOBILITY SA</v>
      </c>
      <c r="C3" s="240"/>
      <c r="E3" s="242" t="s">
        <v>1036</v>
      </c>
      <c r="F3" s="282">
        <f>'Reference sheet'!C15</f>
        <v>2</v>
      </c>
      <c r="G3" s="283" t="s">
        <v>1037</v>
      </c>
      <c r="H3" s="992" t="str">
        <f>'Reference sheet'!C17</f>
        <v>October</v>
      </c>
      <c r="I3" s="982">
        <f>'Reference sheet'!D17</f>
        <v>2018</v>
      </c>
      <c r="J3" s="143" t="s">
        <v>1175</v>
      </c>
      <c r="K3" s="284" t="str">
        <f>'7.1 Dealer area'!K3</f>
        <v>EUR</v>
      </c>
    </row>
    <row r="4" spans="1:12" x14ac:dyDescent="0.35">
      <c r="A4" s="135"/>
      <c r="B4" s="181"/>
      <c r="C4" s="136"/>
      <c r="D4" s="136"/>
      <c r="E4" s="136"/>
      <c r="F4" s="136"/>
      <c r="G4" s="182"/>
      <c r="H4" s="136"/>
      <c r="I4" s="136"/>
      <c r="J4" s="136"/>
      <c r="K4" s="340"/>
    </row>
    <row r="5" spans="1:12" x14ac:dyDescent="0.35">
      <c r="A5" s="135"/>
      <c r="B5" s="181"/>
      <c r="C5" s="553">
        <f>'7.1 Dealer area'!C5</f>
        <v>2019</v>
      </c>
      <c r="D5" s="164"/>
      <c r="E5" s="554">
        <f>+'7.1 Dealer area'!E5</f>
        <v>2020</v>
      </c>
      <c r="F5" s="289"/>
      <c r="G5" s="554">
        <f>+'7.1 Dealer area'!G5</f>
        <v>2021</v>
      </c>
      <c r="H5" s="290"/>
      <c r="I5" s="554">
        <f>+'7.1 Dealer area'!I5</f>
        <v>2022</v>
      </c>
      <c r="J5" s="290"/>
      <c r="K5" s="554">
        <f>+'7.1 Dealer area'!K5</f>
        <v>2023</v>
      </c>
    </row>
    <row r="6" spans="1:12" s="167" customFormat="1" ht="18" x14ac:dyDescent="0.35">
      <c r="A6" s="1042" t="s">
        <v>35</v>
      </c>
      <c r="B6" s="833"/>
      <c r="C6" s="833"/>
      <c r="D6" s="833"/>
      <c r="E6" s="833"/>
      <c r="F6" s="833"/>
      <c r="G6" s="833"/>
      <c r="H6" s="833"/>
      <c r="I6" s="833"/>
      <c r="J6" s="833"/>
      <c r="K6" s="834"/>
      <c r="L6" s="44"/>
    </row>
    <row r="7" spans="1:12" ht="17.399999999999999" x14ac:dyDescent="0.35">
      <c r="A7" s="1080" t="s">
        <v>486</v>
      </c>
      <c r="B7" s="1048"/>
      <c r="C7" s="1048"/>
      <c r="D7" s="1048"/>
      <c r="E7" s="1048"/>
      <c r="F7" s="1048"/>
      <c r="G7" s="1048"/>
      <c r="H7" s="1048"/>
      <c r="I7" s="1048"/>
      <c r="J7" s="1048"/>
      <c r="K7" s="1049"/>
    </row>
    <row r="8" spans="1:12" x14ac:dyDescent="0.35">
      <c r="A8" s="263"/>
      <c r="B8" s="233"/>
      <c r="C8" s="555"/>
      <c r="D8" s="233"/>
      <c r="E8" s="290"/>
      <c r="F8" s="233"/>
      <c r="G8" s="290"/>
      <c r="H8" s="233"/>
      <c r="I8" s="290"/>
      <c r="J8" s="233"/>
      <c r="K8" s="556"/>
    </row>
    <row r="9" spans="1:12" x14ac:dyDescent="0.35">
      <c r="A9" s="263" t="s">
        <v>36</v>
      </c>
      <c r="B9" s="233" t="s">
        <v>38</v>
      </c>
      <c r="C9" s="557"/>
      <c r="D9" s="233" t="s">
        <v>38</v>
      </c>
      <c r="E9" s="290"/>
      <c r="F9" s="233" t="s">
        <v>38</v>
      </c>
      <c r="G9" s="290"/>
      <c r="H9" s="233" t="s">
        <v>38</v>
      </c>
      <c r="I9" s="290"/>
      <c r="J9" s="233" t="s">
        <v>38</v>
      </c>
      <c r="K9" s="556"/>
    </row>
    <row r="10" spans="1:12" x14ac:dyDescent="0.35">
      <c r="A10" s="135" t="s">
        <v>1061</v>
      </c>
      <c r="B10" s="351">
        <v>0</v>
      </c>
      <c r="C10" s="332">
        <f t="shared" ref="C10:C15" si="0">C28</f>
        <v>-4</v>
      </c>
      <c r="D10" s="351">
        <f>B10</f>
        <v>0</v>
      </c>
      <c r="E10" s="357">
        <f>E28</f>
        <v>-4</v>
      </c>
      <c r="F10" s="351">
        <f t="shared" ref="F10:F15" si="1">D10</f>
        <v>0</v>
      </c>
      <c r="G10" s="357">
        <f>G28</f>
        <v>-4</v>
      </c>
      <c r="H10" s="351">
        <f t="shared" ref="H10:H15" si="2">F10</f>
        <v>0</v>
      </c>
      <c r="I10" s="357">
        <f>I28</f>
        <v>-4</v>
      </c>
      <c r="J10" s="351">
        <f t="shared" ref="J10:J15" si="3">H10</f>
        <v>0</v>
      </c>
      <c r="K10" s="332">
        <f>K28</f>
        <v>-4</v>
      </c>
    </row>
    <row r="11" spans="1:12" x14ac:dyDescent="0.35">
      <c r="A11" s="135" t="s">
        <v>1062</v>
      </c>
      <c r="B11" s="351">
        <v>0</v>
      </c>
      <c r="C11" s="332">
        <f t="shared" si="0"/>
        <v>-4</v>
      </c>
      <c r="D11" s="351">
        <f>B11</f>
        <v>0</v>
      </c>
      <c r="E11" s="357">
        <f t="shared" ref="E11:E23" si="4">E29</f>
        <v>-4</v>
      </c>
      <c r="F11" s="351">
        <f t="shared" si="1"/>
        <v>0</v>
      </c>
      <c r="G11" s="357">
        <f t="shared" ref="G11:G23" si="5">G29</f>
        <v>-4</v>
      </c>
      <c r="H11" s="351">
        <f t="shared" si="2"/>
        <v>0</v>
      </c>
      <c r="I11" s="357">
        <f t="shared" ref="I11:I23" si="6">I29</f>
        <v>-4</v>
      </c>
      <c r="J11" s="351">
        <f t="shared" si="3"/>
        <v>0</v>
      </c>
      <c r="K11" s="332">
        <f t="shared" ref="K11:K23" si="7">K29</f>
        <v>-4</v>
      </c>
    </row>
    <row r="12" spans="1:12" x14ac:dyDescent="0.35">
      <c r="A12" s="135" t="s">
        <v>1063</v>
      </c>
      <c r="B12" s="351">
        <v>0</v>
      </c>
      <c r="C12" s="332">
        <f t="shared" si="0"/>
        <v>-4</v>
      </c>
      <c r="D12" s="351">
        <f>B12</f>
        <v>0</v>
      </c>
      <c r="E12" s="357">
        <f t="shared" si="4"/>
        <v>-4</v>
      </c>
      <c r="F12" s="351">
        <f t="shared" si="1"/>
        <v>0</v>
      </c>
      <c r="G12" s="357">
        <f t="shared" si="5"/>
        <v>-4</v>
      </c>
      <c r="H12" s="351">
        <f t="shared" si="2"/>
        <v>0</v>
      </c>
      <c r="I12" s="357">
        <f t="shared" si="6"/>
        <v>-4</v>
      </c>
      <c r="J12" s="351">
        <f t="shared" si="3"/>
        <v>0</v>
      </c>
      <c r="K12" s="332">
        <f t="shared" si="7"/>
        <v>-4</v>
      </c>
    </row>
    <row r="13" spans="1:12" x14ac:dyDescent="0.35">
      <c r="A13" s="135" t="s">
        <v>1064</v>
      </c>
      <c r="B13" s="351">
        <v>0</v>
      </c>
      <c r="C13" s="332">
        <f t="shared" si="0"/>
        <v>-4</v>
      </c>
      <c r="D13" s="351">
        <f>B13</f>
        <v>0</v>
      </c>
      <c r="E13" s="357">
        <f t="shared" si="4"/>
        <v>-4</v>
      </c>
      <c r="F13" s="351">
        <f t="shared" si="1"/>
        <v>0</v>
      </c>
      <c r="G13" s="357">
        <f t="shared" si="5"/>
        <v>-4</v>
      </c>
      <c r="H13" s="351">
        <f t="shared" si="2"/>
        <v>0</v>
      </c>
      <c r="I13" s="357">
        <f t="shared" si="6"/>
        <v>-4</v>
      </c>
      <c r="J13" s="351">
        <f t="shared" si="3"/>
        <v>0</v>
      </c>
      <c r="K13" s="332">
        <f t="shared" si="7"/>
        <v>-4</v>
      </c>
    </row>
    <row r="14" spans="1:12" x14ac:dyDescent="0.35">
      <c r="A14" s="135" t="s">
        <v>1065</v>
      </c>
      <c r="B14" s="351">
        <v>0.12</v>
      </c>
      <c r="C14" s="332">
        <f t="shared" si="0"/>
        <v>56756</v>
      </c>
      <c r="D14" s="351">
        <v>0.12</v>
      </c>
      <c r="E14" s="357">
        <f t="shared" si="4"/>
        <v>56756</v>
      </c>
      <c r="F14" s="351">
        <v>0.12</v>
      </c>
      <c r="G14" s="357">
        <f t="shared" si="5"/>
        <v>56756</v>
      </c>
      <c r="H14" s="351">
        <v>0.12</v>
      </c>
      <c r="I14" s="357">
        <f t="shared" si="6"/>
        <v>57891.199999999997</v>
      </c>
      <c r="J14" s="351">
        <v>0.12</v>
      </c>
      <c r="K14" s="332">
        <f t="shared" si="7"/>
        <v>57891.199999999997</v>
      </c>
    </row>
    <row r="15" spans="1:12" x14ac:dyDescent="0.35">
      <c r="A15" s="135" t="s">
        <v>562</v>
      </c>
      <c r="B15" s="351">
        <v>0</v>
      </c>
      <c r="C15" s="332">
        <f t="shared" si="0"/>
        <v>-4</v>
      </c>
      <c r="D15" s="351">
        <v>0</v>
      </c>
      <c r="E15" s="357">
        <f t="shared" si="4"/>
        <v>-4</v>
      </c>
      <c r="F15" s="351">
        <f t="shared" si="1"/>
        <v>0</v>
      </c>
      <c r="G15" s="357">
        <f t="shared" si="5"/>
        <v>-4</v>
      </c>
      <c r="H15" s="351">
        <f t="shared" si="2"/>
        <v>0</v>
      </c>
      <c r="I15" s="357">
        <f t="shared" si="6"/>
        <v>-4</v>
      </c>
      <c r="J15" s="351">
        <f t="shared" si="3"/>
        <v>0</v>
      </c>
      <c r="K15" s="332">
        <f t="shared" si="7"/>
        <v>-4</v>
      </c>
    </row>
    <row r="16" spans="1:12" x14ac:dyDescent="0.35">
      <c r="A16" s="135"/>
      <c r="B16" s="558"/>
      <c r="C16" s="332"/>
      <c r="D16" s="358"/>
      <c r="E16" s="357"/>
      <c r="F16" s="358"/>
      <c r="G16" s="357">
        <f t="shared" si="5"/>
        <v>0</v>
      </c>
      <c r="H16" s="358"/>
      <c r="I16" s="357">
        <f t="shared" si="6"/>
        <v>0</v>
      </c>
      <c r="J16" s="358"/>
      <c r="K16" s="332"/>
    </row>
    <row r="17" spans="1:22" x14ac:dyDescent="0.35">
      <c r="A17" s="263" t="s">
        <v>37</v>
      </c>
      <c r="B17" s="559"/>
      <c r="C17" s="332"/>
      <c r="D17" s="358"/>
      <c r="E17" s="357"/>
      <c r="F17" s="358"/>
      <c r="G17" s="357">
        <f t="shared" si="5"/>
        <v>0</v>
      </c>
      <c r="H17" s="358"/>
      <c r="I17" s="357">
        <f t="shared" si="6"/>
        <v>0</v>
      </c>
      <c r="J17" s="358"/>
      <c r="K17" s="332"/>
    </row>
    <row r="18" spans="1:22" x14ac:dyDescent="0.35">
      <c r="A18" s="135" t="s">
        <v>1061</v>
      </c>
      <c r="B18" s="560">
        <v>0</v>
      </c>
      <c r="C18" s="332">
        <f t="shared" ref="C18:C23" si="8">C36</f>
        <v>-4</v>
      </c>
      <c r="D18" s="351">
        <f>B18</f>
        <v>0</v>
      </c>
      <c r="E18" s="357">
        <f t="shared" si="4"/>
        <v>-4</v>
      </c>
      <c r="F18" s="351">
        <f t="shared" ref="F18:F23" si="9">D18</f>
        <v>0</v>
      </c>
      <c r="G18" s="357">
        <f t="shared" si="5"/>
        <v>-4</v>
      </c>
      <c r="H18" s="351">
        <f t="shared" ref="H18:H23" si="10">F18</f>
        <v>0</v>
      </c>
      <c r="I18" s="357">
        <f t="shared" si="6"/>
        <v>-4</v>
      </c>
      <c r="J18" s="351">
        <f t="shared" ref="J18:J23" si="11">H18</f>
        <v>0</v>
      </c>
      <c r="K18" s="332">
        <f t="shared" si="7"/>
        <v>-4</v>
      </c>
    </row>
    <row r="19" spans="1:22" x14ac:dyDescent="0.35">
      <c r="A19" s="135" t="s">
        <v>1062</v>
      </c>
      <c r="B19" s="560">
        <v>0</v>
      </c>
      <c r="C19" s="332">
        <f t="shared" si="8"/>
        <v>-4</v>
      </c>
      <c r="D19" s="351">
        <f>B19</f>
        <v>0</v>
      </c>
      <c r="E19" s="357">
        <f t="shared" si="4"/>
        <v>-4</v>
      </c>
      <c r="F19" s="351">
        <f t="shared" si="9"/>
        <v>0</v>
      </c>
      <c r="G19" s="357">
        <f t="shared" si="5"/>
        <v>-4</v>
      </c>
      <c r="H19" s="351">
        <f t="shared" si="10"/>
        <v>0</v>
      </c>
      <c r="I19" s="357">
        <f t="shared" si="6"/>
        <v>-4</v>
      </c>
      <c r="J19" s="351">
        <f t="shared" si="11"/>
        <v>0</v>
      </c>
      <c r="K19" s="332">
        <f t="shared" si="7"/>
        <v>-4</v>
      </c>
    </row>
    <row r="20" spans="1:22" x14ac:dyDescent="0.35">
      <c r="A20" s="135" t="s">
        <v>1063</v>
      </c>
      <c r="B20" s="560">
        <v>0</v>
      </c>
      <c r="C20" s="332">
        <f t="shared" si="8"/>
        <v>-4</v>
      </c>
      <c r="D20" s="351">
        <f>B20</f>
        <v>0</v>
      </c>
      <c r="E20" s="357">
        <f t="shared" si="4"/>
        <v>-4</v>
      </c>
      <c r="F20" s="351">
        <f t="shared" si="9"/>
        <v>0</v>
      </c>
      <c r="G20" s="357">
        <f t="shared" si="5"/>
        <v>-4</v>
      </c>
      <c r="H20" s="351">
        <f t="shared" si="10"/>
        <v>0</v>
      </c>
      <c r="I20" s="357">
        <f t="shared" si="6"/>
        <v>-4</v>
      </c>
      <c r="J20" s="351">
        <f t="shared" si="11"/>
        <v>0</v>
      </c>
      <c r="K20" s="332">
        <f t="shared" si="7"/>
        <v>-4</v>
      </c>
    </row>
    <row r="21" spans="1:22" x14ac:dyDescent="0.35">
      <c r="A21" s="135" t="s">
        <v>1064</v>
      </c>
      <c r="B21" s="560">
        <v>0</v>
      </c>
      <c r="C21" s="332">
        <f t="shared" si="8"/>
        <v>-4</v>
      </c>
      <c r="D21" s="351">
        <f>B21</f>
        <v>0</v>
      </c>
      <c r="E21" s="357">
        <f t="shared" si="4"/>
        <v>-4</v>
      </c>
      <c r="F21" s="351">
        <f t="shared" si="9"/>
        <v>0</v>
      </c>
      <c r="G21" s="357">
        <f t="shared" si="5"/>
        <v>-4</v>
      </c>
      <c r="H21" s="351">
        <f t="shared" si="10"/>
        <v>0</v>
      </c>
      <c r="I21" s="357">
        <f t="shared" si="6"/>
        <v>-4</v>
      </c>
      <c r="J21" s="351">
        <f t="shared" si="11"/>
        <v>0</v>
      </c>
      <c r="K21" s="332">
        <f t="shared" si="7"/>
        <v>-4</v>
      </c>
    </row>
    <row r="22" spans="1:22" x14ac:dyDescent="0.35">
      <c r="A22" s="135" t="s">
        <v>1065</v>
      </c>
      <c r="B22" s="560">
        <v>0.13</v>
      </c>
      <c r="C22" s="332">
        <f t="shared" si="8"/>
        <v>54595.894999999997</v>
      </c>
      <c r="D22" s="560">
        <v>0.13</v>
      </c>
      <c r="E22" s="357">
        <f t="shared" si="4"/>
        <v>54595.894999999997</v>
      </c>
      <c r="F22" s="560">
        <v>0.13</v>
      </c>
      <c r="G22" s="357">
        <f t="shared" si="5"/>
        <v>54595.894999999997</v>
      </c>
      <c r="H22" s="560">
        <v>0.13</v>
      </c>
      <c r="I22" s="357">
        <f t="shared" si="6"/>
        <v>55687.892899999999</v>
      </c>
      <c r="J22" s="560">
        <v>0.13</v>
      </c>
      <c r="K22" s="332">
        <f t="shared" si="7"/>
        <v>55687.892899999999</v>
      </c>
    </row>
    <row r="23" spans="1:22" x14ac:dyDescent="0.35">
      <c r="A23" s="135" t="s">
        <v>562</v>
      </c>
      <c r="B23" s="560">
        <v>0</v>
      </c>
      <c r="C23" s="332">
        <f t="shared" si="8"/>
        <v>-4</v>
      </c>
      <c r="D23" s="351">
        <v>0</v>
      </c>
      <c r="E23" s="357">
        <f t="shared" si="4"/>
        <v>-4</v>
      </c>
      <c r="F23" s="351">
        <f t="shared" si="9"/>
        <v>0</v>
      </c>
      <c r="G23" s="357">
        <f t="shared" si="5"/>
        <v>-4</v>
      </c>
      <c r="H23" s="351">
        <f t="shared" si="10"/>
        <v>0</v>
      </c>
      <c r="I23" s="357">
        <f t="shared" si="6"/>
        <v>-4</v>
      </c>
      <c r="J23" s="351">
        <f t="shared" si="11"/>
        <v>0</v>
      </c>
      <c r="K23" s="332">
        <f t="shared" si="7"/>
        <v>-4</v>
      </c>
    </row>
    <row r="24" spans="1:22" x14ac:dyDescent="0.35">
      <c r="A24" s="135"/>
      <c r="B24" s="561"/>
      <c r="C24" s="333"/>
      <c r="D24" s="358"/>
      <c r="E24" s="357"/>
      <c r="F24" s="358"/>
      <c r="G24" s="357"/>
      <c r="H24" s="358"/>
      <c r="I24" s="357"/>
      <c r="J24" s="358"/>
      <c r="K24" s="332"/>
    </row>
    <row r="25" spans="1:22" s="167" customFormat="1" ht="17.399999999999999" hidden="1" x14ac:dyDescent="0.35">
      <c r="A25" s="1080" t="s">
        <v>486</v>
      </c>
      <c r="B25" s="1048"/>
      <c r="C25" s="1048"/>
      <c r="D25" s="1048"/>
      <c r="E25" s="1048"/>
      <c r="F25" s="1048"/>
      <c r="G25" s="1048"/>
      <c r="H25" s="1048"/>
      <c r="I25" s="1048"/>
      <c r="J25" s="1048"/>
      <c r="K25" s="1049"/>
      <c r="L25" s="44"/>
    </row>
    <row r="26" spans="1:22" s="255" customFormat="1" hidden="1" x14ac:dyDescent="0.35">
      <c r="A26" s="263" t="s">
        <v>726</v>
      </c>
      <c r="B26" s="562">
        <f>'9.0 Scenario''s'!D14</f>
        <v>1</v>
      </c>
      <c r="C26" s="555"/>
      <c r="D26" s="233"/>
      <c r="E26" s="290"/>
      <c r="F26" s="233"/>
      <c r="G26" s="290"/>
      <c r="H26" s="233"/>
      <c r="I26" s="290"/>
      <c r="J26" s="233"/>
      <c r="K26" s="556"/>
      <c r="L26" s="1564"/>
    </row>
    <row r="27" spans="1:22" s="255" customFormat="1" hidden="1" x14ac:dyDescent="0.35">
      <c r="A27" s="490" t="s">
        <v>36</v>
      </c>
      <c r="B27" s="521" t="s">
        <v>38</v>
      </c>
      <c r="C27" s="1820"/>
      <c r="D27" s="521" t="s">
        <v>38</v>
      </c>
      <c r="E27" s="463"/>
      <c r="F27" s="521" t="s">
        <v>38</v>
      </c>
      <c r="G27" s="463"/>
      <c r="H27" s="521" t="s">
        <v>38</v>
      </c>
      <c r="I27" s="463"/>
      <c r="J27" s="521" t="s">
        <v>38</v>
      </c>
      <c r="K27" s="1821"/>
      <c r="L27" s="1564"/>
    </row>
    <row r="28" spans="1:22" hidden="1" x14ac:dyDescent="0.35">
      <c r="A28" s="442" t="s">
        <v>1061</v>
      </c>
      <c r="B28" s="1822">
        <f t="shared" ref="B28:B33" si="12">B10*$B$26</f>
        <v>0</v>
      </c>
      <c r="C28" s="489">
        <f>(1-$B28)*'7.2.1 Turnover Vehicles'!C10-('7.2.3 Turnover Service &amp; Body'!$B$24*'7.2.3 Turnover Service &amp; Body'!C$34)-'7.2.2 Turnover Parts'!$B$26</f>
        <v>-4</v>
      </c>
      <c r="D28" s="1822">
        <f t="shared" ref="D28:D33" si="13">D10*$B$26</f>
        <v>0</v>
      </c>
      <c r="E28" s="488">
        <f>(1-D28)*'7.2.1 Turnover Vehicles'!E10-('7.2.3 Turnover Service &amp; Body'!$B$24*'7.2.3 Turnover Service &amp; Body'!E$34)-'7.2.2 Turnover Parts'!$B$26</f>
        <v>-4</v>
      </c>
      <c r="F28" s="1822">
        <f t="shared" ref="F28:F33" si="14">F10*$B$26</f>
        <v>0</v>
      </c>
      <c r="G28" s="488">
        <f>(1-F28)*'7.2.1 Turnover Vehicles'!G10-('7.2.3 Turnover Service &amp; Body'!$B$24*'7.2.3 Turnover Service &amp; Body'!G$34)-'7.2.2 Turnover Parts'!$B$26</f>
        <v>-4</v>
      </c>
      <c r="H28" s="1822">
        <f t="shared" ref="H28:H33" si="15">H10*$B$26</f>
        <v>0</v>
      </c>
      <c r="I28" s="488">
        <f>(1-H28)*'7.2.1 Turnover Vehicles'!I10-('7.2.3 Turnover Service &amp; Body'!$B$24*'7.2.3 Turnover Service &amp; Body'!I$34)-'7.2.2 Turnover Parts'!$B$26</f>
        <v>-4</v>
      </c>
      <c r="J28" s="1822">
        <f t="shared" ref="J28:J33" si="16">J10*$B$26</f>
        <v>0</v>
      </c>
      <c r="K28" s="489">
        <f>(1-J28)*'7.2.1 Turnover Vehicles'!K10-('7.2.3 Turnover Service &amp; Body'!$B$24*'7.2.3 Turnover Service &amp; Body'!K$34)-'7.2.2 Turnover Parts'!$B$26</f>
        <v>-4</v>
      </c>
      <c r="N28" s="357"/>
      <c r="O28" s="136"/>
      <c r="P28" s="357"/>
      <c r="Q28" s="352"/>
      <c r="R28" s="357"/>
      <c r="S28" s="352"/>
      <c r="T28" s="357"/>
      <c r="U28" s="352"/>
      <c r="V28" s="357"/>
    </row>
    <row r="29" spans="1:22" hidden="1" x14ac:dyDescent="0.35">
      <c r="A29" s="442" t="s">
        <v>1062</v>
      </c>
      <c r="B29" s="1822">
        <f t="shared" si="12"/>
        <v>0</v>
      </c>
      <c r="C29" s="489">
        <f>(1-$B29)*'7.2.1 Turnover Vehicles'!C11-('7.2.3 Turnover Service &amp; Body'!$B$24*'7.2.3 Turnover Service &amp; Body'!C$34)-'7.2.2 Turnover Parts'!$B$26</f>
        <v>-4</v>
      </c>
      <c r="D29" s="1822">
        <f t="shared" si="13"/>
        <v>0</v>
      </c>
      <c r="E29" s="488">
        <f>(1-D29)*'7.2.1 Turnover Vehicles'!E11-('7.2.3 Turnover Service &amp; Body'!$B$24*'7.2.3 Turnover Service &amp; Body'!E$34)-'7.2.2 Turnover Parts'!$B$26</f>
        <v>-4</v>
      </c>
      <c r="F29" s="1822">
        <f t="shared" si="14"/>
        <v>0</v>
      </c>
      <c r="G29" s="488">
        <f>(1-F29)*'7.2.1 Turnover Vehicles'!G11-('7.2.3 Turnover Service &amp; Body'!$B$24*'7.2.3 Turnover Service &amp; Body'!G$34)-'7.2.2 Turnover Parts'!$B$26</f>
        <v>-4</v>
      </c>
      <c r="H29" s="1822">
        <f t="shared" si="15"/>
        <v>0</v>
      </c>
      <c r="I29" s="488">
        <f>(1-H29)*'7.2.1 Turnover Vehicles'!I11-('7.2.3 Turnover Service &amp; Body'!$B$24*'7.2.3 Turnover Service &amp; Body'!I$34)-'7.2.2 Turnover Parts'!$B$26</f>
        <v>-4</v>
      </c>
      <c r="J29" s="1822">
        <f t="shared" si="16"/>
        <v>0</v>
      </c>
      <c r="K29" s="489">
        <f>(1-J29)*'7.2.1 Turnover Vehicles'!K11-('7.2.3 Turnover Service &amp; Body'!$B$24*'7.2.3 Turnover Service &amp; Body'!K$34)-'7.2.2 Turnover Parts'!$B$26</f>
        <v>-4</v>
      </c>
      <c r="N29" s="357"/>
      <c r="O29" s="136"/>
      <c r="P29" s="357"/>
      <c r="Q29" s="352"/>
      <c r="R29" s="357"/>
      <c r="S29" s="352"/>
      <c r="T29" s="357"/>
      <c r="U29" s="352"/>
      <c r="V29" s="357"/>
    </row>
    <row r="30" spans="1:22" hidden="1" x14ac:dyDescent="0.35">
      <c r="A30" s="442" t="s">
        <v>1063</v>
      </c>
      <c r="B30" s="1822">
        <f t="shared" si="12"/>
        <v>0</v>
      </c>
      <c r="C30" s="489">
        <f>(1-$B30)*'7.2.1 Turnover Vehicles'!C12-('7.2.3 Turnover Service &amp; Body'!$B$24*'7.2.3 Turnover Service &amp; Body'!C$34)-'7.2.2 Turnover Parts'!$B$26</f>
        <v>-4</v>
      </c>
      <c r="D30" s="1822">
        <f t="shared" si="13"/>
        <v>0</v>
      </c>
      <c r="E30" s="488">
        <f>(1-D30)*'7.2.1 Turnover Vehicles'!E12-('7.2.3 Turnover Service &amp; Body'!$B$24*'7.2.3 Turnover Service &amp; Body'!E$34)-'7.2.2 Turnover Parts'!$B$26</f>
        <v>-4</v>
      </c>
      <c r="F30" s="1822">
        <f t="shared" si="14"/>
        <v>0</v>
      </c>
      <c r="G30" s="488">
        <f>(1-F30)*'7.2.1 Turnover Vehicles'!G12-('7.2.3 Turnover Service &amp; Body'!$B$24*'7.2.3 Turnover Service &amp; Body'!G$34)-'7.2.2 Turnover Parts'!$B$26</f>
        <v>-4</v>
      </c>
      <c r="H30" s="1822">
        <f t="shared" si="15"/>
        <v>0</v>
      </c>
      <c r="I30" s="488">
        <f>(1-H30)*'7.2.1 Turnover Vehicles'!I12-('7.2.3 Turnover Service &amp; Body'!$B$24*'7.2.3 Turnover Service &amp; Body'!I$34)-'7.2.2 Turnover Parts'!$B$26</f>
        <v>-4</v>
      </c>
      <c r="J30" s="1822">
        <f t="shared" si="16"/>
        <v>0</v>
      </c>
      <c r="K30" s="489">
        <f>(1-J30)*'7.2.1 Turnover Vehicles'!K12-('7.2.3 Turnover Service &amp; Body'!$B$24*'7.2.3 Turnover Service &amp; Body'!K$34)-'7.2.2 Turnover Parts'!$B$26</f>
        <v>-4</v>
      </c>
      <c r="N30" s="357"/>
      <c r="O30" s="136"/>
      <c r="P30" s="357"/>
      <c r="Q30" s="352"/>
      <c r="R30" s="357"/>
      <c r="S30" s="352"/>
      <c r="T30" s="357"/>
      <c r="U30" s="352"/>
      <c r="V30" s="357"/>
    </row>
    <row r="31" spans="1:22" hidden="1" x14ac:dyDescent="0.35">
      <c r="A31" s="442" t="s">
        <v>1064</v>
      </c>
      <c r="B31" s="1822">
        <f t="shared" si="12"/>
        <v>0</v>
      </c>
      <c r="C31" s="489">
        <f>(1-$B31)*'7.2.1 Turnover Vehicles'!C13-('7.2.3 Turnover Service &amp; Body'!$B$24*'7.2.3 Turnover Service &amp; Body'!C$34)-'7.2.2 Turnover Parts'!$B$26</f>
        <v>-4</v>
      </c>
      <c r="D31" s="1822">
        <f t="shared" si="13"/>
        <v>0</v>
      </c>
      <c r="E31" s="488">
        <f>(1-D31)*'7.2.1 Turnover Vehicles'!E13-('7.2.3 Turnover Service &amp; Body'!$B$24*'7.2.3 Turnover Service &amp; Body'!E$34)-'7.2.2 Turnover Parts'!$B$26</f>
        <v>-4</v>
      </c>
      <c r="F31" s="1822">
        <f t="shared" si="14"/>
        <v>0</v>
      </c>
      <c r="G31" s="488">
        <f>(1-F31)*'7.2.1 Turnover Vehicles'!G13-('7.2.3 Turnover Service &amp; Body'!$B$24*'7.2.3 Turnover Service &amp; Body'!G$34)-'7.2.2 Turnover Parts'!$B$26</f>
        <v>-4</v>
      </c>
      <c r="H31" s="1822">
        <f t="shared" si="15"/>
        <v>0</v>
      </c>
      <c r="I31" s="488">
        <f>(1-H31)*'7.2.1 Turnover Vehicles'!I13-('7.2.3 Turnover Service &amp; Body'!$B$24*'7.2.3 Turnover Service &amp; Body'!I$34)-'7.2.2 Turnover Parts'!$B$26</f>
        <v>-4</v>
      </c>
      <c r="J31" s="1822">
        <f t="shared" si="16"/>
        <v>0</v>
      </c>
      <c r="K31" s="489">
        <f>(1-J31)*'7.2.1 Turnover Vehicles'!K13-('7.2.3 Turnover Service &amp; Body'!$B$24*'7.2.3 Turnover Service &amp; Body'!K$34)-'7.2.2 Turnover Parts'!$B$26</f>
        <v>-4</v>
      </c>
      <c r="N31" s="357"/>
      <c r="O31" s="136"/>
      <c r="P31" s="357"/>
      <c r="Q31" s="352"/>
      <c r="R31" s="357"/>
      <c r="S31" s="352"/>
      <c r="T31" s="357"/>
      <c r="U31" s="352"/>
      <c r="V31" s="357"/>
    </row>
    <row r="32" spans="1:22" hidden="1" x14ac:dyDescent="0.35">
      <c r="A32" s="442" t="s">
        <v>1065</v>
      </c>
      <c r="B32" s="1822">
        <f t="shared" si="12"/>
        <v>0.12</v>
      </c>
      <c r="C32" s="489">
        <f>(1-$B32)*'7.2.1 Turnover Vehicles'!C14-('7.2.3 Turnover Service &amp; Body'!$B$24*'7.2.3 Turnover Service &amp; Body'!C$34)-'7.2.2 Turnover Parts'!$B$26</f>
        <v>56756</v>
      </c>
      <c r="D32" s="1822">
        <f t="shared" si="13"/>
        <v>0.12</v>
      </c>
      <c r="E32" s="488">
        <f>(1-D32)*'7.2.1 Turnover Vehicles'!E14-('7.2.3 Turnover Service &amp; Body'!$B$24*'7.2.3 Turnover Service &amp; Body'!E$34)-'7.2.2 Turnover Parts'!$B$26</f>
        <v>56756</v>
      </c>
      <c r="F32" s="1822">
        <f t="shared" si="14"/>
        <v>0.12</v>
      </c>
      <c r="G32" s="488">
        <f>(1-F32)*'7.2.1 Turnover Vehicles'!G14-('7.2.3 Turnover Service &amp; Body'!$B$24*'7.2.3 Turnover Service &amp; Body'!G$34)-'7.2.2 Turnover Parts'!$B$26</f>
        <v>56756</v>
      </c>
      <c r="H32" s="1822">
        <f t="shared" si="15"/>
        <v>0.12</v>
      </c>
      <c r="I32" s="488">
        <f>(1-H32)*'7.2.1 Turnover Vehicles'!I14-('7.2.3 Turnover Service &amp; Body'!$B$24*'7.2.3 Turnover Service &amp; Body'!I$34)-'7.2.2 Turnover Parts'!$B$26</f>
        <v>57891.199999999997</v>
      </c>
      <c r="J32" s="1822">
        <f t="shared" si="16"/>
        <v>0.12</v>
      </c>
      <c r="K32" s="489">
        <f>(1-J32)*'7.2.1 Turnover Vehicles'!K14-('7.2.3 Turnover Service &amp; Body'!$B$24*'7.2.3 Turnover Service &amp; Body'!K$34)-'7.2.2 Turnover Parts'!$B$26</f>
        <v>57891.199999999997</v>
      </c>
      <c r="N32" s="357"/>
      <c r="O32" s="136"/>
      <c r="P32" s="357"/>
      <c r="Q32" s="352"/>
      <c r="R32" s="357"/>
      <c r="S32" s="352"/>
      <c r="T32" s="357"/>
      <c r="U32" s="352"/>
      <c r="V32" s="357"/>
    </row>
    <row r="33" spans="1:22" hidden="1" x14ac:dyDescent="0.35">
      <c r="A33" s="442" t="s">
        <v>562</v>
      </c>
      <c r="B33" s="1822">
        <f t="shared" si="12"/>
        <v>0</v>
      </c>
      <c r="C33" s="489">
        <f>(1-$B33)*'7.2.1 Turnover Vehicles'!C15-('7.2.3 Turnover Service &amp; Body'!$B$24*'7.2.3 Turnover Service &amp; Body'!C$34)-'7.2.2 Turnover Parts'!$B$26</f>
        <v>-4</v>
      </c>
      <c r="D33" s="1822">
        <f t="shared" si="13"/>
        <v>0</v>
      </c>
      <c r="E33" s="488">
        <f>(1-D33)*'7.2.1 Turnover Vehicles'!E15-('7.2.3 Turnover Service &amp; Body'!$B$24*'7.2.3 Turnover Service &amp; Body'!E$34)-'7.2.2 Turnover Parts'!$B$26</f>
        <v>-4</v>
      </c>
      <c r="F33" s="1822">
        <f t="shared" si="14"/>
        <v>0</v>
      </c>
      <c r="G33" s="488">
        <f>(1-F33)*'7.2.1 Turnover Vehicles'!G15-('7.2.3 Turnover Service &amp; Body'!$B$24*'7.2.3 Turnover Service &amp; Body'!G$34)-'7.2.2 Turnover Parts'!$B$26</f>
        <v>-4</v>
      </c>
      <c r="H33" s="1822">
        <f t="shared" si="15"/>
        <v>0</v>
      </c>
      <c r="I33" s="488">
        <f>(1-H33)*'7.2.1 Turnover Vehicles'!I15-('7.2.3 Turnover Service &amp; Body'!$B$24*'7.2.3 Turnover Service &amp; Body'!I$34)-'7.2.2 Turnover Parts'!$B$26</f>
        <v>-4</v>
      </c>
      <c r="J33" s="1822">
        <f t="shared" si="16"/>
        <v>0</v>
      </c>
      <c r="K33" s="489">
        <f>(1-J33)*'7.2.1 Turnover Vehicles'!K15-('7.2.3 Turnover Service &amp; Body'!$B$24*'7.2.3 Turnover Service &amp; Body'!K$34)-'7.2.2 Turnover Parts'!$B$26</f>
        <v>-4</v>
      </c>
      <c r="N33" s="357"/>
      <c r="O33" s="136"/>
      <c r="P33" s="357"/>
      <c r="Q33" s="352"/>
      <c r="R33" s="357"/>
      <c r="S33" s="352"/>
      <c r="T33" s="357"/>
      <c r="U33" s="352"/>
      <c r="V33" s="357"/>
    </row>
    <row r="34" spans="1:22" hidden="1" x14ac:dyDescent="0.35">
      <c r="A34" s="442"/>
      <c r="B34" s="1800"/>
      <c r="C34" s="489"/>
      <c r="D34" s="485"/>
      <c r="E34" s="488"/>
      <c r="F34" s="485"/>
      <c r="G34" s="488"/>
      <c r="H34" s="485"/>
      <c r="I34" s="488"/>
      <c r="J34" s="485"/>
      <c r="K34" s="489"/>
      <c r="N34" s="357"/>
      <c r="O34" s="136"/>
      <c r="P34" s="357"/>
      <c r="Q34" s="352"/>
      <c r="R34" s="357"/>
      <c r="S34" s="352"/>
      <c r="T34" s="357"/>
      <c r="U34" s="352"/>
      <c r="V34" s="357"/>
    </row>
    <row r="35" spans="1:22" hidden="1" x14ac:dyDescent="0.35">
      <c r="A35" s="490" t="s">
        <v>37</v>
      </c>
      <c r="B35" s="1823"/>
      <c r="C35" s="489"/>
      <c r="D35" s="485"/>
      <c r="E35" s="488"/>
      <c r="F35" s="485"/>
      <c r="G35" s="488"/>
      <c r="H35" s="485"/>
      <c r="I35" s="488"/>
      <c r="J35" s="485"/>
      <c r="K35" s="489"/>
      <c r="N35" s="357"/>
      <c r="O35" s="136"/>
      <c r="P35" s="357"/>
      <c r="Q35" s="352"/>
      <c r="R35" s="357"/>
      <c r="S35" s="352"/>
      <c r="T35" s="357"/>
      <c r="U35" s="352"/>
      <c r="V35" s="357"/>
    </row>
    <row r="36" spans="1:22" hidden="1" x14ac:dyDescent="0.35">
      <c r="A36" s="442" t="s">
        <v>1061</v>
      </c>
      <c r="B36" s="1822">
        <f t="shared" ref="B36:B41" si="17">B18*$B$26</f>
        <v>0</v>
      </c>
      <c r="C36" s="489">
        <f>(1-$B36)*'7.2.1 Turnover Vehicles'!C21-('7.2.3 Turnover Service &amp; Body'!$B$24*'7.2.3 Turnover Service &amp; Body'!C$34)-'7.2.2 Turnover Parts'!$B$26</f>
        <v>-4</v>
      </c>
      <c r="D36" s="1822">
        <f t="shared" ref="D36:D41" si="18">D18*$B$26</f>
        <v>0</v>
      </c>
      <c r="E36" s="488">
        <f>(1-D36)*'7.2.1 Turnover Vehicles'!E21-('7.2.3 Turnover Service &amp; Body'!$B$24*'7.2.3 Turnover Service &amp; Body'!E$34)-'7.2.2 Turnover Parts'!$B$26</f>
        <v>-4</v>
      </c>
      <c r="F36" s="1822">
        <f t="shared" ref="F36:F41" si="19">F18*$B$26</f>
        <v>0</v>
      </c>
      <c r="G36" s="488">
        <f>(1-F36)*'7.2.1 Turnover Vehicles'!G21-('7.2.3 Turnover Service &amp; Body'!$B$24*'7.2.3 Turnover Service &amp; Body'!G$34)-'7.2.2 Turnover Parts'!$B$26</f>
        <v>-4</v>
      </c>
      <c r="H36" s="1822">
        <f t="shared" ref="H36:H41" si="20">H18*$B$26</f>
        <v>0</v>
      </c>
      <c r="I36" s="488">
        <f>(1-H36)*'7.2.1 Turnover Vehicles'!I21-('7.2.3 Turnover Service &amp; Body'!$B$24*'7.2.3 Turnover Service &amp; Body'!I$34)-'7.2.2 Turnover Parts'!$B$26</f>
        <v>-4</v>
      </c>
      <c r="J36" s="1822">
        <f t="shared" ref="J36:J41" si="21">J18*$B$26</f>
        <v>0</v>
      </c>
      <c r="K36" s="489">
        <f>(1-J36)*'7.2.1 Turnover Vehicles'!K21-('7.2.3 Turnover Service &amp; Body'!$B$24*'7.2.3 Turnover Service &amp; Body'!K$34)-'7.2.2 Turnover Parts'!$B$26</f>
        <v>-4</v>
      </c>
      <c r="N36" s="357"/>
      <c r="O36" s="136"/>
      <c r="P36" s="357"/>
      <c r="Q36" s="352"/>
      <c r="R36" s="357"/>
      <c r="S36" s="352"/>
      <c r="T36" s="357"/>
      <c r="U36" s="352"/>
      <c r="V36" s="357"/>
    </row>
    <row r="37" spans="1:22" hidden="1" x14ac:dyDescent="0.35">
      <c r="A37" s="442" t="s">
        <v>1062</v>
      </c>
      <c r="B37" s="1822">
        <f t="shared" si="17"/>
        <v>0</v>
      </c>
      <c r="C37" s="489">
        <f>(1-$B37)*'7.2.1 Turnover Vehicles'!C22-('7.2.3 Turnover Service &amp; Body'!$B$24*'7.2.3 Turnover Service &amp; Body'!C$34)-'7.2.2 Turnover Parts'!$B$26</f>
        <v>-4</v>
      </c>
      <c r="D37" s="1822">
        <f t="shared" si="18"/>
        <v>0</v>
      </c>
      <c r="E37" s="488">
        <f>(1-D37)*'7.2.1 Turnover Vehicles'!E22-('7.2.3 Turnover Service &amp; Body'!$B$24*'7.2.3 Turnover Service &amp; Body'!E$34)-'7.2.2 Turnover Parts'!$B$26</f>
        <v>-4</v>
      </c>
      <c r="F37" s="1822">
        <f t="shared" si="19"/>
        <v>0</v>
      </c>
      <c r="G37" s="488">
        <f>(1-F37)*'7.2.1 Turnover Vehicles'!G22-('7.2.3 Turnover Service &amp; Body'!$B$24*'7.2.3 Turnover Service &amp; Body'!G$34)-'7.2.2 Turnover Parts'!$B$26</f>
        <v>-4</v>
      </c>
      <c r="H37" s="1822">
        <f t="shared" si="20"/>
        <v>0</v>
      </c>
      <c r="I37" s="488">
        <f>(1-H37)*'7.2.1 Turnover Vehicles'!I22-('7.2.3 Turnover Service &amp; Body'!$B$24*'7.2.3 Turnover Service &amp; Body'!I$34)-'7.2.2 Turnover Parts'!$B$26</f>
        <v>-4</v>
      </c>
      <c r="J37" s="1822">
        <f t="shared" si="21"/>
        <v>0</v>
      </c>
      <c r="K37" s="489">
        <f>(1-J37)*'7.2.1 Turnover Vehicles'!K22-('7.2.3 Turnover Service &amp; Body'!$B$24*'7.2.3 Turnover Service &amp; Body'!K$34)-'7.2.2 Turnover Parts'!$B$26</f>
        <v>-4</v>
      </c>
      <c r="N37" s="357"/>
      <c r="O37" s="136"/>
      <c r="P37" s="357"/>
      <c r="Q37" s="352"/>
      <c r="R37" s="357"/>
      <c r="S37" s="352"/>
      <c r="T37" s="357"/>
      <c r="U37" s="352"/>
      <c r="V37" s="357"/>
    </row>
    <row r="38" spans="1:22" hidden="1" x14ac:dyDescent="0.35">
      <c r="A38" s="442" t="s">
        <v>1063</v>
      </c>
      <c r="B38" s="1822">
        <f t="shared" si="17"/>
        <v>0</v>
      </c>
      <c r="C38" s="489">
        <f>(1-$B38)*'7.2.1 Turnover Vehicles'!C23-('7.2.3 Turnover Service &amp; Body'!$B$24*'7.2.3 Turnover Service &amp; Body'!C$34)-'7.2.2 Turnover Parts'!$B$26</f>
        <v>-4</v>
      </c>
      <c r="D38" s="1822">
        <f t="shared" si="18"/>
        <v>0</v>
      </c>
      <c r="E38" s="488">
        <f>(1-D38)*'7.2.1 Turnover Vehicles'!E23-('7.2.3 Turnover Service &amp; Body'!$B$24*'7.2.3 Turnover Service &amp; Body'!E$34)-'7.2.2 Turnover Parts'!$B$26</f>
        <v>-4</v>
      </c>
      <c r="F38" s="1822">
        <f t="shared" si="19"/>
        <v>0</v>
      </c>
      <c r="G38" s="488">
        <f>(1-F38)*'7.2.1 Turnover Vehicles'!G23-('7.2.3 Turnover Service &amp; Body'!$B$24*'7.2.3 Turnover Service &amp; Body'!G$34)-'7.2.2 Turnover Parts'!$B$26</f>
        <v>-4</v>
      </c>
      <c r="H38" s="1822">
        <f t="shared" si="20"/>
        <v>0</v>
      </c>
      <c r="I38" s="488">
        <f>(1-H38)*'7.2.1 Turnover Vehicles'!I23-('7.2.3 Turnover Service &amp; Body'!$B$24*'7.2.3 Turnover Service &amp; Body'!I$34)-'7.2.2 Turnover Parts'!$B$26</f>
        <v>-4</v>
      </c>
      <c r="J38" s="1822">
        <f t="shared" si="21"/>
        <v>0</v>
      </c>
      <c r="K38" s="489">
        <f>(1-J38)*'7.2.1 Turnover Vehicles'!K23-('7.2.3 Turnover Service &amp; Body'!$B$24*'7.2.3 Turnover Service &amp; Body'!K$34)-'7.2.2 Turnover Parts'!$B$26</f>
        <v>-4</v>
      </c>
      <c r="N38" s="357"/>
      <c r="O38" s="136"/>
      <c r="P38" s="357"/>
      <c r="Q38" s="352"/>
      <c r="R38" s="357"/>
      <c r="S38" s="352"/>
      <c r="T38" s="357"/>
      <c r="U38" s="352"/>
      <c r="V38" s="357"/>
    </row>
    <row r="39" spans="1:22" hidden="1" x14ac:dyDescent="0.35">
      <c r="A39" s="442" t="s">
        <v>1064</v>
      </c>
      <c r="B39" s="1822">
        <f t="shared" si="17"/>
        <v>0</v>
      </c>
      <c r="C39" s="489">
        <f>(1-$B39)*'7.2.1 Turnover Vehicles'!C24-('7.2.3 Turnover Service &amp; Body'!$B$24*'7.2.3 Turnover Service &amp; Body'!C$34)-'7.2.2 Turnover Parts'!$B$26</f>
        <v>-4</v>
      </c>
      <c r="D39" s="1822">
        <f t="shared" si="18"/>
        <v>0</v>
      </c>
      <c r="E39" s="488">
        <f>(1-D39)*'7.2.1 Turnover Vehicles'!E24-('7.2.3 Turnover Service &amp; Body'!$B$24*'7.2.3 Turnover Service &amp; Body'!E$34)-'7.2.2 Turnover Parts'!$B$26</f>
        <v>-4</v>
      </c>
      <c r="F39" s="1822">
        <f t="shared" si="19"/>
        <v>0</v>
      </c>
      <c r="G39" s="488">
        <f>(1-F39)*'7.2.1 Turnover Vehicles'!G24-('7.2.3 Turnover Service &amp; Body'!$B$24*'7.2.3 Turnover Service &amp; Body'!G$34)-'7.2.2 Turnover Parts'!$B$26</f>
        <v>-4</v>
      </c>
      <c r="H39" s="1822">
        <f t="shared" si="20"/>
        <v>0</v>
      </c>
      <c r="I39" s="488">
        <f>(1-H39)*'7.2.1 Turnover Vehicles'!I24-('7.2.3 Turnover Service &amp; Body'!$B$24*'7.2.3 Turnover Service &amp; Body'!I$34)-'7.2.2 Turnover Parts'!$B$26</f>
        <v>-4</v>
      </c>
      <c r="J39" s="1822">
        <f t="shared" si="21"/>
        <v>0</v>
      </c>
      <c r="K39" s="489">
        <f>(1-J39)*'7.2.1 Turnover Vehicles'!K24-('7.2.3 Turnover Service &amp; Body'!$B$24*'7.2.3 Turnover Service &amp; Body'!K$34)-'7.2.2 Turnover Parts'!$B$26</f>
        <v>-4</v>
      </c>
      <c r="N39" s="357"/>
      <c r="O39" s="136"/>
      <c r="P39" s="357"/>
      <c r="Q39" s="352"/>
      <c r="R39" s="357"/>
      <c r="S39" s="352"/>
      <c r="T39" s="357"/>
      <c r="U39" s="352"/>
      <c r="V39" s="357"/>
    </row>
    <row r="40" spans="1:22" hidden="1" x14ac:dyDescent="0.35">
      <c r="A40" s="442" t="s">
        <v>1065</v>
      </c>
      <c r="B40" s="1822">
        <f t="shared" si="17"/>
        <v>0.13</v>
      </c>
      <c r="C40" s="489">
        <f>(1-$B40)*'7.2.1 Turnover Vehicles'!C25-('7.2.3 Turnover Service &amp; Body'!$B$24*'7.2.3 Turnover Service &amp; Body'!C$34)-'7.2.2 Turnover Parts'!$B$26</f>
        <v>54595.894999999997</v>
      </c>
      <c r="D40" s="1822">
        <f t="shared" si="18"/>
        <v>0.13</v>
      </c>
      <c r="E40" s="488">
        <f>(1-D40)*'7.2.1 Turnover Vehicles'!E25-('7.2.3 Turnover Service &amp; Body'!$B$24*'7.2.3 Turnover Service &amp; Body'!E$34)-'7.2.2 Turnover Parts'!$B$26</f>
        <v>54595.894999999997</v>
      </c>
      <c r="F40" s="1822">
        <f t="shared" si="19"/>
        <v>0.13</v>
      </c>
      <c r="G40" s="488">
        <f>(1-F40)*'7.2.1 Turnover Vehicles'!G25-('7.2.3 Turnover Service &amp; Body'!$B$24*'7.2.3 Turnover Service &amp; Body'!G$34)-'7.2.2 Turnover Parts'!$B$26</f>
        <v>54595.894999999997</v>
      </c>
      <c r="H40" s="1822">
        <f t="shared" si="20"/>
        <v>0.13</v>
      </c>
      <c r="I40" s="488">
        <f>(1-H40)*'7.2.1 Turnover Vehicles'!I25-('7.2.3 Turnover Service &amp; Body'!$B$24*'7.2.3 Turnover Service &amp; Body'!I$34)-'7.2.2 Turnover Parts'!$B$26</f>
        <v>55687.892899999999</v>
      </c>
      <c r="J40" s="1822">
        <f t="shared" si="21"/>
        <v>0.13</v>
      </c>
      <c r="K40" s="489">
        <f>(1-J40)*'7.2.1 Turnover Vehicles'!K25-('7.2.3 Turnover Service &amp; Body'!$B$24*'7.2.3 Turnover Service &amp; Body'!K$34)-'7.2.2 Turnover Parts'!$B$26</f>
        <v>55687.892899999999</v>
      </c>
      <c r="N40" s="357"/>
      <c r="O40" s="136"/>
      <c r="P40" s="357"/>
      <c r="Q40" s="352"/>
      <c r="R40" s="357"/>
      <c r="S40" s="352"/>
      <c r="T40" s="357"/>
      <c r="U40" s="352"/>
      <c r="V40" s="357"/>
    </row>
    <row r="41" spans="1:22" hidden="1" x14ac:dyDescent="0.35">
      <c r="A41" s="442" t="s">
        <v>562</v>
      </c>
      <c r="B41" s="1822">
        <f t="shared" si="17"/>
        <v>0</v>
      </c>
      <c r="C41" s="489">
        <f>(1-$B41)*'7.2.1 Turnover Vehicles'!C26-('7.2.3 Turnover Service &amp; Body'!$B$24*'7.2.3 Turnover Service &amp; Body'!C$34)-'7.2.2 Turnover Parts'!$B$26</f>
        <v>-4</v>
      </c>
      <c r="D41" s="1822">
        <f t="shared" si="18"/>
        <v>0</v>
      </c>
      <c r="E41" s="488">
        <f>(1-D41)*'7.2.1 Turnover Vehicles'!E26-('7.2.3 Turnover Service &amp; Body'!$B$24*'7.2.3 Turnover Service &amp; Body'!E$34)-'7.2.2 Turnover Parts'!$B$26</f>
        <v>-4</v>
      </c>
      <c r="F41" s="1822">
        <f t="shared" si="19"/>
        <v>0</v>
      </c>
      <c r="G41" s="488">
        <f>(1-F41)*'7.2.1 Turnover Vehicles'!G26-('7.2.3 Turnover Service &amp; Body'!$B$24*'7.2.3 Turnover Service &amp; Body'!G$34)-'7.2.2 Turnover Parts'!$B$26</f>
        <v>-4</v>
      </c>
      <c r="H41" s="1822">
        <f t="shared" si="20"/>
        <v>0</v>
      </c>
      <c r="I41" s="488">
        <f>(1-H41)*'7.2.1 Turnover Vehicles'!I26-('7.2.3 Turnover Service &amp; Body'!$B$24*'7.2.3 Turnover Service &amp; Body'!I$34)-'7.2.2 Turnover Parts'!$B$26</f>
        <v>-4</v>
      </c>
      <c r="J41" s="1822">
        <f t="shared" si="21"/>
        <v>0</v>
      </c>
      <c r="K41" s="489">
        <f>(1-J41)*'7.2.1 Turnover Vehicles'!K26-('7.2.3 Turnover Service &amp; Body'!$B$24*'7.2.3 Turnover Service &amp; Body'!K$34)-'7.2.2 Turnover Parts'!$B$26</f>
        <v>-4</v>
      </c>
      <c r="N41" s="357"/>
      <c r="O41" s="136"/>
      <c r="P41" s="357"/>
      <c r="Q41" s="352"/>
      <c r="R41" s="357"/>
      <c r="S41" s="352"/>
      <c r="T41" s="357"/>
      <c r="U41" s="352"/>
      <c r="V41" s="357"/>
    </row>
    <row r="42" spans="1:22" hidden="1" x14ac:dyDescent="0.35">
      <c r="A42" s="442"/>
      <c r="B42" s="1800"/>
      <c r="C42" s="489"/>
      <c r="D42" s="443"/>
      <c r="E42" s="469"/>
      <c r="F42" s="469"/>
      <c r="G42" s="469"/>
      <c r="H42" s="469"/>
      <c r="I42" s="469"/>
      <c r="J42" s="469"/>
      <c r="K42" s="483"/>
    </row>
    <row r="43" spans="1:22" s="167" customFormat="1" ht="17.399999999999999" x14ac:dyDescent="0.35">
      <c r="A43" s="1080" t="s">
        <v>487</v>
      </c>
      <c r="B43" s="1048"/>
      <c r="C43" s="1048"/>
      <c r="D43" s="1048"/>
      <c r="E43" s="1048"/>
      <c r="F43" s="1048"/>
      <c r="G43" s="1048"/>
      <c r="H43" s="1048"/>
      <c r="I43" s="1048"/>
      <c r="J43" s="1048"/>
      <c r="K43" s="1049"/>
      <c r="L43" s="44"/>
    </row>
    <row r="44" spans="1:22" x14ac:dyDescent="0.35">
      <c r="A44" s="563"/>
      <c r="B44" s="233"/>
      <c r="C44" s="137"/>
      <c r="D44" s="136"/>
      <c r="E44" s="564"/>
      <c r="F44" s="287"/>
      <c r="G44" s="564"/>
      <c r="H44" s="564"/>
      <c r="I44" s="564"/>
      <c r="J44" s="564"/>
      <c r="K44" s="174"/>
    </row>
    <row r="45" spans="1:22" x14ac:dyDescent="0.35">
      <c r="A45" s="563"/>
      <c r="B45" s="233" t="s">
        <v>38</v>
      </c>
      <c r="C45" s="137"/>
      <c r="D45" s="233" t="s">
        <v>38</v>
      </c>
      <c r="E45" s="564"/>
      <c r="F45" s="233" t="s">
        <v>38</v>
      </c>
      <c r="G45" s="564"/>
      <c r="H45" s="233" t="s">
        <v>38</v>
      </c>
      <c r="I45" s="564"/>
      <c r="J45" s="233" t="s">
        <v>38</v>
      </c>
      <c r="K45" s="174"/>
    </row>
    <row r="46" spans="1:22" x14ac:dyDescent="0.35">
      <c r="A46" s="563" t="s">
        <v>39</v>
      </c>
      <c r="B46" s="565">
        <v>0</v>
      </c>
      <c r="C46" s="566">
        <f>(1-$B46)*'7.2.1 Turnover Vehicles'!C42-'7.2.2 Turnover Parts'!$B27-('7.2.3 Turnover Service &amp; Body'!$B25*'7.2.3 Turnover Service &amp; Body'!C34)</f>
        <v>0</v>
      </c>
      <c r="D46" s="565">
        <f>B46</f>
        <v>0</v>
      </c>
      <c r="E46" s="567">
        <f>(1-D46)*'7.2.1 Turnover Vehicles'!E42-'7.2.2 Turnover Parts'!$B27-('7.2.3 Turnover Service &amp; Body'!$B25*'7.2.3 Turnover Service &amp; Body'!E34)</f>
        <v>0</v>
      </c>
      <c r="F46" s="565">
        <f>D46</f>
        <v>0</v>
      </c>
      <c r="G46" s="567">
        <f>(1-F46)*'7.2.1 Turnover Vehicles'!G42-'7.2.2 Turnover Parts'!$B27-('7.2.3 Turnover Service &amp; Body'!$B25*'7.2.3 Turnover Service &amp; Body'!G34)</f>
        <v>0</v>
      </c>
      <c r="H46" s="565">
        <f>F46</f>
        <v>0</v>
      </c>
      <c r="I46" s="567">
        <f>(1-H46)*'7.2.1 Turnover Vehicles'!I42-'7.2.2 Turnover Parts'!$B27-('7.2.3 Turnover Service &amp; Body'!$B25*'7.2.3 Turnover Service &amp; Body'!I34)</f>
        <v>0</v>
      </c>
      <c r="J46" s="565">
        <f>H46</f>
        <v>0</v>
      </c>
      <c r="K46" s="566">
        <f>(1-J46)*'7.2.1 Turnover Vehicles'!K42-'7.2.2 Turnover Parts'!$B27-('7.2.3 Turnover Service &amp; Body'!$B25*'7.2.3 Turnover Service &amp; Body'!K34)</f>
        <v>20000</v>
      </c>
    </row>
    <row r="47" spans="1:22" x14ac:dyDescent="0.35">
      <c r="A47" s="568"/>
      <c r="B47" s="569"/>
      <c r="C47" s="570"/>
      <c r="D47" s="369"/>
      <c r="E47" s="571"/>
      <c r="F47" s="317"/>
      <c r="G47" s="571"/>
      <c r="H47" s="572"/>
      <c r="I47" s="571"/>
      <c r="J47" s="572"/>
      <c r="K47" s="570"/>
    </row>
    <row r="48" spans="1:22" ht="17.399999999999999" x14ac:dyDescent="0.35">
      <c r="A48" s="1080" t="s">
        <v>488</v>
      </c>
      <c r="B48" s="1048"/>
      <c r="C48" s="1048"/>
      <c r="D48" s="1048"/>
      <c r="E48" s="1048"/>
      <c r="F48" s="1048"/>
      <c r="G48" s="1048"/>
      <c r="H48" s="1048"/>
      <c r="I48" s="1048"/>
      <c r="J48" s="1048"/>
      <c r="K48" s="1049"/>
    </row>
    <row r="49" spans="1:12" x14ac:dyDescent="0.35">
      <c r="A49" s="563"/>
      <c r="B49" s="233"/>
      <c r="C49" s="566"/>
      <c r="D49" s="352"/>
      <c r="E49" s="567"/>
      <c r="F49" s="314"/>
      <c r="G49" s="567"/>
      <c r="H49" s="361"/>
      <c r="I49" s="567"/>
      <c r="J49" s="361"/>
      <c r="K49" s="566"/>
    </row>
    <row r="50" spans="1:12" x14ac:dyDescent="0.35">
      <c r="A50" s="563"/>
      <c r="B50" s="233" t="s">
        <v>38</v>
      </c>
      <c r="C50" s="566"/>
      <c r="D50" s="233" t="s">
        <v>38</v>
      </c>
      <c r="E50" s="567"/>
      <c r="F50" s="233" t="s">
        <v>38</v>
      </c>
      <c r="G50" s="567"/>
      <c r="H50" s="233" t="s">
        <v>38</v>
      </c>
      <c r="I50" s="567"/>
      <c r="J50" s="233" t="s">
        <v>38</v>
      </c>
      <c r="K50" s="566"/>
    </row>
    <row r="51" spans="1:12" x14ac:dyDescent="0.35">
      <c r="A51" s="573" t="str">
        <f>IF('7.2.1 Turnover Vehicles'!A62 =""," ",'7.2.1 Turnover Vehicles'!A62)</f>
        <v>Turnover trailer</v>
      </c>
      <c r="B51" s="574">
        <v>0</v>
      </c>
      <c r="C51" s="566">
        <f>'7.2.1 Turnover Vehicles'!C62-('7.2.1 Turnover Vehicles'!C62*'7.3 Cost of sales'!$B51)</f>
        <v>0</v>
      </c>
      <c r="D51" s="574">
        <f>B51</f>
        <v>0</v>
      </c>
      <c r="E51" s="566">
        <f>'7.2.1 Turnover Vehicles'!E62-('7.2.1 Turnover Vehicles'!E62*'7.3 Cost of sales'!$B51)</f>
        <v>0</v>
      </c>
      <c r="F51" s="574">
        <f>D51</f>
        <v>0</v>
      </c>
      <c r="G51" s="566">
        <f>'7.2.1 Turnover Vehicles'!G62-('7.2.1 Turnover Vehicles'!G62*'7.3 Cost of sales'!$B51)</f>
        <v>0</v>
      </c>
      <c r="H51" s="574">
        <f>F51</f>
        <v>0</v>
      </c>
      <c r="I51" s="566">
        <f>'7.2.1 Turnover Vehicles'!I62-('7.2.1 Turnover Vehicles'!I62*'7.3 Cost of sales'!$B51)</f>
        <v>0</v>
      </c>
      <c r="J51" s="574">
        <f>H51</f>
        <v>0</v>
      </c>
      <c r="K51" s="566">
        <f>'7.2.1 Turnover Vehicles'!K62-('7.2.1 Turnover Vehicles'!K62*'7.3 Cost of sales'!$B51)</f>
        <v>0</v>
      </c>
    </row>
    <row r="52" spans="1:12" x14ac:dyDescent="0.35">
      <c r="A52" s="573" t="str">
        <f>IF('7.2.1 Turnover Vehicles'!A66 =""," ",'7.2.1 Turnover Vehicles'!A66)</f>
        <v>Turnover vans</v>
      </c>
      <c r="B52" s="574">
        <v>0</v>
      </c>
      <c r="C52" s="566">
        <f>'7.2.1 Turnover Vehicles'!C66-('7.2.1 Turnover Vehicles'!C66*'7.3 Cost of sales'!$B52)</f>
        <v>0</v>
      </c>
      <c r="D52" s="574">
        <f>B52</f>
        <v>0</v>
      </c>
      <c r="E52" s="566">
        <f>'7.2.1 Turnover Vehicles'!E66-('7.2.1 Turnover Vehicles'!E66*'7.3 Cost of sales'!$B52)</f>
        <v>0</v>
      </c>
      <c r="F52" s="574">
        <f>D52</f>
        <v>0</v>
      </c>
      <c r="G52" s="566">
        <f>'7.2.1 Turnover Vehicles'!G66-('7.2.1 Turnover Vehicles'!G66*'7.3 Cost of sales'!$B52)</f>
        <v>0</v>
      </c>
      <c r="H52" s="574">
        <f>F52</f>
        <v>0</v>
      </c>
      <c r="I52" s="566">
        <f>'7.2.1 Turnover Vehicles'!I66-('7.2.1 Turnover Vehicles'!I66*'7.3 Cost of sales'!$B52)</f>
        <v>0</v>
      </c>
      <c r="J52" s="574">
        <f>H52</f>
        <v>0</v>
      </c>
      <c r="K52" s="566">
        <f>'7.2.1 Turnover Vehicles'!K66-('7.2.1 Turnover Vehicles'!K66*'7.3 Cost of sales'!$B52)</f>
        <v>0</v>
      </c>
    </row>
    <row r="53" spans="1:12" x14ac:dyDescent="0.35">
      <c r="A53" s="573" t="s">
        <v>615</v>
      </c>
      <c r="B53" s="574">
        <v>0</v>
      </c>
      <c r="C53" s="570">
        <f>'7.2.1 Turnover Vehicles'!C70-('7.2.1 Turnover Vehicles'!C70*'7.3 Cost of sales'!$B53)</f>
        <v>0</v>
      </c>
      <c r="D53" s="574">
        <f>B53</f>
        <v>0</v>
      </c>
      <c r="E53" s="570">
        <f>'7.2.1 Turnover Vehicles'!E70-('7.2.1 Turnover Vehicles'!E70*'7.3 Cost of sales'!$B53)</f>
        <v>0</v>
      </c>
      <c r="F53" s="574">
        <f>D53</f>
        <v>0</v>
      </c>
      <c r="G53" s="570">
        <f>'7.2.1 Turnover Vehicles'!G70-('7.2.1 Turnover Vehicles'!G70*'7.3 Cost of sales'!$B53)</f>
        <v>0</v>
      </c>
      <c r="H53" s="574">
        <f>F53</f>
        <v>0</v>
      </c>
      <c r="I53" s="570">
        <f>'7.2.1 Turnover Vehicles'!I70-('7.2.1 Turnover Vehicles'!I70*'7.3 Cost of sales'!$B53)</f>
        <v>0</v>
      </c>
      <c r="J53" s="574">
        <f>H53</f>
        <v>0</v>
      </c>
      <c r="K53" s="570">
        <f>'7.2.1 Turnover Vehicles'!K70-('7.2.1 Turnover Vehicles'!K70*'7.3 Cost of sales'!$B53)</f>
        <v>0</v>
      </c>
    </row>
    <row r="54" spans="1:12" x14ac:dyDescent="0.35">
      <c r="A54" s="575" t="s">
        <v>410</v>
      </c>
      <c r="B54" s="576"/>
      <c r="C54" s="577">
        <f>SUM(C51:C53)</f>
        <v>0</v>
      </c>
      <c r="D54" s="372"/>
      <c r="E54" s="578">
        <f>SUM(E51:E53)</f>
        <v>0</v>
      </c>
      <c r="F54" s="374"/>
      <c r="G54" s="578">
        <f>SUM(G51:G53)</f>
        <v>0</v>
      </c>
      <c r="H54" s="375"/>
      <c r="I54" s="578">
        <f>SUM(I51:I53)</f>
        <v>0</v>
      </c>
      <c r="J54" s="375"/>
      <c r="K54" s="577">
        <f>SUM(K51:K53)</f>
        <v>0</v>
      </c>
    </row>
    <row r="55" spans="1:12" x14ac:dyDescent="0.35">
      <c r="A55" s="145"/>
      <c r="B55" s="146"/>
      <c r="C55" s="85"/>
      <c r="D55" s="146"/>
      <c r="E55" s="146"/>
      <c r="F55" s="146"/>
      <c r="G55" s="146"/>
      <c r="H55" s="146"/>
      <c r="I55" s="146"/>
      <c r="J55" s="146"/>
      <c r="K55" s="85"/>
    </row>
    <row r="56" spans="1:12" ht="18" x14ac:dyDescent="0.35">
      <c r="A56" s="1081" t="s">
        <v>907</v>
      </c>
      <c r="B56" s="1048"/>
      <c r="C56" s="1048"/>
      <c r="D56" s="1048"/>
      <c r="E56" s="1048"/>
      <c r="F56" s="1048"/>
      <c r="G56" s="1048"/>
      <c r="H56" s="1048"/>
      <c r="I56" s="1048"/>
      <c r="J56" s="1048"/>
      <c r="K56" s="1049"/>
    </row>
    <row r="57" spans="1:12" x14ac:dyDescent="0.35">
      <c r="A57" s="147"/>
      <c r="B57" s="148"/>
      <c r="C57" s="78"/>
      <c r="D57" s="148"/>
      <c r="E57" s="148"/>
      <c r="F57" s="148"/>
      <c r="G57" s="148"/>
      <c r="H57" s="148"/>
      <c r="I57" s="148"/>
      <c r="J57" s="148"/>
      <c r="K57" s="78"/>
    </row>
    <row r="58" spans="1:12" x14ac:dyDescent="0.35">
      <c r="A58" s="135" t="s">
        <v>40</v>
      </c>
      <c r="B58" s="136"/>
      <c r="C58" s="353">
        <f>('7.1 Dealer area'!C39-'7.1 Dealer area'!C51)*'7.3 Cost of sales'!C28+('7.1 Dealer area'!C40-'7.1 Dealer area'!C52)*'7.3 Cost of sales'!C29+('7.1 Dealer area'!C43-'7.1 Dealer area'!C53)*'7.3 Cost of sales'!C30+('7.1 Dealer area'!C44-'7.1 Dealer area'!C54)*'7.3 Cost of sales'!C31+('7.1 Dealer area'!C45-'7.1 Dealer area'!C55)*'7.3 Cost of sales'!C32+('7.1 Dealer area'!C46-'7.1 Dealer area'!C56)*'7.3 Cost of sales'!C33</f>
        <v>1191876</v>
      </c>
      <c r="D58" s="352"/>
      <c r="E58" s="352">
        <f>('7.1 Dealer area'!E39-'7.1 Dealer area'!E51)*'7.3 Cost of sales'!E28+('7.1 Dealer area'!E40-'7.1 Dealer area'!E52)*'7.3 Cost of sales'!E29+('7.1 Dealer area'!E43-'7.1 Dealer area'!E53)*'7.3 Cost of sales'!E30+('7.1 Dealer area'!E44-'7.1 Dealer area'!E54)*'7.3 Cost of sales'!E31+('7.1 Dealer area'!E45-'7.1 Dealer area'!E55)*'7.3 Cost of sales'!E32+('7.1 Dealer area'!E46-'7.1 Dealer area'!E56)*'7.3 Cost of sales'!E33</f>
        <v>2951312</v>
      </c>
      <c r="F58" s="352"/>
      <c r="G58" s="352">
        <f>('7.1 Dealer area'!G39-'7.1 Dealer area'!G51)*'7.3 Cost of sales'!G28+('7.1 Dealer area'!G40-'7.1 Dealer area'!G52)*'7.3 Cost of sales'!G29+('7.1 Dealer area'!G43-'7.1 Dealer area'!G53)*'7.3 Cost of sales'!G30+('7.1 Dealer area'!G44-'7.1 Dealer area'!G54)*'7.3 Cost of sales'!G31+('7.1 Dealer area'!G45-'7.1 Dealer area'!G55)*'7.3 Cost of sales'!G32+('7.1 Dealer area'!G46-'7.1 Dealer area'!G56)*'7.3 Cost of sales'!G33</f>
        <v>4994528</v>
      </c>
      <c r="H58" s="352"/>
      <c r="I58" s="352">
        <f>('7.1 Dealer area'!I39-'7.1 Dealer area'!I51)*'7.3 Cost of sales'!I28+('7.1 Dealer area'!I40-'7.1 Dealer area'!I52)*'7.3 Cost of sales'!I29+('7.1 Dealer area'!I43-'7.1 Dealer area'!I53)*'7.3 Cost of sales'!I30+('7.1 Dealer area'!I44-'7.1 Dealer area'!I54)*'7.3 Cost of sales'!I31+('7.1 Dealer area'!I45-'7.1 Dealer area'!I55)*'7.3 Cost of sales'!I32+('7.1 Dealer area'!I46-'7.1 Dealer area'!I56)*'7.3 Cost of sales'!I33</f>
        <v>6252249.5999999996</v>
      </c>
      <c r="J58" s="352"/>
      <c r="K58" s="353">
        <f>('7.1 Dealer area'!K39-'7.1 Dealer area'!K51)*'7.3 Cost of sales'!K28+('7.1 Dealer area'!K40-'7.1 Dealer area'!K52)*'7.3 Cost of sales'!K29+('7.1 Dealer area'!K43-'7.1 Dealer area'!K53)*'7.3 Cost of sales'!K30+('7.1 Dealer area'!K44-'7.1 Dealer area'!K54)*'7.3 Cost of sales'!K31+('7.1 Dealer area'!K45-'7.1 Dealer area'!K55)*'7.3 Cost of sales'!K32+('7.1 Dealer area'!K46-'7.1 Dealer area'!K56)*'7.3 Cost of sales'!K33</f>
        <v>7467964.7999999998</v>
      </c>
    </row>
    <row r="59" spans="1:12" x14ac:dyDescent="0.35">
      <c r="A59" s="135" t="s">
        <v>41</v>
      </c>
      <c r="B59" s="580"/>
      <c r="C59" s="353">
        <f>'7.1 Dealer area'!C51*'7.3 Cost of sales'!C36+'7.1 Dealer area'!C52*'7.3 Cost of sales'!C37+'7.1 Dealer area'!C53*'7.3 Cost of sales'!C38+'7.1 Dealer area'!C54*'7.3 Cost of sales'!C39+'7.1 Dealer area'!C55*'7.3 Cost of sales'!C40+'7.1 Dealer area'!C56*'7.3 Cost of sales'!C41</f>
        <v>436767.16</v>
      </c>
      <c r="D59" s="352"/>
      <c r="E59" s="352">
        <f>'7.1 Dealer area'!E51*'7.3 Cost of sales'!E36+'7.1 Dealer area'!E52*'7.3 Cost of sales'!E37+'7.1 Dealer area'!E53*'7.3 Cost of sales'!E38+'7.1 Dealer area'!E54*'7.3 Cost of sales'!E39+'7.1 Dealer area'!E55*'7.3 Cost of sales'!E40+'7.1 Dealer area'!E56*'7.3 Cost of sales'!E41</f>
        <v>1146513.7949999999</v>
      </c>
      <c r="F59" s="352"/>
      <c r="G59" s="352">
        <f>'7.1 Dealer area'!G51*'7.3 Cost of sales'!G36+'7.1 Dealer area'!G52*'7.3 Cost of sales'!G37+'7.1 Dealer area'!G53*'7.3 Cost of sales'!G38+'7.1 Dealer area'!G54*'7.3 Cost of sales'!G39+'7.1 Dealer area'!G55*'7.3 Cost of sales'!G40+'7.1 Dealer area'!G56*'7.3 Cost of sales'!G41</f>
        <v>2020048.115</v>
      </c>
      <c r="H59" s="352"/>
      <c r="I59" s="352">
        <f>'7.1 Dealer area'!I51*'7.3 Cost of sales'!I36+'7.1 Dealer area'!I52*'7.3 Cost of sales'!I37+'7.1 Dealer area'!I53*'7.3 Cost of sales'!I38+'7.1 Dealer area'!I54*'7.3 Cost of sales'!I39+'7.1 Dealer area'!I55*'7.3 Cost of sales'!I40+'7.1 Dealer area'!I56*'7.3 Cost of sales'!I41</f>
        <v>2561643.0734000001</v>
      </c>
      <c r="J59" s="352"/>
      <c r="K59" s="353">
        <f>'7.1 Dealer area'!K51*'7.3 Cost of sales'!K36+'7.1 Dealer area'!K52*'7.3 Cost of sales'!K37+'7.1 Dealer area'!K53*'7.3 Cost of sales'!K38+'7.1 Dealer area'!K54*'7.3 Cost of sales'!K39+'7.1 Dealer area'!K55*'7.3 Cost of sales'!K40+'7.1 Dealer area'!K56*'7.3 Cost of sales'!K41</f>
        <v>3062834.1094999998</v>
      </c>
    </row>
    <row r="60" spans="1:12" x14ac:dyDescent="0.35">
      <c r="A60" s="135" t="s">
        <v>42</v>
      </c>
      <c r="B60" s="136"/>
      <c r="C60" s="353">
        <f>'5.1 DAF Vehicle Parc Input'!K43*'7.3 Cost of sales'!C46*'7.2.1 Turnover Vehicles'!B45</f>
        <v>0</v>
      </c>
      <c r="D60" s="352"/>
      <c r="E60" s="352">
        <f>'5.1 DAF Vehicle Parc Input'!M43*'7.3 Cost of sales'!E46*'7.2.1 Turnover Vehicles'!B45</f>
        <v>0</v>
      </c>
      <c r="F60" s="352"/>
      <c r="G60" s="352">
        <f>'5.1 DAF Vehicle Parc Input'!O43*'7.3 Cost of sales'!G46*'7.2.1 Turnover Vehicles'!B45</f>
        <v>0</v>
      </c>
      <c r="H60" s="352"/>
      <c r="I60" s="352">
        <f>'5.1 DAF Vehicle Parc Input'!Q43*'7.3 Cost of sales'!I46*'7.2.1 Turnover Vehicles'!B45</f>
        <v>0</v>
      </c>
      <c r="J60" s="352"/>
      <c r="K60" s="353">
        <f>'5.1 DAF Vehicle Parc Input'!S43*'7.3 Cost of sales'!K46*'7.2.1 Turnover Vehicles'!B45</f>
        <v>0</v>
      </c>
    </row>
    <row r="61" spans="1:12" x14ac:dyDescent="0.35">
      <c r="A61" s="135" t="s">
        <v>43</v>
      </c>
      <c r="B61" s="136"/>
      <c r="C61" s="368">
        <f>C54</f>
        <v>0</v>
      </c>
      <c r="D61" s="352"/>
      <c r="E61" s="369">
        <f>E54</f>
        <v>0</v>
      </c>
      <c r="F61" s="352"/>
      <c r="G61" s="369">
        <f>G54</f>
        <v>0</v>
      </c>
      <c r="H61" s="352"/>
      <c r="I61" s="369">
        <f>I54</f>
        <v>0</v>
      </c>
      <c r="J61" s="352"/>
      <c r="K61" s="368">
        <f>K54</f>
        <v>0</v>
      </c>
    </row>
    <row r="62" spans="1:12" x14ac:dyDescent="0.35">
      <c r="A62" s="263" t="s">
        <v>44</v>
      </c>
      <c r="B62" s="136"/>
      <c r="C62" s="397">
        <f>SUM(C58:C61)</f>
        <v>1628643.16</v>
      </c>
      <c r="D62" s="372"/>
      <c r="E62" s="372">
        <f>SUM(E58:E61)</f>
        <v>4097825.7949999999</v>
      </c>
      <c r="F62" s="372"/>
      <c r="G62" s="372">
        <f>SUM(G58:G61)</f>
        <v>7014576.1150000002</v>
      </c>
      <c r="H62" s="372"/>
      <c r="I62" s="372">
        <f>SUM(I58:I61)</f>
        <v>8813892.6733999997</v>
      </c>
      <c r="J62" s="372"/>
      <c r="K62" s="539">
        <f>SUM(K58:K61)</f>
        <v>10530798.909499999</v>
      </c>
    </row>
    <row r="63" spans="1:12" x14ac:dyDescent="0.35">
      <c r="A63" s="264"/>
      <c r="B63" s="342"/>
      <c r="C63" s="398"/>
      <c r="D63" s="378"/>
      <c r="E63" s="378"/>
      <c r="F63" s="378"/>
      <c r="G63" s="378"/>
      <c r="H63" s="378"/>
      <c r="I63" s="378"/>
      <c r="J63" s="378"/>
      <c r="K63" s="398"/>
    </row>
    <row r="64" spans="1:12" s="167" customFormat="1" ht="18" x14ac:dyDescent="0.35">
      <c r="A64" s="1082" t="s">
        <v>411</v>
      </c>
      <c r="B64" s="1048"/>
      <c r="C64" s="1048"/>
      <c r="D64" s="1048"/>
      <c r="E64" s="1048"/>
      <c r="F64" s="1048"/>
      <c r="G64" s="1048"/>
      <c r="H64" s="1048"/>
      <c r="I64" s="1048"/>
      <c r="J64" s="1048"/>
      <c r="K64" s="1049"/>
      <c r="L64" s="44"/>
    </row>
    <row r="65" spans="1:22" x14ac:dyDescent="0.35">
      <c r="A65" s="263"/>
      <c r="B65" s="233" t="s">
        <v>50</v>
      </c>
      <c r="C65" s="397"/>
      <c r="D65" s="233" t="s">
        <v>50</v>
      </c>
      <c r="E65" s="372"/>
      <c r="F65" s="233" t="s">
        <v>50</v>
      </c>
      <c r="G65" s="372"/>
      <c r="H65" s="233" t="s">
        <v>50</v>
      </c>
      <c r="I65" s="372"/>
      <c r="J65" s="233" t="s">
        <v>50</v>
      </c>
      <c r="K65" s="397"/>
      <c r="L65" s="76"/>
      <c r="M65" s="136"/>
      <c r="N65" s="136"/>
      <c r="O65" s="136"/>
      <c r="P65" s="136"/>
      <c r="Q65" s="136"/>
      <c r="R65" s="136"/>
      <c r="S65" s="136"/>
      <c r="T65" s="136"/>
      <c r="U65" s="136"/>
      <c r="V65" s="136"/>
    </row>
    <row r="66" spans="1:22" x14ac:dyDescent="0.35">
      <c r="A66" s="263"/>
      <c r="B66" s="233" t="s">
        <v>45</v>
      </c>
      <c r="C66" s="397"/>
      <c r="D66" s="233" t="s">
        <v>45</v>
      </c>
      <c r="E66" s="372"/>
      <c r="F66" s="233" t="s">
        <v>45</v>
      </c>
      <c r="G66" s="372"/>
      <c r="H66" s="233" t="s">
        <v>45</v>
      </c>
      <c r="I66" s="372"/>
      <c r="J66" s="233" t="s">
        <v>45</v>
      </c>
      <c r="K66" s="397"/>
      <c r="L66" s="76"/>
      <c r="M66" s="136"/>
      <c r="N66" s="136"/>
      <c r="O66" s="136"/>
      <c r="P66" s="136"/>
      <c r="Q66" s="136"/>
      <c r="R66" s="136"/>
      <c r="S66" s="136"/>
      <c r="T66" s="136"/>
      <c r="U66" s="136"/>
      <c r="V66" s="136"/>
    </row>
    <row r="67" spans="1:22" x14ac:dyDescent="0.35">
      <c r="A67" s="135" t="s">
        <v>46</v>
      </c>
      <c r="B67" s="351">
        <v>0</v>
      </c>
      <c r="C67" s="353">
        <f>+C58*$B$67</f>
        <v>0</v>
      </c>
      <c r="D67" s="351">
        <f>B67</f>
        <v>0</v>
      </c>
      <c r="E67" s="352">
        <f>+E58*D67</f>
        <v>0</v>
      </c>
      <c r="F67" s="351">
        <f>D67</f>
        <v>0</v>
      </c>
      <c r="G67" s="352">
        <f>+G58*F67</f>
        <v>0</v>
      </c>
      <c r="H67" s="351">
        <f>F67</f>
        <v>0</v>
      </c>
      <c r="I67" s="352">
        <f>+I58*H67</f>
        <v>0</v>
      </c>
      <c r="J67" s="351">
        <f>H67</f>
        <v>0</v>
      </c>
      <c r="K67" s="353">
        <f>+K58*J67</f>
        <v>0</v>
      </c>
      <c r="L67" s="76"/>
      <c r="M67" s="136"/>
      <c r="N67" s="136"/>
      <c r="O67" s="136"/>
      <c r="P67" s="136"/>
      <c r="Q67" s="136"/>
      <c r="R67" s="136"/>
      <c r="S67" s="136"/>
      <c r="T67" s="136"/>
      <c r="U67" s="136"/>
      <c r="V67" s="136"/>
    </row>
    <row r="68" spans="1:22" x14ac:dyDescent="0.35">
      <c r="A68" s="135" t="s">
        <v>47</v>
      </c>
      <c r="B68" s="351">
        <v>0</v>
      </c>
      <c r="C68" s="368">
        <f>C61*$B68</f>
        <v>0</v>
      </c>
      <c r="D68" s="351">
        <f>B68</f>
        <v>0</v>
      </c>
      <c r="E68" s="369">
        <f>E61*D68</f>
        <v>0</v>
      </c>
      <c r="F68" s="351">
        <f>D68</f>
        <v>0</v>
      </c>
      <c r="G68" s="369">
        <f>G61*F68</f>
        <v>0</v>
      </c>
      <c r="H68" s="351">
        <f>F68</f>
        <v>0</v>
      </c>
      <c r="I68" s="369">
        <f>I61*H68</f>
        <v>0</v>
      </c>
      <c r="J68" s="351">
        <f>H68</f>
        <v>0</v>
      </c>
      <c r="K68" s="368">
        <f>K61*J68</f>
        <v>0</v>
      </c>
      <c r="L68" s="76"/>
      <c r="M68" s="136"/>
      <c r="N68" s="136"/>
      <c r="O68" s="136"/>
      <c r="P68" s="136"/>
      <c r="Q68" s="136"/>
      <c r="R68" s="136"/>
      <c r="S68" s="136"/>
      <c r="T68" s="136"/>
      <c r="U68" s="136"/>
      <c r="V68" s="136"/>
    </row>
    <row r="69" spans="1:22" x14ac:dyDescent="0.35">
      <c r="A69" s="135"/>
      <c r="B69" s="365"/>
      <c r="C69" s="353">
        <f>SUM(C67:C68)</f>
        <v>0</v>
      </c>
      <c r="D69" s="352"/>
      <c r="E69" s="352">
        <f>SUM(E67:E68)</f>
        <v>0</v>
      </c>
      <c r="F69" s="352"/>
      <c r="G69" s="352">
        <f>SUM(G67:G68)</f>
        <v>0</v>
      </c>
      <c r="H69" s="352"/>
      <c r="I69" s="352">
        <f>SUM(I67:I68)</f>
        <v>0</v>
      </c>
      <c r="J69" s="352"/>
      <c r="K69" s="353">
        <f>SUM(K67:K68)</f>
        <v>0</v>
      </c>
      <c r="L69" s="76"/>
      <c r="M69" s="136"/>
      <c r="N69" s="136"/>
      <c r="O69" s="136"/>
      <c r="P69" s="136"/>
      <c r="Q69" s="136"/>
      <c r="R69" s="136"/>
      <c r="S69" s="136"/>
      <c r="T69" s="136"/>
      <c r="U69" s="136"/>
      <c r="V69" s="136"/>
    </row>
    <row r="70" spans="1:22" x14ac:dyDescent="0.35">
      <c r="A70" s="145"/>
      <c r="B70" s="581"/>
      <c r="C70" s="368"/>
      <c r="D70" s="369"/>
      <c r="E70" s="369"/>
      <c r="F70" s="369"/>
      <c r="G70" s="369"/>
      <c r="H70" s="369"/>
      <c r="I70" s="369"/>
      <c r="J70" s="369"/>
      <c r="K70" s="368"/>
      <c r="L70" s="76"/>
      <c r="M70" s="136"/>
      <c r="N70" s="136"/>
      <c r="O70" s="136"/>
      <c r="P70" s="136"/>
      <c r="Q70" s="136"/>
      <c r="R70" s="136"/>
      <c r="S70" s="136"/>
      <c r="T70" s="136"/>
      <c r="U70" s="136"/>
      <c r="V70" s="136"/>
    </row>
    <row r="71" spans="1:22" x14ac:dyDescent="0.35">
      <c r="A71" s="136"/>
      <c r="B71" s="365"/>
      <c r="C71" s="352"/>
      <c r="D71" s="352"/>
      <c r="E71" s="352"/>
      <c r="F71" s="352"/>
      <c r="G71" s="352"/>
      <c r="H71" s="352"/>
      <c r="I71" s="352"/>
      <c r="J71" s="352"/>
      <c r="K71" s="352"/>
    </row>
    <row r="72" spans="1:22" s="167" customFormat="1" ht="18" x14ac:dyDescent="0.35">
      <c r="A72" s="1042" t="s">
        <v>48</v>
      </c>
      <c r="B72" s="833"/>
      <c r="C72" s="833"/>
      <c r="D72" s="833"/>
      <c r="E72" s="833"/>
      <c r="F72" s="833"/>
      <c r="G72" s="833"/>
      <c r="H72" s="833"/>
      <c r="I72" s="833"/>
      <c r="J72" s="833"/>
      <c r="K72" s="834"/>
      <c r="L72" s="44"/>
    </row>
    <row r="73" spans="1:22" ht="18" x14ac:dyDescent="0.35">
      <c r="A73" s="1042" t="s">
        <v>908</v>
      </c>
      <c r="B73" s="833"/>
      <c r="C73" s="833"/>
      <c r="D73" s="833"/>
      <c r="E73" s="833"/>
      <c r="F73" s="833"/>
      <c r="G73" s="833"/>
      <c r="H73" s="833"/>
      <c r="I73" s="833"/>
      <c r="J73" s="833"/>
      <c r="K73" s="834"/>
    </row>
    <row r="74" spans="1:22" x14ac:dyDescent="0.35">
      <c r="A74" s="263"/>
      <c r="B74" s="233"/>
      <c r="C74" s="79"/>
      <c r="D74" s="136"/>
      <c r="E74" s="136"/>
      <c r="F74" s="136"/>
      <c r="G74" s="136"/>
      <c r="H74" s="136"/>
      <c r="I74" s="136"/>
      <c r="J74" s="136"/>
      <c r="K74" s="79"/>
    </row>
    <row r="75" spans="1:22" x14ac:dyDescent="0.35">
      <c r="A75" s="135"/>
      <c r="B75" s="233" t="s">
        <v>38</v>
      </c>
      <c r="C75" s="79"/>
      <c r="D75" s="233" t="s">
        <v>38</v>
      </c>
      <c r="E75" s="136"/>
      <c r="F75" s="233" t="s">
        <v>38</v>
      </c>
      <c r="G75" s="136"/>
      <c r="H75" s="233" t="s">
        <v>38</v>
      </c>
      <c r="I75" s="136"/>
      <c r="J75" s="233" t="s">
        <v>38</v>
      </c>
      <c r="K75" s="79"/>
    </row>
    <row r="76" spans="1:22" x14ac:dyDescent="0.35">
      <c r="A76" s="135" t="s">
        <v>49</v>
      </c>
      <c r="B76" s="351">
        <v>0.3</v>
      </c>
      <c r="C76" s="353">
        <f>('7.2.2 Turnover Parts'!C36-'7.2.2 Turnover Parts'!C26)*(1-'7.3 Cost of sales'!$B76)</f>
        <v>36668.799999999996</v>
      </c>
      <c r="D76" s="351">
        <f>B76</f>
        <v>0.3</v>
      </c>
      <c r="E76" s="352">
        <f ca="1">('7.2.2 Turnover Parts'!E36-'7.2.2 Turnover Parts'!E26)*(1-'7.3 Cost of sales'!D76)</f>
        <v>97280.393392536615</v>
      </c>
      <c r="F76" s="351">
        <f>D76</f>
        <v>0.3</v>
      </c>
      <c r="G76" s="352">
        <f ca="1">('7.2.2 Turnover Parts'!G36-'7.2.2 Turnover Parts'!G26)*(1-'7.3 Cost of sales'!F76)</f>
        <v>160684.30062826432</v>
      </c>
      <c r="H76" s="351">
        <f>F76</f>
        <v>0.3</v>
      </c>
      <c r="I76" s="352">
        <f ca="1">('7.2.2 Turnover Parts'!I36-'7.2.2 Turnover Parts'!I26)*(1-'7.3 Cost of sales'!H76)</f>
        <v>268653.64786263229</v>
      </c>
      <c r="J76" s="351">
        <f>H76</f>
        <v>0.3</v>
      </c>
      <c r="K76" s="353">
        <f ca="1">('7.2.2 Turnover Parts'!K36-'7.2.2 Turnover Parts'!K26)*(1-'7.3 Cost of sales'!J76)</f>
        <v>434374.78459414159</v>
      </c>
      <c r="M76" s="582"/>
      <c r="N76" s="352"/>
      <c r="O76" s="582"/>
      <c r="P76" s="352"/>
      <c r="Q76" s="582"/>
      <c r="R76" s="352"/>
      <c r="S76" s="582"/>
      <c r="T76" s="352"/>
      <c r="U76" s="582"/>
    </row>
    <row r="77" spans="1:22" x14ac:dyDescent="0.35">
      <c r="A77" s="135" t="s">
        <v>1213</v>
      </c>
      <c r="B77" s="351">
        <v>0.3</v>
      </c>
      <c r="C77" s="353">
        <f>('7.2.2 Turnover Parts'!C37-'7.2.2 Turnover Parts'!C27)*(1-'7.3 Cost of sales'!$B77)</f>
        <v>1750</v>
      </c>
      <c r="D77" s="351">
        <f t="shared" ref="D77:D84" si="22">B77</f>
        <v>0.3</v>
      </c>
      <c r="E77" s="352">
        <f>('7.2.2 Turnover Parts'!E37-'7.2.2 Turnover Parts'!E27)*(1-'7.3 Cost of sales'!D77)</f>
        <v>7000</v>
      </c>
      <c r="F77" s="351">
        <f t="shared" ref="F77:F84" si="23">D77</f>
        <v>0.3</v>
      </c>
      <c r="G77" s="352">
        <f>('7.2.2 Turnover Parts'!G37-'7.2.2 Turnover Parts'!G27)*(1-'7.3 Cost of sales'!F77)</f>
        <v>10500</v>
      </c>
      <c r="H77" s="351">
        <f t="shared" ref="H77:H84" si="24">F77</f>
        <v>0.3</v>
      </c>
      <c r="I77" s="352">
        <f>('7.2.2 Turnover Parts'!I37-'7.2.2 Turnover Parts'!I27)*(1-'7.3 Cost of sales'!H77)</f>
        <v>21000</v>
      </c>
      <c r="J77" s="351">
        <f t="shared" ref="J77:J84" si="25">H77</f>
        <v>0.3</v>
      </c>
      <c r="K77" s="353">
        <f>('7.2.2 Turnover Parts'!K37-'7.2.2 Turnover Parts'!K27)*(1-'7.3 Cost of sales'!J77)</f>
        <v>26250</v>
      </c>
      <c r="M77" s="582"/>
      <c r="N77" s="352"/>
      <c r="O77" s="582"/>
      <c r="P77" s="352"/>
      <c r="Q77" s="582"/>
      <c r="R77" s="352"/>
      <c r="S77" s="582"/>
      <c r="T77" s="352"/>
      <c r="U77" s="582"/>
    </row>
    <row r="78" spans="1:22" x14ac:dyDescent="0.35">
      <c r="A78" s="135" t="s">
        <v>412</v>
      </c>
      <c r="B78" s="351">
        <v>0.25</v>
      </c>
      <c r="C78" s="353">
        <f>'7.2.2 Turnover Parts'!C26*(1-'7.3 Cost of sales'!$B$78)</f>
        <v>87</v>
      </c>
      <c r="D78" s="351">
        <f t="shared" si="22"/>
        <v>0.25</v>
      </c>
      <c r="E78" s="357">
        <f>'7.2.2 Turnover Parts'!E26*(1-'7.3 Cost of sales'!D78)</f>
        <v>219</v>
      </c>
      <c r="F78" s="351">
        <f t="shared" si="23"/>
        <v>0.25</v>
      </c>
      <c r="G78" s="357">
        <f>'7.2.2 Turnover Parts'!G26*(1-'7.3 Cost of sales'!F78)</f>
        <v>375</v>
      </c>
      <c r="H78" s="351">
        <f t="shared" si="24"/>
        <v>0.25</v>
      </c>
      <c r="I78" s="357">
        <f>'7.2.2 Turnover Parts'!I26*(1-'7.3 Cost of sales'!H78)</f>
        <v>462</v>
      </c>
      <c r="J78" s="351">
        <f t="shared" si="25"/>
        <v>0.25</v>
      </c>
      <c r="K78" s="332">
        <f>'7.2.2 Turnover Parts'!K26*(1-'7.3 Cost of sales'!J78)</f>
        <v>552</v>
      </c>
      <c r="M78" s="582"/>
      <c r="N78" s="352"/>
      <c r="O78" s="582"/>
      <c r="P78" s="352"/>
      <c r="Q78" s="582"/>
      <c r="R78" s="352"/>
      <c r="S78" s="582"/>
      <c r="T78" s="352"/>
      <c r="U78" s="582"/>
    </row>
    <row r="79" spans="1:22" x14ac:dyDescent="0.35">
      <c r="A79" s="135" t="s">
        <v>413</v>
      </c>
      <c r="B79" s="351">
        <v>0</v>
      </c>
      <c r="C79" s="332">
        <f>'7.2.2 Turnover Parts'!C27*(1-'7.3 Cost of sales'!B79)</f>
        <v>0</v>
      </c>
      <c r="D79" s="351">
        <v>0.15</v>
      </c>
      <c r="E79" s="357">
        <f>'7.2.2 Turnover Parts'!E27*(1-'7.3 Cost of sales'!D79)</f>
        <v>0</v>
      </c>
      <c r="F79" s="351">
        <f t="shared" si="23"/>
        <v>0.15</v>
      </c>
      <c r="G79" s="357">
        <f>'7.2.2 Turnover Parts'!G27*(1-'7.3 Cost of sales'!F79)</f>
        <v>0</v>
      </c>
      <c r="H79" s="351">
        <f t="shared" si="24"/>
        <v>0.15</v>
      </c>
      <c r="I79" s="357">
        <f>'7.2.2 Turnover Parts'!I27*(1-'7.3 Cost of sales'!H79)</f>
        <v>0</v>
      </c>
      <c r="J79" s="351">
        <f t="shared" si="25"/>
        <v>0.15</v>
      </c>
      <c r="K79" s="332">
        <f>'7.2.2 Turnover Parts'!K27*(1-'7.3 Cost of sales'!J79)</f>
        <v>0</v>
      </c>
      <c r="M79" s="582"/>
      <c r="N79" s="352"/>
      <c r="O79" s="582"/>
      <c r="P79" s="352"/>
      <c r="Q79" s="582"/>
      <c r="R79" s="352"/>
      <c r="S79" s="582"/>
      <c r="T79" s="352"/>
      <c r="U79" s="582"/>
    </row>
    <row r="80" spans="1:22" x14ac:dyDescent="0.35">
      <c r="A80" s="135" t="s">
        <v>504</v>
      </c>
      <c r="B80" s="351">
        <v>0.35</v>
      </c>
      <c r="C80" s="353">
        <f>'7.2.2 Turnover Parts'!C41*(1-'7.3 Cost of sales'!B80)</f>
        <v>41193.750000000007</v>
      </c>
      <c r="D80" s="351">
        <f t="shared" si="22"/>
        <v>0.35</v>
      </c>
      <c r="E80" s="352">
        <f ca="1">'7.2.2 Turnover Parts'!E41*(1-'7.3 Cost of sales'!D80)</f>
        <v>81469.434478048453</v>
      </c>
      <c r="F80" s="351">
        <f t="shared" si="23"/>
        <v>0.35</v>
      </c>
      <c r="G80" s="352">
        <f ca="1">'7.2.2 Turnover Parts'!G41*(1-'7.3 Cost of sales'!F80)</f>
        <v>74765.925291694148</v>
      </c>
      <c r="H80" s="351">
        <f t="shared" si="24"/>
        <v>0.35</v>
      </c>
      <c r="I80" s="352">
        <f ca="1">'7.2.2 Turnover Parts'!I41*(1-'7.3 Cost of sales'!H80)</f>
        <v>66630.533756461344</v>
      </c>
      <c r="J80" s="351">
        <f t="shared" si="25"/>
        <v>0.35</v>
      </c>
      <c r="K80" s="353">
        <f ca="1">'7.2.2 Turnover Parts'!K41*(1-'7.3 Cost of sales'!J80)</f>
        <v>51920.538977055687</v>
      </c>
      <c r="M80" s="582"/>
      <c r="N80" s="352"/>
      <c r="O80" s="582"/>
      <c r="P80" s="352"/>
      <c r="Q80" s="582"/>
      <c r="R80" s="352"/>
      <c r="S80" s="582"/>
      <c r="T80" s="352"/>
      <c r="U80" s="582"/>
    </row>
    <row r="81" spans="1:21" x14ac:dyDescent="0.35">
      <c r="A81" s="135" t="s">
        <v>505</v>
      </c>
      <c r="B81" s="351">
        <v>0.35</v>
      </c>
      <c r="C81" s="353">
        <f>'7.2.2 Turnover Parts'!C42*(1-'7.3 Cost of sales'!B81)</f>
        <v>22181.25</v>
      </c>
      <c r="D81" s="351">
        <f t="shared" si="22"/>
        <v>0.35</v>
      </c>
      <c r="E81" s="352">
        <f ca="1">'7.2.2 Turnover Parts'!E42*(1-'7.3 Cost of sales'!D81)</f>
        <v>54312.956318698969</v>
      </c>
      <c r="F81" s="351">
        <f t="shared" si="23"/>
        <v>0.35</v>
      </c>
      <c r="G81" s="352">
        <f ca="1">'7.2.2 Turnover Parts'!G42*(1-'7.3 Cost of sales'!F81)</f>
        <v>74765.925291694148</v>
      </c>
      <c r="H81" s="351">
        <f t="shared" si="24"/>
        <v>0.35</v>
      </c>
      <c r="I81" s="352">
        <f ca="1">'7.2.2 Turnover Parts'!I42*(1-'7.3 Cost of sales'!H81)</f>
        <v>99945.800634692001</v>
      </c>
      <c r="J81" s="351">
        <f t="shared" si="25"/>
        <v>0.35</v>
      </c>
      <c r="K81" s="353">
        <f ca="1">'7.2.2 Turnover Parts'!K42*(1-'7.3 Cost of sales'!J81)</f>
        <v>121147.92427979661</v>
      </c>
      <c r="M81" s="582"/>
      <c r="N81" s="352"/>
      <c r="O81" s="582"/>
      <c r="P81" s="352"/>
      <c r="Q81" s="582"/>
      <c r="R81" s="352"/>
      <c r="S81" s="582"/>
      <c r="T81" s="352"/>
      <c r="U81" s="582"/>
    </row>
    <row r="82" spans="1:21" x14ac:dyDescent="0.35">
      <c r="A82" s="135" t="s">
        <v>414</v>
      </c>
      <c r="B82" s="351">
        <v>0</v>
      </c>
      <c r="C82" s="353">
        <f>'7.2.2 Turnover Parts'!C43*(1-'7.3 Cost of sales'!B82)</f>
        <v>47500</v>
      </c>
      <c r="D82" s="351">
        <f t="shared" si="22"/>
        <v>0</v>
      </c>
      <c r="E82" s="352">
        <f>'7.2.2 Turnover Parts'!E43*(1-'7.3 Cost of sales'!D82)</f>
        <v>90000</v>
      </c>
      <c r="F82" s="351">
        <f t="shared" si="23"/>
        <v>0</v>
      </c>
      <c r="G82" s="352">
        <f>'7.2.2 Turnover Parts'!G43*(1-'7.3 Cost of sales'!F82)</f>
        <v>135000</v>
      </c>
      <c r="H82" s="351">
        <f t="shared" si="24"/>
        <v>0</v>
      </c>
      <c r="I82" s="352">
        <f>'7.2.2 Turnover Parts'!I43*(1-'7.3 Cost of sales'!H82)</f>
        <v>170000</v>
      </c>
      <c r="J82" s="351">
        <f t="shared" si="25"/>
        <v>0</v>
      </c>
      <c r="K82" s="353">
        <f>'7.2.2 Turnover Parts'!K43*(1-'7.3 Cost of sales'!J82)</f>
        <v>212500</v>
      </c>
      <c r="M82" s="582"/>
      <c r="N82" s="352"/>
      <c r="O82" s="582"/>
      <c r="P82" s="352"/>
      <c r="Q82" s="582"/>
      <c r="R82" s="352"/>
      <c r="S82" s="582"/>
      <c r="T82" s="352"/>
      <c r="U82" s="582"/>
    </row>
    <row r="83" spans="1:21" x14ac:dyDescent="0.35">
      <c r="A83" s="135" t="s">
        <v>1146</v>
      </c>
      <c r="B83" s="351">
        <v>0.2</v>
      </c>
      <c r="C83" s="332">
        <f>'7.2.2 Turnover Parts'!C19*(1-'7.3 Cost of sales'!B83)</f>
        <v>0</v>
      </c>
      <c r="D83" s="351">
        <f t="shared" si="22"/>
        <v>0.2</v>
      </c>
      <c r="E83" s="357">
        <f>'7.2.2 Turnover Parts'!E19*(1-'7.3 Cost of sales'!D83)</f>
        <v>10560</v>
      </c>
      <c r="F83" s="351">
        <f t="shared" si="23"/>
        <v>0.2</v>
      </c>
      <c r="G83" s="357">
        <f>'7.2.2 Turnover Parts'!G19*(1-'7.3 Cost of sales'!F83)</f>
        <v>14560</v>
      </c>
      <c r="H83" s="351">
        <f t="shared" si="24"/>
        <v>0.2</v>
      </c>
      <c r="I83" s="357">
        <f>'7.2.2 Turnover Parts'!I19*(1-'7.3 Cost of sales'!H83)</f>
        <v>22080</v>
      </c>
      <c r="J83" s="351">
        <f t="shared" si="25"/>
        <v>0.2</v>
      </c>
      <c r="K83" s="332">
        <f>'7.2.2 Turnover Parts'!K19*(1-'7.3 Cost of sales'!J83)</f>
        <v>25760</v>
      </c>
      <c r="M83" s="582"/>
      <c r="N83" s="352"/>
      <c r="O83" s="582"/>
      <c r="P83" s="352"/>
      <c r="Q83" s="582"/>
      <c r="R83" s="352"/>
      <c r="S83" s="582"/>
      <c r="T83" s="352"/>
      <c r="U83" s="582"/>
    </row>
    <row r="84" spans="1:21" x14ac:dyDescent="0.35">
      <c r="A84" s="135" t="s">
        <v>151</v>
      </c>
      <c r="B84" s="351">
        <v>0.4</v>
      </c>
      <c r="C84" s="368">
        <f>'7.2.2 Turnover Parts'!C20*(1-'7.3 Cost of sales'!B84)</f>
        <v>8315.1628856733369</v>
      </c>
      <c r="D84" s="351">
        <f t="shared" si="22"/>
        <v>0.4</v>
      </c>
      <c r="E84" s="369">
        <f>'7.2.2 Turnover Parts'!E20*(1-'7.3 Cost of sales'!D84)</f>
        <v>21742.314477631578</v>
      </c>
      <c r="F84" s="351">
        <f t="shared" si="23"/>
        <v>0.4</v>
      </c>
      <c r="G84" s="369">
        <f>'7.2.2 Turnover Parts'!G20*(1-'7.3 Cost of sales'!F84)</f>
        <v>32912.151329605273</v>
      </c>
      <c r="H84" s="351">
        <f t="shared" si="24"/>
        <v>0.4</v>
      </c>
      <c r="I84" s="369">
        <f>'7.2.2 Turnover Parts'!I20*(1-'7.3 Cost of sales'!H84)</f>
        <v>46728.80606842105</v>
      </c>
      <c r="J84" s="351">
        <f t="shared" si="25"/>
        <v>0.4</v>
      </c>
      <c r="K84" s="368">
        <f>'7.2.2 Turnover Parts'!K20*(1-'7.3 Cost of sales'!J84)</f>
        <v>61704.084380921042</v>
      </c>
      <c r="M84" s="582"/>
      <c r="N84" s="352"/>
      <c r="O84" s="582"/>
      <c r="P84" s="352"/>
      <c r="Q84" s="582"/>
      <c r="R84" s="352"/>
      <c r="S84" s="582"/>
      <c r="T84" s="352"/>
      <c r="U84" s="582"/>
    </row>
    <row r="85" spans="1:21" x14ac:dyDescent="0.35">
      <c r="A85" s="263" t="s">
        <v>1056</v>
      </c>
      <c r="B85" s="164"/>
      <c r="C85" s="397">
        <f>SUM(C76:C84)</f>
        <v>157695.96288567333</v>
      </c>
      <c r="D85" s="164"/>
      <c r="E85" s="372">
        <f ca="1">SUM(E76:E84)</f>
        <v>362584.09866691567</v>
      </c>
      <c r="F85" s="164"/>
      <c r="G85" s="372">
        <f ca="1">SUM(G76:G84)</f>
        <v>503563.30254125787</v>
      </c>
      <c r="H85" s="164"/>
      <c r="I85" s="372">
        <f ca="1">SUM(I76:I84)</f>
        <v>695500.78832220682</v>
      </c>
      <c r="J85" s="164"/>
      <c r="K85" s="397">
        <f ca="1">SUM(K76:K84)</f>
        <v>934209.33223191497</v>
      </c>
      <c r="O85" s="136"/>
      <c r="P85" s="136"/>
      <c r="Q85" s="136"/>
      <c r="R85" s="136"/>
      <c r="S85" s="136"/>
      <c r="T85" s="136"/>
      <c r="U85" s="136"/>
    </row>
    <row r="86" spans="1:21" x14ac:dyDescent="0.35">
      <c r="A86" s="145" t="s">
        <v>510</v>
      </c>
      <c r="B86" s="146"/>
      <c r="C86" s="583">
        <f>IF('7.2.2 Turnover Parts'!C17=0,0,((('7.2.2 Turnover Parts'!C36-'7.2.2 Turnover Parts'!C26)*'7.3 Cost of sales'!B76)+('7.2.2 Turnover Parts'!C26*'7.3 Cost of sales'!B78)+('7.2.2 Turnover Parts'!C41*'7.3 Cost of sales'!B80)+('7.2.2 Turnover Parts'!C42*'7.3 Cost of sales'!B81))/('7.2.2 Turnover Parts'!C17+0.0000000000000001))</f>
        <v>0.33246133333333333</v>
      </c>
      <c r="D86" s="584">
        <f ca="1">IF('7.2.2 Turnover Parts'!E17=0,0,((('7.2.2 Turnover Parts'!E36-'7.2.2 Turnover Parts'!E26)*'7.3 Cost of sales'!D76)+('7.2.2 Turnover Parts'!E26*'7.3 Cost of sales'!D78)+('7.2.2 Turnover Parts'!E41*'7.3 Cost of sales'!D80)+('7.2.2 Turnover Parts'!E42*'7.3 Cost of sales'!D81))/('7.2.2 Turnover Parts'!E17+0.000000001))</f>
        <v>0.32995806525450971</v>
      </c>
      <c r="E86" s="146"/>
      <c r="F86" s="584">
        <f ca="1">IF('7.2.2 Turnover Parts'!G17=0,0,((('7.2.2 Turnover Parts'!G36-'7.2.2 Turnover Parts'!G26)*'7.3 Cost of sales'!F76)+('7.2.2 Turnover Parts'!G26*'7.3 Cost of sales'!F78)+('7.2.2 Turnover Parts'!G41*'7.3 Cost of sales'!F80)+('7.2.2 Turnover Parts'!G42*'7.3 Cost of sales'!F81))/('7.2.2 Turnover Parts'!G17+0.00000000000001))</f>
        <v>0.32494566375010875</v>
      </c>
      <c r="G86" s="146"/>
      <c r="H86" s="584">
        <f ca="1">IF('7.2.2 Turnover Parts'!I17=0,0,((('7.2.2 Turnover Parts'!I36-'7.2.2 Turnover Parts'!I26)*'7.3 Cost of sales'!H76)+('7.2.2 Turnover Parts'!I26*'7.3 Cost of sales'!H78)+('7.2.2 Turnover Parts'!I41*'7.3 Cost of sales'!H80)+('7.2.2 Turnover Parts'!I42*'7.3 Cost of sales'!H81))/('7.2.2 Turnover Parts'!I17+0.000000000000001))</f>
        <v>0.31995192594416688</v>
      </c>
      <c r="I86" s="146"/>
      <c r="J86" s="584">
        <f ca="1">IF('7.2.2 Turnover Parts'!K17=0,0,((('7.2.2 Turnover Parts'!K36-'7.2.2 Turnover Parts'!K26)*'7.3 Cost of sales'!J76)+('7.2.2 Turnover Parts'!K26*'7.3 Cost of sales'!J78)+('7.2.2 Turnover Parts'!K41*'7.3 Cost of sales'!J80)+('7.2.2 Turnover Parts'!K42*'7.3 Cost of sales'!J81))/('7.2.2 Turnover Parts'!K17+0.000000000000001))</f>
        <v>0.31495853663998069</v>
      </c>
      <c r="K86" s="85"/>
    </row>
    <row r="87" spans="1:21" ht="18" x14ac:dyDescent="0.35">
      <c r="A87" s="1083" t="s">
        <v>415</v>
      </c>
      <c r="B87" s="1084"/>
      <c r="C87" s="1084"/>
      <c r="D87" s="1084"/>
      <c r="E87" s="1048"/>
      <c r="F87" s="1048"/>
      <c r="G87" s="1048"/>
      <c r="H87" s="1048"/>
      <c r="I87" s="1048"/>
      <c r="J87" s="1084"/>
      <c r="K87" s="1085"/>
    </row>
    <row r="88" spans="1:21" x14ac:dyDescent="0.35">
      <c r="A88" s="586" t="s">
        <v>498</v>
      </c>
      <c r="B88" s="585"/>
      <c r="C88" s="587">
        <v>0</v>
      </c>
      <c r="D88" s="588"/>
      <c r="E88" s="565">
        <f>C88</f>
        <v>0</v>
      </c>
      <c r="F88" s="589"/>
      <c r="G88" s="565">
        <f>E88</f>
        <v>0</v>
      </c>
      <c r="H88" s="589"/>
      <c r="I88" s="565">
        <f>G88</f>
        <v>0</v>
      </c>
      <c r="J88" s="588"/>
      <c r="K88" s="587">
        <f>I88</f>
        <v>0</v>
      </c>
    </row>
    <row r="89" spans="1:21" x14ac:dyDescent="0.35">
      <c r="A89" s="590"/>
      <c r="B89" s="233" t="s">
        <v>50</v>
      </c>
      <c r="C89" s="591"/>
      <c r="D89" s="233" t="s">
        <v>50</v>
      </c>
      <c r="E89" s="592"/>
      <c r="F89" s="233" t="s">
        <v>50</v>
      </c>
      <c r="G89" s="592"/>
      <c r="H89" s="233" t="s">
        <v>50</v>
      </c>
      <c r="I89" s="592"/>
      <c r="J89" s="233" t="s">
        <v>50</v>
      </c>
      <c r="K89" s="591"/>
    </row>
    <row r="90" spans="1:21" x14ac:dyDescent="0.35">
      <c r="A90" s="590"/>
      <c r="B90" s="233" t="s">
        <v>45</v>
      </c>
      <c r="C90" s="591"/>
      <c r="D90" s="233" t="s">
        <v>45</v>
      </c>
      <c r="E90" s="592"/>
      <c r="F90" s="233" t="s">
        <v>45</v>
      </c>
      <c r="G90" s="592"/>
      <c r="H90" s="233" t="s">
        <v>45</v>
      </c>
      <c r="I90" s="592"/>
      <c r="J90" s="233" t="s">
        <v>45</v>
      </c>
      <c r="K90" s="591"/>
    </row>
    <row r="91" spans="1:21" x14ac:dyDescent="0.35">
      <c r="A91" s="563" t="s">
        <v>51</v>
      </c>
      <c r="B91" s="565">
        <v>0</v>
      </c>
      <c r="C91" s="593">
        <f>(C76+C78+C80+C81)*C88*B91</f>
        <v>0</v>
      </c>
      <c r="D91" s="565">
        <f>B91</f>
        <v>0</v>
      </c>
      <c r="E91" s="594">
        <f ca="1">(E76+E78+E80+E81)*E88*D91</f>
        <v>0</v>
      </c>
      <c r="F91" s="565">
        <f>D91</f>
        <v>0</v>
      </c>
      <c r="G91" s="594">
        <f ca="1">(G76+G78+G80+G81)*G88*F91</f>
        <v>0</v>
      </c>
      <c r="H91" s="565">
        <f>F91</f>
        <v>0</v>
      </c>
      <c r="I91" s="594">
        <f ca="1">(I76+I78+I80+I81)*I88*H91</f>
        <v>0</v>
      </c>
      <c r="J91" s="565">
        <f>H91</f>
        <v>0</v>
      </c>
      <c r="K91" s="593">
        <f ca="1">(K76+K78+K80+K81)*K88*J91</f>
        <v>0</v>
      </c>
    </row>
    <row r="92" spans="1:21" x14ac:dyDescent="0.35">
      <c r="A92" s="563" t="s">
        <v>19</v>
      </c>
      <c r="B92" s="565">
        <v>0</v>
      </c>
      <c r="C92" s="595">
        <f>(C77+C79+C82+C84)*$B$92</f>
        <v>0</v>
      </c>
      <c r="D92" s="565">
        <f>B92</f>
        <v>0</v>
      </c>
      <c r="E92" s="596">
        <f>(E77+E79+E82+E84)*D92</f>
        <v>0</v>
      </c>
      <c r="F92" s="565">
        <f>D92</f>
        <v>0</v>
      </c>
      <c r="G92" s="596">
        <f>(G77+G79+G82+G84)*F92</f>
        <v>0</v>
      </c>
      <c r="H92" s="565">
        <f>F92</f>
        <v>0</v>
      </c>
      <c r="I92" s="596">
        <f>(I77+I79+I82+I84)*H92</f>
        <v>0</v>
      </c>
      <c r="J92" s="565">
        <f>H92</f>
        <v>0</v>
      </c>
      <c r="K92" s="597">
        <f>(K77+K79+K82+K84)*J92</f>
        <v>0</v>
      </c>
    </row>
    <row r="93" spans="1:21" x14ac:dyDescent="0.35">
      <c r="A93" s="563"/>
      <c r="B93" s="598"/>
      <c r="C93" s="593">
        <f>SUM(C91:C92)</f>
        <v>0</v>
      </c>
      <c r="D93" s="594"/>
      <c r="E93" s="599">
        <f ca="1">SUM(E91:E92)</f>
        <v>0</v>
      </c>
      <c r="F93" s="599"/>
      <c r="G93" s="599">
        <f ca="1">SUM(G91:G92)</f>
        <v>0</v>
      </c>
      <c r="H93" s="599"/>
      <c r="I93" s="599">
        <f ca="1">SUM(I91:I92)</f>
        <v>0</v>
      </c>
      <c r="J93" s="599"/>
      <c r="K93" s="600">
        <f ca="1">SUM(K91:K92)</f>
        <v>0</v>
      </c>
    </row>
    <row r="94" spans="1:21" x14ac:dyDescent="0.35">
      <c r="A94" s="568"/>
      <c r="B94" s="569"/>
      <c r="C94" s="595"/>
      <c r="D94" s="601"/>
      <c r="E94" s="601"/>
      <c r="F94" s="601"/>
      <c r="G94" s="601"/>
      <c r="H94" s="601"/>
      <c r="I94" s="601"/>
      <c r="J94" s="601"/>
      <c r="K94" s="595"/>
    </row>
    <row r="95" spans="1:21" x14ac:dyDescent="0.35">
      <c r="A95" s="592"/>
      <c r="B95" s="598"/>
      <c r="C95" s="594"/>
      <c r="D95" s="594"/>
      <c r="E95" s="594"/>
      <c r="F95" s="594"/>
      <c r="G95" s="594"/>
      <c r="H95" s="594"/>
      <c r="I95" s="594"/>
      <c r="J95" s="594"/>
      <c r="K95" s="594"/>
    </row>
    <row r="96" spans="1:21" ht="18" x14ac:dyDescent="0.35">
      <c r="A96" s="1042" t="s">
        <v>489</v>
      </c>
      <c r="B96" s="833"/>
      <c r="C96" s="833"/>
      <c r="D96" s="833"/>
      <c r="E96" s="833"/>
      <c r="F96" s="833"/>
      <c r="G96" s="833"/>
      <c r="H96" s="833"/>
      <c r="I96" s="833"/>
      <c r="J96" s="833"/>
      <c r="K96" s="834"/>
    </row>
    <row r="97" spans="1:11" x14ac:dyDescent="0.35">
      <c r="A97" s="563"/>
      <c r="B97" s="233"/>
      <c r="C97" s="602"/>
      <c r="D97" s="594"/>
      <c r="E97" s="594"/>
      <c r="F97" s="594"/>
      <c r="G97" s="594"/>
      <c r="H97" s="594"/>
      <c r="I97" s="594"/>
      <c r="J97" s="594"/>
      <c r="K97" s="593"/>
    </row>
    <row r="98" spans="1:11" x14ac:dyDescent="0.35">
      <c r="A98" s="563"/>
      <c r="B98" s="233" t="s">
        <v>38</v>
      </c>
      <c r="C98" s="593"/>
      <c r="D98" s="233" t="s">
        <v>38</v>
      </c>
      <c r="E98" s="594"/>
      <c r="F98" s="233" t="s">
        <v>38</v>
      </c>
      <c r="G98" s="594"/>
      <c r="H98" s="233" t="s">
        <v>38</v>
      </c>
      <c r="I98" s="594"/>
      <c r="J98" s="233" t="s">
        <v>38</v>
      </c>
      <c r="K98" s="593"/>
    </row>
    <row r="99" spans="1:11" x14ac:dyDescent="0.35">
      <c r="A99" s="563" t="str">
        <f>'7.2.3 Turnover Service &amp; Body'!A49</f>
        <v>Body &amp; paint</v>
      </c>
      <c r="B99" s="574">
        <v>0.25</v>
      </c>
      <c r="C99" s="593">
        <f>'7.2.3 Turnover Service &amp; Body'!C49*(1-'7.3 Cost of sales'!$B$99)</f>
        <v>2250</v>
      </c>
      <c r="D99" s="574">
        <f>B99</f>
        <v>0.25</v>
      </c>
      <c r="E99" s="594">
        <f>'7.2.3 Turnover Service &amp; Body'!E49*(1-'7.3 Cost of sales'!D99)</f>
        <v>3750</v>
      </c>
      <c r="F99" s="574">
        <f>D99</f>
        <v>0.25</v>
      </c>
      <c r="G99" s="594">
        <f>'7.2.3 Turnover Service &amp; Body'!G49*(1-'7.3 Cost of sales'!F99)</f>
        <v>6000</v>
      </c>
      <c r="H99" s="574">
        <f>F99</f>
        <v>0.25</v>
      </c>
      <c r="I99" s="594">
        <f>'7.2.3 Turnover Service &amp; Body'!I49*(1-'7.3 Cost of sales'!H99)</f>
        <v>9000</v>
      </c>
      <c r="J99" s="574">
        <f>H99</f>
        <v>0.25</v>
      </c>
      <c r="K99" s="593">
        <f>'7.2.3 Turnover Service &amp; Body'!K49*(1-'7.3 Cost of sales'!J99)</f>
        <v>12000</v>
      </c>
    </row>
    <row r="100" spans="1:11" x14ac:dyDescent="0.35">
      <c r="A100" s="563" t="str">
        <f>'7.2.3 Turnover Service &amp; Body'!A50</f>
        <v>Other 1</v>
      </c>
      <c r="B100" s="574">
        <v>0</v>
      </c>
      <c r="C100" s="593">
        <f>'7.2.3 Turnover Service &amp; Body'!C50*(1-'7.3 Cost of sales'!$B$100)</f>
        <v>0</v>
      </c>
      <c r="D100" s="574">
        <f>B100</f>
        <v>0</v>
      </c>
      <c r="E100" s="594">
        <f>'7.2.3 Turnover Service &amp; Body'!E50*(1-'7.3 Cost of sales'!D100)</f>
        <v>0</v>
      </c>
      <c r="F100" s="574">
        <f>D100</f>
        <v>0</v>
      </c>
      <c r="G100" s="594">
        <f>'7.2.3 Turnover Service &amp; Body'!G50*(1-'7.3 Cost of sales'!F100)</f>
        <v>0</v>
      </c>
      <c r="H100" s="574">
        <f>F100</f>
        <v>0</v>
      </c>
      <c r="I100" s="594">
        <f>'7.2.3 Turnover Service &amp; Body'!I50*(1-'7.3 Cost of sales'!H100)</f>
        <v>0</v>
      </c>
      <c r="J100" s="574">
        <f>H100</f>
        <v>0</v>
      </c>
      <c r="K100" s="593">
        <f>'7.2.3 Turnover Service &amp; Body'!K50*(1-'7.3 Cost of sales'!J100)</f>
        <v>0</v>
      </c>
    </row>
    <row r="101" spans="1:11" x14ac:dyDescent="0.35">
      <c r="A101" s="563" t="str">
        <f>'7.2.3 Turnover Service &amp; Body'!A51</f>
        <v>Other 2</v>
      </c>
      <c r="B101" s="574">
        <v>0</v>
      </c>
      <c r="C101" s="595">
        <f>'7.2.3 Turnover Service &amp; Body'!C51*(1-'7.3 Cost of sales'!B101)</f>
        <v>0</v>
      </c>
      <c r="D101" s="574">
        <f>B101</f>
        <v>0</v>
      </c>
      <c r="E101" s="601">
        <f>'7.2.3 Turnover Service &amp; Body'!E51*(1-'7.3 Cost of sales'!D101)</f>
        <v>0</v>
      </c>
      <c r="F101" s="574">
        <f>D101</f>
        <v>0</v>
      </c>
      <c r="G101" s="601">
        <f>'7.2.3 Turnover Service &amp; Body'!G51*(1-'7.3 Cost of sales'!F101)</f>
        <v>0</v>
      </c>
      <c r="H101" s="574">
        <f>F101</f>
        <v>0</v>
      </c>
      <c r="I101" s="601">
        <f>'7.2.3 Turnover Service &amp; Body'!I51*(1-'7.3 Cost of sales'!H101)</f>
        <v>0</v>
      </c>
      <c r="J101" s="574">
        <f>H101</f>
        <v>0</v>
      </c>
      <c r="K101" s="595">
        <f>'7.2.3 Turnover Service &amp; Body'!K51*(1-'7.3 Cost of sales'!J101)</f>
        <v>0</v>
      </c>
    </row>
    <row r="102" spans="1:11" x14ac:dyDescent="0.35">
      <c r="A102" s="590" t="s">
        <v>1056</v>
      </c>
      <c r="B102" s="576"/>
      <c r="C102" s="603">
        <f>SUM(C99:C101)</f>
        <v>2250</v>
      </c>
      <c r="D102" s="604"/>
      <c r="E102" s="604">
        <f>SUM(E99:E101)</f>
        <v>3750</v>
      </c>
      <c r="F102" s="604"/>
      <c r="G102" s="604">
        <f>SUM(G99:G101)</f>
        <v>6000</v>
      </c>
      <c r="H102" s="604"/>
      <c r="I102" s="604">
        <f>SUM(I99:I101)</f>
        <v>9000</v>
      </c>
      <c r="J102" s="604"/>
      <c r="K102" s="603">
        <f>SUM(K99:K101)</f>
        <v>12000</v>
      </c>
    </row>
    <row r="103" spans="1:11" x14ac:dyDescent="0.35">
      <c r="A103" s="568"/>
      <c r="B103" s="569"/>
      <c r="C103" s="595"/>
      <c r="D103" s="601"/>
      <c r="E103" s="601"/>
      <c r="F103" s="601"/>
      <c r="G103" s="601"/>
      <c r="H103" s="601"/>
      <c r="I103" s="601"/>
      <c r="J103" s="601"/>
      <c r="K103" s="595"/>
    </row>
    <row r="104" spans="1:11" ht="15" thickBot="1" x14ac:dyDescent="0.4">
      <c r="A104" s="592"/>
      <c r="B104" s="598"/>
      <c r="C104" s="594"/>
      <c r="D104" s="594"/>
      <c r="E104" s="594"/>
      <c r="F104" s="594"/>
      <c r="G104" s="594"/>
      <c r="H104" s="594"/>
      <c r="I104" s="594"/>
      <c r="J104" s="594"/>
      <c r="K104" s="594"/>
    </row>
    <row r="105" spans="1:11" ht="18.600000000000001" thickBot="1" x14ac:dyDescent="0.4">
      <c r="A105" s="1086" t="s">
        <v>906</v>
      </c>
      <c r="B105" s="1087"/>
      <c r="C105" s="1087"/>
      <c r="D105" s="1087"/>
      <c r="E105" s="1087"/>
      <c r="F105" s="1087"/>
      <c r="G105" s="1087"/>
      <c r="H105" s="1087"/>
      <c r="I105" s="1087"/>
      <c r="J105" s="1087"/>
      <c r="K105" s="1088"/>
    </row>
    <row r="106" spans="1:11" x14ac:dyDescent="0.35">
      <c r="A106" s="424"/>
      <c r="B106" s="136"/>
      <c r="C106" s="79"/>
      <c r="D106" s="136"/>
      <c r="E106" s="136"/>
      <c r="F106" s="136"/>
      <c r="G106" s="136"/>
      <c r="H106" s="136"/>
      <c r="I106" s="136"/>
      <c r="J106" s="136"/>
      <c r="K106" s="425"/>
    </row>
    <row r="107" spans="1:11" x14ac:dyDescent="0.35">
      <c r="A107" s="424" t="s">
        <v>52</v>
      </c>
      <c r="B107" s="136"/>
      <c r="C107" s="353">
        <f>C62</f>
        <v>1628643.16</v>
      </c>
      <c r="D107" s="136"/>
      <c r="E107" s="357">
        <f>E62</f>
        <v>4097825.7949999999</v>
      </c>
      <c r="F107" s="171"/>
      <c r="G107" s="357">
        <f>G62</f>
        <v>7014576.1150000002</v>
      </c>
      <c r="H107" s="171"/>
      <c r="I107" s="357">
        <f>I62</f>
        <v>8813892.6733999997</v>
      </c>
      <c r="J107" s="171"/>
      <c r="K107" s="605">
        <f>K62</f>
        <v>10530798.909499999</v>
      </c>
    </row>
    <row r="108" spans="1:11" x14ac:dyDescent="0.35">
      <c r="A108" s="424" t="s">
        <v>1138</v>
      </c>
      <c r="B108" s="136"/>
      <c r="C108" s="353">
        <f>C85</f>
        <v>157695.96288567333</v>
      </c>
      <c r="D108" s="136"/>
      <c r="E108" s="357">
        <f ca="1">E85</f>
        <v>362584.09866691567</v>
      </c>
      <c r="F108" s="171"/>
      <c r="G108" s="357">
        <f ca="1">G85</f>
        <v>503563.30254125787</v>
      </c>
      <c r="H108" s="171"/>
      <c r="I108" s="357">
        <f ca="1">I85</f>
        <v>695500.78832220682</v>
      </c>
      <c r="J108" s="171"/>
      <c r="K108" s="605">
        <f ca="1">K85</f>
        <v>934209.33223191497</v>
      </c>
    </row>
    <row r="109" spans="1:11" x14ac:dyDescent="0.35">
      <c r="A109" s="424" t="s">
        <v>53</v>
      </c>
      <c r="B109" s="136"/>
      <c r="C109" s="353">
        <f>C102</f>
        <v>2250</v>
      </c>
      <c r="D109" s="136"/>
      <c r="E109" s="357">
        <f>E102</f>
        <v>3750</v>
      </c>
      <c r="F109" s="171"/>
      <c r="G109" s="357">
        <f>G102</f>
        <v>6000</v>
      </c>
      <c r="H109" s="171"/>
      <c r="I109" s="357">
        <f>I102</f>
        <v>9000</v>
      </c>
      <c r="J109" s="171"/>
      <c r="K109" s="605">
        <f>K102</f>
        <v>12000</v>
      </c>
    </row>
    <row r="110" spans="1:11" x14ac:dyDescent="0.35">
      <c r="A110" s="424" t="s">
        <v>54</v>
      </c>
      <c r="B110" s="136"/>
      <c r="C110" s="353">
        <f>-C69</f>
        <v>0</v>
      </c>
      <c r="D110" s="136"/>
      <c r="E110" s="357">
        <f>-E69</f>
        <v>0</v>
      </c>
      <c r="F110" s="171"/>
      <c r="G110" s="357">
        <f>-G69</f>
        <v>0</v>
      </c>
      <c r="H110" s="171"/>
      <c r="I110" s="357">
        <f>-I69</f>
        <v>0</v>
      </c>
      <c r="J110" s="171"/>
      <c r="K110" s="605">
        <f>-K69</f>
        <v>0</v>
      </c>
    </row>
    <row r="111" spans="1:11" x14ac:dyDescent="0.35">
      <c r="A111" s="424" t="s">
        <v>55</v>
      </c>
      <c r="B111" s="136"/>
      <c r="C111" s="368">
        <f>-C93</f>
        <v>0</v>
      </c>
      <c r="D111" s="136"/>
      <c r="E111" s="407">
        <f ca="1">-E93</f>
        <v>0</v>
      </c>
      <c r="F111" s="171"/>
      <c r="G111" s="407">
        <f ca="1">-G93</f>
        <v>0</v>
      </c>
      <c r="H111" s="171"/>
      <c r="I111" s="407">
        <f ca="1">-I93</f>
        <v>0</v>
      </c>
      <c r="J111" s="171"/>
      <c r="K111" s="606">
        <f ca="1">-K93</f>
        <v>0</v>
      </c>
    </row>
    <row r="112" spans="1:11" x14ac:dyDescent="0.35">
      <c r="A112" s="435" t="s">
        <v>1056</v>
      </c>
      <c r="B112" s="136"/>
      <c r="C112" s="539">
        <f>SUM(C107:C111)</f>
        <v>1788589.1228856733</v>
      </c>
      <c r="D112" s="164"/>
      <c r="E112" s="412">
        <f ca="1">SUM(E107:E111)</f>
        <v>4464159.8936669156</v>
      </c>
      <c r="F112" s="164"/>
      <c r="G112" s="412">
        <f ca="1">SUM(G107:G111)</f>
        <v>7524139.417541258</v>
      </c>
      <c r="H112" s="222"/>
      <c r="I112" s="412">
        <f ca="1">SUM(I107:I111)</f>
        <v>9518393.4617222063</v>
      </c>
      <c r="J112" s="222"/>
      <c r="K112" s="607">
        <f ca="1">SUM(K107:K111)</f>
        <v>11477008.241731914</v>
      </c>
    </row>
    <row r="113" spans="1:11" ht="15" thickBot="1" x14ac:dyDescent="0.4">
      <c r="A113" s="438"/>
      <c r="B113" s="419"/>
      <c r="C113" s="439"/>
      <c r="D113" s="419"/>
      <c r="E113" s="419"/>
      <c r="F113" s="419"/>
      <c r="G113" s="419"/>
      <c r="H113" s="419"/>
      <c r="I113" s="419"/>
      <c r="J113" s="419"/>
      <c r="K113" s="440"/>
    </row>
  </sheetData>
  <sheetProtection password="813F" sheet="1" objects="1" scenarios="1" selectLockedCells="1"/>
  <customSheetViews>
    <customSheetView guid="{51165254-F18A-4CD1-9981-8F2DE14CC76C}" scale="85" showGridLines="0" fitToPage="1" hiddenRows="1" hiddenColumns="1" showRuler="0">
      <pane ySplit="5" topLeftCell="A6" activePane="bottomLeft" state="frozen"/>
      <selection pane="bottomLeft" activeCell="E81" sqref="E81"/>
      <pageMargins left="0.78740157480314965" right="0.78740157480314965" top="0.98425196850393704" bottom="0.98425196850393704" header="0.51181102362204722" footer="0.51181102362204722"/>
      <printOptions horizontalCentered="1" verticalCentered="1"/>
      <pageSetup paperSize="9" scale="40"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48"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1">
    <tabColor indexed="22"/>
  </sheetPr>
  <dimension ref="A1:N174"/>
  <sheetViews>
    <sheetView showGridLines="0" zoomScale="120" zoomScaleNormal="120" zoomScaleSheetLayoutView="100" workbookViewId="0">
      <selection activeCell="G11" sqref="G11"/>
    </sheetView>
  </sheetViews>
  <sheetFormatPr baseColWidth="10" defaultColWidth="0" defaultRowHeight="14.4" zeroHeight="1" x14ac:dyDescent="0.35"/>
  <cols>
    <col min="1" max="1" width="33" style="45" customWidth="1"/>
    <col min="2" max="2" width="10.33203125" style="45" customWidth="1"/>
    <col min="3" max="3" width="13.6640625" style="45" customWidth="1"/>
    <col min="4" max="4" width="9.109375" style="45" customWidth="1"/>
    <col min="5" max="5" width="13.44140625" style="45" customWidth="1"/>
    <col min="6" max="6" width="9.109375" style="45" customWidth="1"/>
    <col min="7" max="7" width="14.109375" style="45" customWidth="1"/>
    <col min="8" max="8" width="10.77734375" style="45" bestFit="1" customWidth="1"/>
    <col min="9" max="9" width="14.44140625" style="45" customWidth="1"/>
    <col min="10" max="10" width="11.77734375" style="45" customWidth="1"/>
    <col min="11" max="11" width="15.6640625" style="45" customWidth="1"/>
    <col min="12" max="12" width="1.44140625" style="45" customWidth="1"/>
    <col min="13" max="13" width="9.109375" style="45" hidden="1" customWidth="1"/>
    <col min="14" max="14" width="11.44140625" style="45" hidden="1" customWidth="1"/>
    <col min="15" max="16384" width="9.109375" style="45" hidden="1"/>
  </cols>
  <sheetData>
    <row r="1" spans="1:11" ht="28.8" x14ac:dyDescent="0.55000000000000004">
      <c r="A1" s="200" t="s">
        <v>1173</v>
      </c>
      <c r="B1" s="201"/>
      <c r="C1" s="201"/>
      <c r="D1" s="201"/>
      <c r="E1" s="201"/>
      <c r="F1" s="201"/>
      <c r="G1" s="201"/>
      <c r="H1" s="201"/>
      <c r="I1" s="201"/>
      <c r="J1" s="201"/>
      <c r="K1" s="202" t="s">
        <v>694</v>
      </c>
    </row>
    <row r="2" spans="1:11" x14ac:dyDescent="0.35">
      <c r="A2" s="135"/>
      <c r="B2" s="136"/>
      <c r="C2" s="136"/>
      <c r="D2" s="136"/>
      <c r="E2" s="280"/>
      <c r="F2" s="136"/>
      <c r="G2" s="136"/>
      <c r="H2" s="136"/>
      <c r="I2" s="136"/>
      <c r="J2" s="136"/>
      <c r="K2" s="137"/>
    </row>
    <row r="3" spans="1:11" ht="16.2" x14ac:dyDescent="0.35">
      <c r="A3" s="138" t="s">
        <v>1035</v>
      </c>
      <c r="B3" s="281" t="str">
        <f>'Reference sheet'!C12</f>
        <v>TRUCK INTERNATIONAL MOBILITY SA</v>
      </c>
      <c r="C3" s="240"/>
      <c r="E3" s="242" t="s">
        <v>1036</v>
      </c>
      <c r="F3" s="282">
        <f>'Reference sheet'!C15</f>
        <v>2</v>
      </c>
      <c r="G3" s="283" t="s">
        <v>1037</v>
      </c>
      <c r="H3" s="243" t="str">
        <f>'Reference sheet'!C17</f>
        <v>October</v>
      </c>
      <c r="I3" s="982">
        <f>'Reference sheet'!D17</f>
        <v>2018</v>
      </c>
      <c r="J3" s="143" t="s">
        <v>1175</v>
      </c>
      <c r="K3" s="284" t="str">
        <f>'7.1 Dealer area'!K3</f>
        <v>EUR</v>
      </c>
    </row>
    <row r="4" spans="1:11" x14ac:dyDescent="0.35">
      <c r="A4" s="135"/>
      <c r="B4" s="181"/>
      <c r="C4" s="136"/>
      <c r="D4" s="136"/>
      <c r="E4" s="136"/>
      <c r="F4" s="136"/>
      <c r="G4" s="182"/>
      <c r="H4" s="136"/>
      <c r="I4" s="136"/>
      <c r="J4" s="136"/>
      <c r="K4" s="340"/>
    </row>
    <row r="5" spans="1:11" x14ac:dyDescent="0.35">
      <c r="A5" s="145"/>
      <c r="B5" s="146"/>
      <c r="C5" s="341">
        <f>'7.3 Cost of sales'!C5</f>
        <v>2019</v>
      </c>
      <c r="D5" s="342"/>
      <c r="E5" s="288">
        <f>'7.1 Dealer area'!E5</f>
        <v>2020</v>
      </c>
      <c r="F5" s="343"/>
      <c r="G5" s="288">
        <f>'7.1 Dealer area'!G5</f>
        <v>2021</v>
      </c>
      <c r="H5" s="344"/>
      <c r="I5" s="288">
        <f>'7.1 Dealer area'!I5</f>
        <v>2022</v>
      </c>
      <c r="J5" s="344"/>
      <c r="K5" s="288">
        <f>'7.1 Dealer area'!K5</f>
        <v>2023</v>
      </c>
    </row>
    <row r="6" spans="1:11" ht="18" x14ac:dyDescent="0.35">
      <c r="A6" s="1042" t="s">
        <v>390</v>
      </c>
      <c r="B6" s="833"/>
      <c r="C6" s="833"/>
      <c r="D6" s="833"/>
      <c r="E6" s="833"/>
      <c r="F6" s="833"/>
      <c r="G6" s="833"/>
      <c r="H6" s="833"/>
      <c r="I6" s="833"/>
      <c r="J6" s="833"/>
      <c r="K6" s="834"/>
    </row>
    <row r="7" spans="1:11" x14ac:dyDescent="0.35">
      <c r="A7" s="135"/>
      <c r="B7" s="136"/>
      <c r="C7" s="79"/>
      <c r="D7" s="136"/>
      <c r="E7" s="136"/>
      <c r="F7" s="136"/>
      <c r="G7" s="136"/>
      <c r="H7" s="136"/>
      <c r="I7" s="136"/>
      <c r="J7" s="136"/>
      <c r="K7" s="79"/>
    </row>
    <row r="8" spans="1:11" x14ac:dyDescent="0.35">
      <c r="A8" s="135" t="s">
        <v>56</v>
      </c>
      <c r="B8" s="136"/>
      <c r="C8" s="608">
        <v>1</v>
      </c>
      <c r="D8" s="514"/>
      <c r="E8" s="609">
        <f>+C8</f>
        <v>1</v>
      </c>
      <c r="F8" s="1866"/>
      <c r="G8" s="609">
        <f>+C8</f>
        <v>1</v>
      </c>
      <c r="H8" s="1867"/>
      <c r="I8" s="609">
        <f>+C8</f>
        <v>1</v>
      </c>
      <c r="J8" s="1867"/>
      <c r="K8" s="610">
        <f>+C8</f>
        <v>1</v>
      </c>
    </row>
    <row r="9" spans="1:11" x14ac:dyDescent="0.35">
      <c r="A9" s="135" t="s">
        <v>57</v>
      </c>
      <c r="B9" s="136"/>
      <c r="C9" s="608">
        <v>1</v>
      </c>
      <c r="D9" s="514"/>
      <c r="E9" s="609">
        <f>+C9</f>
        <v>1</v>
      </c>
      <c r="F9" s="1866"/>
      <c r="G9" s="609">
        <f>+C9</f>
        <v>1</v>
      </c>
      <c r="H9" s="1867"/>
      <c r="I9" s="609">
        <f>+C9</f>
        <v>1</v>
      </c>
      <c r="J9" s="1867"/>
      <c r="K9" s="610">
        <f>+C9</f>
        <v>1</v>
      </c>
    </row>
    <row r="10" spans="1:11" x14ac:dyDescent="0.35">
      <c r="A10" s="135" t="s">
        <v>391</v>
      </c>
      <c r="B10" s="136"/>
      <c r="C10" s="608">
        <v>1</v>
      </c>
      <c r="D10" s="514"/>
      <c r="E10" s="609">
        <f>C10</f>
        <v>1</v>
      </c>
      <c r="F10" s="1866"/>
      <c r="G10" s="609">
        <f>E10</f>
        <v>1</v>
      </c>
      <c r="H10" s="1867"/>
      <c r="I10" s="609">
        <f>G10</f>
        <v>1</v>
      </c>
      <c r="J10" s="1867"/>
      <c r="K10" s="610">
        <f>I10</f>
        <v>1</v>
      </c>
    </row>
    <row r="11" spans="1:11" x14ac:dyDescent="0.35">
      <c r="A11" s="135" t="s">
        <v>58</v>
      </c>
      <c r="B11" s="136"/>
      <c r="C11" s="608">
        <v>0</v>
      </c>
      <c r="D11" s="514"/>
      <c r="E11" s="609">
        <v>0</v>
      </c>
      <c r="F11" s="1867"/>
      <c r="G11" s="609">
        <f>E11</f>
        <v>0</v>
      </c>
      <c r="H11" s="1867"/>
      <c r="I11" s="609">
        <f>G11</f>
        <v>0</v>
      </c>
      <c r="J11" s="1867"/>
      <c r="K11" s="610">
        <f>I11</f>
        <v>0</v>
      </c>
    </row>
    <row r="12" spans="1:11" x14ac:dyDescent="0.35">
      <c r="A12" s="135" t="s">
        <v>59</v>
      </c>
      <c r="B12" s="136"/>
      <c r="C12" s="611">
        <f>'7.2.1 Turnover Vehicles'!C88</f>
        <v>1</v>
      </c>
      <c r="D12" s="612"/>
      <c r="E12" s="613">
        <f>'7.2.1 Turnover Vehicles'!E88</f>
        <v>1</v>
      </c>
      <c r="F12" s="614"/>
      <c r="G12" s="613">
        <f>'7.2.1 Turnover Vehicles'!G88</f>
        <v>1</v>
      </c>
      <c r="H12" s="614"/>
      <c r="I12" s="613">
        <f>'7.2.1 Turnover Vehicles'!I88</f>
        <v>1</v>
      </c>
      <c r="J12" s="614"/>
      <c r="K12" s="611">
        <f>'7.2.1 Turnover Vehicles'!K88</f>
        <v>1</v>
      </c>
    </row>
    <row r="13" spans="1:11" x14ac:dyDescent="0.35">
      <c r="A13" s="135" t="s">
        <v>60</v>
      </c>
      <c r="B13" s="136"/>
      <c r="C13" s="427">
        <f>+'7.2.1 Turnover Vehicles'!C89-C12-C14</f>
        <v>1</v>
      </c>
      <c r="D13" s="428"/>
      <c r="E13" s="428">
        <f>+'7.2.1 Turnover Vehicles'!E89-E12-E14</f>
        <v>1</v>
      </c>
      <c r="F13" s="428"/>
      <c r="G13" s="428">
        <f>+'7.2.1 Turnover Vehicles'!G89-G12-G14</f>
        <v>2</v>
      </c>
      <c r="H13" s="428"/>
      <c r="I13" s="428">
        <f>+'7.2.1 Turnover Vehicles'!I89-I12-I14</f>
        <v>2</v>
      </c>
      <c r="J13" s="428"/>
      <c r="K13" s="427">
        <f>+'7.2.1 Turnover Vehicles'!K89-K12-K14</f>
        <v>2</v>
      </c>
    </row>
    <row r="14" spans="1:11" x14ac:dyDescent="0.35">
      <c r="A14" s="135" t="s">
        <v>392</v>
      </c>
      <c r="B14" s="136"/>
      <c r="C14" s="427">
        <f>'7.2.1 Turnover Vehicles'!C87</f>
        <v>0</v>
      </c>
      <c r="D14" s="428"/>
      <c r="E14" s="428">
        <f>'7.2.1 Turnover Vehicles'!E87</f>
        <v>1</v>
      </c>
      <c r="F14" s="428"/>
      <c r="G14" s="428">
        <f>'7.2.1 Turnover Vehicles'!G87</f>
        <v>1</v>
      </c>
      <c r="H14" s="428"/>
      <c r="I14" s="428">
        <f>'7.2.1 Turnover Vehicles'!I87</f>
        <v>1</v>
      </c>
      <c r="J14" s="428"/>
      <c r="K14" s="427">
        <f>'7.2.1 Turnover Vehicles'!K87</f>
        <v>1</v>
      </c>
    </row>
    <row r="15" spans="1:11" x14ac:dyDescent="0.35">
      <c r="A15" s="135" t="s">
        <v>61</v>
      </c>
      <c r="B15" s="136"/>
      <c r="C15" s="427">
        <f>+'7.2.3 Turnover Service &amp; Body'!C67</f>
        <v>1</v>
      </c>
      <c r="D15" s="428"/>
      <c r="E15" s="428">
        <f>+'7.2.3 Turnover Service &amp; Body'!E67</f>
        <v>2</v>
      </c>
      <c r="F15" s="428"/>
      <c r="G15" s="428">
        <f>+'7.2.3 Turnover Service &amp; Body'!G67</f>
        <v>3</v>
      </c>
      <c r="H15" s="428"/>
      <c r="I15" s="428">
        <f>+'7.2.3 Turnover Service &amp; Body'!I67</f>
        <v>5</v>
      </c>
      <c r="J15" s="428"/>
      <c r="K15" s="427">
        <f>+'7.2.3 Turnover Service &amp; Body'!K67</f>
        <v>8</v>
      </c>
    </row>
    <row r="16" spans="1:11" x14ac:dyDescent="0.35">
      <c r="A16" s="135" t="s">
        <v>393</v>
      </c>
      <c r="B16" s="136"/>
      <c r="C16" s="615">
        <f>'7.2.3 Turnover Service &amp; Body'!C68</f>
        <v>1</v>
      </c>
      <c r="D16" s="428"/>
      <c r="E16" s="612">
        <f>'7.2.3 Turnover Service &amp; Body'!E68</f>
        <v>1</v>
      </c>
      <c r="F16" s="428"/>
      <c r="G16" s="612">
        <f>'7.2.3 Turnover Service &amp; Body'!G68</f>
        <v>1</v>
      </c>
      <c r="H16" s="428"/>
      <c r="I16" s="612">
        <f>'7.2.3 Turnover Service &amp; Body'!I68</f>
        <v>1</v>
      </c>
      <c r="J16" s="428"/>
      <c r="K16" s="615">
        <f>'7.2.3 Turnover Service &amp; Body'!K68</f>
        <v>1</v>
      </c>
    </row>
    <row r="17" spans="1:11" x14ac:dyDescent="0.35">
      <c r="A17" s="135" t="s">
        <v>394</v>
      </c>
      <c r="B17" s="136"/>
      <c r="C17" s="615">
        <f>'7.2.3 Turnover Service &amp; Body'!C70</f>
        <v>0</v>
      </c>
      <c r="D17" s="428"/>
      <c r="E17" s="612">
        <f>'7.2.3 Turnover Service &amp; Body'!E70</f>
        <v>1</v>
      </c>
      <c r="F17" s="428"/>
      <c r="G17" s="612">
        <f>'7.2.3 Turnover Service &amp; Body'!G70</f>
        <v>1</v>
      </c>
      <c r="H17" s="428"/>
      <c r="I17" s="612">
        <f>'7.2.3 Turnover Service &amp; Body'!I70</f>
        <v>2</v>
      </c>
      <c r="J17" s="428"/>
      <c r="K17" s="615">
        <f>'7.2.3 Turnover Service &amp; Body'!K70</f>
        <v>2</v>
      </c>
    </row>
    <row r="18" spans="1:11" x14ac:dyDescent="0.35">
      <c r="A18" s="135" t="s">
        <v>62</v>
      </c>
      <c r="B18" s="136"/>
      <c r="C18" s="615">
        <f>+'7.2.3 Turnover Service &amp; Body'!C69</f>
        <v>1</v>
      </c>
      <c r="D18" s="428"/>
      <c r="E18" s="612">
        <f>+'7.2.3 Turnover Service &amp; Body'!E69</f>
        <v>1</v>
      </c>
      <c r="F18" s="428"/>
      <c r="G18" s="612">
        <f>+'7.2.3 Turnover Service &amp; Body'!G69</f>
        <v>2</v>
      </c>
      <c r="H18" s="428"/>
      <c r="I18" s="612">
        <f>+'7.2.3 Turnover Service &amp; Body'!I69</f>
        <v>2</v>
      </c>
      <c r="J18" s="428"/>
      <c r="K18" s="615">
        <f>+'7.2.3 Turnover Service &amp; Body'!K69</f>
        <v>2</v>
      </c>
    </row>
    <row r="19" spans="1:11" x14ac:dyDescent="0.35">
      <c r="A19" s="135" t="s">
        <v>63</v>
      </c>
      <c r="B19" s="136"/>
      <c r="C19" s="427">
        <f>+'7.2.2 Turnover Parts'!C53</f>
        <v>1</v>
      </c>
      <c r="D19" s="428"/>
      <c r="E19" s="428">
        <f>+'7.2.2 Turnover Parts'!E53</f>
        <v>4</v>
      </c>
      <c r="F19" s="428"/>
      <c r="G19" s="428">
        <f>+'7.2.2 Turnover Parts'!G53</f>
        <v>2</v>
      </c>
      <c r="H19" s="428"/>
      <c r="I19" s="428">
        <f>+'7.2.2 Turnover Parts'!I53</f>
        <v>2</v>
      </c>
      <c r="J19" s="428"/>
      <c r="K19" s="427">
        <f>+'7.2.2 Turnover Parts'!K53</f>
        <v>2</v>
      </c>
    </row>
    <row r="20" spans="1:11" x14ac:dyDescent="0.35">
      <c r="A20" s="135" t="s">
        <v>395</v>
      </c>
      <c r="B20" s="136"/>
      <c r="C20" s="427">
        <f>'7.2.2 Turnover Parts'!C54</f>
        <v>1</v>
      </c>
      <c r="D20" s="428"/>
      <c r="E20" s="612">
        <f>'7.2.2 Turnover Parts'!E54</f>
        <v>3</v>
      </c>
      <c r="F20" s="612"/>
      <c r="G20" s="612">
        <f>'7.2.2 Turnover Parts'!G54</f>
        <v>3</v>
      </c>
      <c r="H20" s="612"/>
      <c r="I20" s="612">
        <f>'7.2.2 Turnover Parts'!I54</f>
        <v>3</v>
      </c>
      <c r="J20" s="428"/>
      <c r="K20" s="615">
        <f>'7.2.2 Turnover Parts'!K54</f>
        <v>3</v>
      </c>
    </row>
    <row r="21" spans="1:11" x14ac:dyDescent="0.35">
      <c r="A21" s="135" t="s">
        <v>64</v>
      </c>
      <c r="B21" s="136"/>
      <c r="C21" s="427">
        <f>'7.2.2 Turnover Parts'!C55</f>
        <v>0</v>
      </c>
      <c r="D21" s="428"/>
      <c r="E21" s="612">
        <f>'7.2.2 Turnover Parts'!E55</f>
        <v>1</v>
      </c>
      <c r="F21" s="612"/>
      <c r="G21" s="612">
        <f>'7.2.2 Turnover Parts'!G55</f>
        <v>1</v>
      </c>
      <c r="H21" s="612"/>
      <c r="I21" s="612">
        <f>'7.2.2 Turnover Parts'!I55</f>
        <v>1</v>
      </c>
      <c r="J21" s="612"/>
      <c r="K21" s="615">
        <f>'7.2.2 Turnover Parts'!K55</f>
        <v>1</v>
      </c>
    </row>
    <row r="22" spans="1:11" x14ac:dyDescent="0.35">
      <c r="A22" s="135" t="s">
        <v>65</v>
      </c>
      <c r="B22" s="136"/>
      <c r="C22" s="616">
        <f>'7.2.2 Turnover Parts'!C56</f>
        <v>1</v>
      </c>
      <c r="D22" s="428"/>
      <c r="E22" s="617">
        <f>'7.2.2 Turnover Parts'!E56</f>
        <v>1</v>
      </c>
      <c r="F22" s="612"/>
      <c r="G22" s="617">
        <f>'7.2.2 Turnover Parts'!G56</f>
        <v>1</v>
      </c>
      <c r="H22" s="612"/>
      <c r="I22" s="617">
        <f>'7.2.2 Turnover Parts'!I56</f>
        <v>1</v>
      </c>
      <c r="J22" s="612"/>
      <c r="K22" s="616">
        <f>'7.2.2 Turnover Parts'!K56</f>
        <v>1</v>
      </c>
    </row>
    <row r="23" spans="1:11" x14ac:dyDescent="0.35">
      <c r="A23" s="263" t="s">
        <v>66</v>
      </c>
      <c r="B23" s="164"/>
      <c r="C23" s="618">
        <f>SUM(C8:C22)</f>
        <v>11</v>
      </c>
      <c r="D23" s="552"/>
      <c r="E23" s="552">
        <f>SUM(E8:E22)</f>
        <v>20</v>
      </c>
      <c r="F23" s="552"/>
      <c r="G23" s="552">
        <f>SUM(G8:G22)</f>
        <v>21</v>
      </c>
      <c r="H23" s="552"/>
      <c r="I23" s="552">
        <f>SUM(I8:I22)</f>
        <v>24</v>
      </c>
      <c r="J23" s="552"/>
      <c r="K23" s="618">
        <f>SUM(K8:K22)</f>
        <v>27</v>
      </c>
    </row>
    <row r="24" spans="1:11" x14ac:dyDescent="0.35">
      <c r="A24" s="264"/>
      <c r="B24" s="342"/>
      <c r="C24" s="619"/>
      <c r="D24" s="620"/>
      <c r="E24" s="620"/>
      <c r="F24" s="620"/>
      <c r="G24" s="620"/>
      <c r="H24" s="620"/>
      <c r="I24" s="620"/>
      <c r="J24" s="620"/>
      <c r="K24" s="619"/>
    </row>
    <row r="25" spans="1:11" s="136" customFormat="1" x14ac:dyDescent="0.35">
      <c r="A25" s="164"/>
      <c r="B25" s="164"/>
      <c r="C25" s="621"/>
      <c r="D25" s="164"/>
      <c r="E25" s="621"/>
      <c r="F25" s="164"/>
      <c r="G25" s="621"/>
      <c r="H25" s="164"/>
      <c r="I25" s="621"/>
      <c r="J25" s="164"/>
      <c r="K25" s="621"/>
    </row>
    <row r="26" spans="1:11" s="167" customFormat="1" ht="18" x14ac:dyDescent="0.35">
      <c r="A26" s="1042" t="s">
        <v>397</v>
      </c>
      <c r="B26" s="833"/>
      <c r="C26" s="833"/>
      <c r="D26" s="833"/>
      <c r="E26" s="833"/>
      <c r="F26" s="833"/>
      <c r="G26" s="833"/>
      <c r="H26" s="833"/>
      <c r="I26" s="833"/>
      <c r="J26" s="833"/>
      <c r="K26" s="834"/>
    </row>
    <row r="27" spans="1:11" ht="18" x14ac:dyDescent="0.35">
      <c r="A27" s="622"/>
      <c r="C27" s="623" t="s">
        <v>67</v>
      </c>
      <c r="D27" s="146"/>
      <c r="E27" s="624">
        <v>0.06</v>
      </c>
      <c r="F27" s="625"/>
      <c r="G27" s="626">
        <v>0.06</v>
      </c>
      <c r="H27" s="625"/>
      <c r="I27" s="626">
        <v>0.06</v>
      </c>
      <c r="J27" s="625"/>
      <c r="K27" s="627">
        <v>0.06</v>
      </c>
    </row>
    <row r="28" spans="1:11" ht="18" x14ac:dyDescent="0.35">
      <c r="A28" s="1042" t="s">
        <v>396</v>
      </c>
      <c r="B28" s="833"/>
      <c r="C28" s="833"/>
      <c r="D28" s="833"/>
      <c r="E28" s="1078"/>
      <c r="F28" s="833"/>
      <c r="G28" s="833"/>
      <c r="H28" s="833"/>
      <c r="I28" s="833"/>
      <c r="J28" s="833"/>
      <c r="K28" s="834"/>
    </row>
    <row r="29" spans="1:11" x14ac:dyDescent="0.35">
      <c r="A29" s="135"/>
      <c r="B29" s="136"/>
      <c r="C29" s="79"/>
      <c r="D29" s="136"/>
      <c r="E29" s="136"/>
      <c r="F29" s="136"/>
      <c r="G29" s="136"/>
      <c r="H29" s="136"/>
      <c r="I29" s="136"/>
      <c r="J29" s="136"/>
      <c r="K29" s="79"/>
    </row>
    <row r="30" spans="1:11" x14ac:dyDescent="0.35">
      <c r="A30" s="135" t="s">
        <v>401</v>
      </c>
      <c r="B30" s="136"/>
      <c r="C30" s="250">
        <v>20968</v>
      </c>
      <c r="D30" s="136"/>
      <c r="E30" s="352">
        <f>C30*(1+$E$27)</f>
        <v>22226.080000000002</v>
      </c>
      <c r="F30" s="352"/>
      <c r="G30" s="352">
        <f>E30*(1+G27)</f>
        <v>23559.644800000002</v>
      </c>
      <c r="H30" s="352"/>
      <c r="I30" s="352">
        <f>G30*(1+I27)</f>
        <v>24973.223488000003</v>
      </c>
      <c r="J30" s="352"/>
      <c r="K30" s="353">
        <f>I30*(1+K27)</f>
        <v>26471.616897280004</v>
      </c>
    </row>
    <row r="31" spans="1:11" x14ac:dyDescent="0.35">
      <c r="A31" s="135" t="s">
        <v>402</v>
      </c>
      <c r="B31" s="628">
        <v>0.30249999999999999</v>
      </c>
      <c r="C31" s="332">
        <f>C30*B31</f>
        <v>6342.82</v>
      </c>
      <c r="D31" s="136"/>
      <c r="E31" s="352">
        <f>E30*B31</f>
        <v>6723.3892000000005</v>
      </c>
      <c r="F31" s="352"/>
      <c r="G31" s="352">
        <f>G30*B31</f>
        <v>7126.7925520000008</v>
      </c>
      <c r="H31" s="352"/>
      <c r="I31" s="352">
        <f>I30*B31</f>
        <v>7554.4001051200012</v>
      </c>
      <c r="J31" s="352"/>
      <c r="K31" s="353">
        <f>K30*B31</f>
        <v>8007.6641114272006</v>
      </c>
    </row>
    <row r="32" spans="1:11" x14ac:dyDescent="0.35">
      <c r="A32" s="135" t="s">
        <v>68</v>
      </c>
      <c r="B32" s="136"/>
      <c r="C32" s="394">
        <v>0</v>
      </c>
      <c r="D32" s="136"/>
      <c r="E32" s="369">
        <f>C32*(1+$E$27)</f>
        <v>0</v>
      </c>
      <c r="F32" s="352"/>
      <c r="G32" s="369">
        <f>E32*(1+G27)</f>
        <v>0</v>
      </c>
      <c r="H32" s="352"/>
      <c r="I32" s="369">
        <f>G32*(1+I27)</f>
        <v>0</v>
      </c>
      <c r="J32" s="352"/>
      <c r="K32" s="368">
        <f>I32*(1+K27)</f>
        <v>0</v>
      </c>
    </row>
    <row r="33" spans="1:11" x14ac:dyDescent="0.35">
      <c r="A33" s="135" t="s">
        <v>69</v>
      </c>
      <c r="B33" s="136"/>
      <c r="C33" s="353">
        <f>SUM(C30:C32)</f>
        <v>27310.82</v>
      </c>
      <c r="D33" s="136"/>
      <c r="E33" s="352">
        <f>SUM(E30:E32)</f>
        <v>28949.469200000003</v>
      </c>
      <c r="F33" s="352"/>
      <c r="G33" s="352">
        <f>SUM(G30:G32)</f>
        <v>30686.437352000001</v>
      </c>
      <c r="H33" s="352"/>
      <c r="I33" s="352">
        <f>SUM(I30:I32)</f>
        <v>32527.623593120006</v>
      </c>
      <c r="J33" s="352"/>
      <c r="K33" s="353">
        <f>SUM(K30:K32)</f>
        <v>34479.281008707207</v>
      </c>
    </row>
    <row r="34" spans="1:11" x14ac:dyDescent="0.35">
      <c r="A34" s="135" t="s">
        <v>70</v>
      </c>
      <c r="B34" s="136"/>
      <c r="C34" s="427">
        <f>C8</f>
        <v>1</v>
      </c>
      <c r="D34" s="428"/>
      <c r="E34" s="428">
        <f>E8</f>
        <v>1</v>
      </c>
      <c r="F34" s="428"/>
      <c r="G34" s="428">
        <f>G8</f>
        <v>1</v>
      </c>
      <c r="H34" s="428"/>
      <c r="I34" s="428">
        <f>I8</f>
        <v>1</v>
      </c>
      <c r="J34" s="428"/>
      <c r="K34" s="427">
        <f>K8</f>
        <v>1</v>
      </c>
    </row>
    <row r="35" spans="1:11" x14ac:dyDescent="0.35">
      <c r="A35" s="135" t="s">
        <v>69</v>
      </c>
      <c r="B35" s="136"/>
      <c r="C35" s="629">
        <f>C33*C34*$B$171</f>
        <v>27310.82</v>
      </c>
      <c r="D35" s="136"/>
      <c r="E35" s="629">
        <f>E33*E34*$B$171</f>
        <v>28949.469200000003</v>
      </c>
      <c r="F35" s="136"/>
      <c r="G35" s="629">
        <f>G33*G34*$B$171</f>
        <v>30686.437352000001</v>
      </c>
      <c r="H35" s="136"/>
      <c r="I35" s="629">
        <f>I33*I34*$B$171</f>
        <v>32527.623593120006</v>
      </c>
      <c r="J35" s="136"/>
      <c r="K35" s="629">
        <f>K33*K34*$B$171</f>
        <v>34479.281008707207</v>
      </c>
    </row>
    <row r="36" spans="1:11" x14ac:dyDescent="0.35">
      <c r="A36" s="135"/>
      <c r="B36" s="136"/>
      <c r="C36" s="79"/>
      <c r="D36" s="136"/>
      <c r="E36" s="136"/>
      <c r="F36" s="136"/>
      <c r="G36" s="136"/>
      <c r="H36" s="136"/>
      <c r="I36" s="136"/>
      <c r="J36" s="136"/>
      <c r="K36" s="79"/>
    </row>
    <row r="37" spans="1:11" ht="18" x14ac:dyDescent="0.35">
      <c r="A37" s="1042" t="s">
        <v>71</v>
      </c>
      <c r="B37" s="833"/>
      <c r="C37" s="833"/>
      <c r="D37" s="833"/>
      <c r="E37" s="833"/>
      <c r="F37" s="833"/>
      <c r="G37" s="833"/>
      <c r="H37" s="833"/>
      <c r="I37" s="833"/>
      <c r="J37" s="833"/>
      <c r="K37" s="834"/>
    </row>
    <row r="38" spans="1:11" x14ac:dyDescent="0.35">
      <c r="A38" s="135"/>
      <c r="B38" s="136"/>
      <c r="C38" s="79"/>
      <c r="D38" s="136"/>
      <c r="E38" s="136"/>
      <c r="F38" s="136"/>
      <c r="G38" s="136"/>
      <c r="H38" s="136"/>
      <c r="I38" s="136"/>
      <c r="J38" s="136"/>
      <c r="K38" s="79"/>
    </row>
    <row r="39" spans="1:11" x14ac:dyDescent="0.35">
      <c r="A39" s="135" t="s">
        <v>401</v>
      </c>
      <c r="B39" s="136"/>
      <c r="C39" s="250">
        <v>10484</v>
      </c>
      <c r="D39" s="136"/>
      <c r="E39" s="352">
        <f>C39*(1+$E$27)</f>
        <v>11113.04</v>
      </c>
      <c r="F39" s="352"/>
      <c r="G39" s="352">
        <f>E39*(1+G27)</f>
        <v>11779.822400000001</v>
      </c>
      <c r="H39" s="352"/>
      <c r="I39" s="352">
        <f>G39*(1+I27)</f>
        <v>12486.611744000002</v>
      </c>
      <c r="J39" s="352"/>
      <c r="K39" s="353">
        <f>I39*(1+K27)</f>
        <v>13235.808448640002</v>
      </c>
    </row>
    <row r="40" spans="1:11" x14ac:dyDescent="0.35">
      <c r="A40" s="135" t="s">
        <v>402</v>
      </c>
      <c r="B40" s="628">
        <f>B31</f>
        <v>0.30249999999999999</v>
      </c>
      <c r="C40" s="332">
        <f>C39*B40</f>
        <v>3171.41</v>
      </c>
      <c r="D40" s="136"/>
      <c r="E40" s="352">
        <f>E39*B40</f>
        <v>3361.6946000000003</v>
      </c>
      <c r="F40" s="352"/>
      <c r="G40" s="352">
        <f>G39*B40</f>
        <v>3563.3962760000004</v>
      </c>
      <c r="H40" s="352"/>
      <c r="I40" s="352">
        <f>I39*B40</f>
        <v>3777.2000525600006</v>
      </c>
      <c r="J40" s="352"/>
      <c r="K40" s="353">
        <f>K39*B40</f>
        <v>4003.8320557136003</v>
      </c>
    </row>
    <row r="41" spans="1:11" x14ac:dyDescent="0.35">
      <c r="A41" s="135" t="s">
        <v>68</v>
      </c>
      <c r="B41" s="136"/>
      <c r="C41" s="394">
        <v>0</v>
      </c>
      <c r="D41" s="136"/>
      <c r="E41" s="369">
        <f>C41*(1+$E$27)</f>
        <v>0</v>
      </c>
      <c r="F41" s="352"/>
      <c r="G41" s="369">
        <f>E41*(1+G27)</f>
        <v>0</v>
      </c>
      <c r="H41" s="352"/>
      <c r="I41" s="369">
        <f>G41*(1+I27)</f>
        <v>0</v>
      </c>
      <c r="J41" s="352"/>
      <c r="K41" s="368">
        <f>I41*(1+K27)</f>
        <v>0</v>
      </c>
    </row>
    <row r="42" spans="1:11" x14ac:dyDescent="0.35">
      <c r="A42" s="135" t="s">
        <v>69</v>
      </c>
      <c r="B42" s="136"/>
      <c r="C42" s="353">
        <f>SUM(C39:C41)</f>
        <v>13655.41</v>
      </c>
      <c r="D42" s="136"/>
      <c r="E42" s="352">
        <f>SUM(E39:E41)</f>
        <v>14474.734600000002</v>
      </c>
      <c r="F42" s="352"/>
      <c r="G42" s="352">
        <f>SUM(G39:G41)</f>
        <v>15343.218676</v>
      </c>
      <c r="H42" s="352"/>
      <c r="I42" s="352">
        <f>SUM(I39:I41)</f>
        <v>16263.811796560003</v>
      </c>
      <c r="J42" s="352"/>
      <c r="K42" s="353">
        <f>SUM(K39:K41)</f>
        <v>17239.640504353603</v>
      </c>
    </row>
    <row r="43" spans="1:11" x14ac:dyDescent="0.35">
      <c r="A43" s="135" t="s">
        <v>70</v>
      </c>
      <c r="B43" s="136"/>
      <c r="C43" s="427">
        <f>C9</f>
        <v>1</v>
      </c>
      <c r="D43" s="428"/>
      <c r="E43" s="428">
        <f>E9</f>
        <v>1</v>
      </c>
      <c r="F43" s="428"/>
      <c r="G43" s="428">
        <f>G9</f>
        <v>1</v>
      </c>
      <c r="H43" s="428"/>
      <c r="I43" s="428">
        <f>I9</f>
        <v>1</v>
      </c>
      <c r="J43" s="428"/>
      <c r="K43" s="630">
        <f>K9</f>
        <v>1</v>
      </c>
    </row>
    <row r="44" spans="1:11" x14ac:dyDescent="0.35">
      <c r="A44" s="135" t="s">
        <v>69</v>
      </c>
      <c r="B44" s="136"/>
      <c r="C44" s="629">
        <f>C42*C43*$B$171</f>
        <v>13655.41</v>
      </c>
      <c r="D44" s="136"/>
      <c r="E44" s="629">
        <f>E42*E43*$B$171</f>
        <v>14474.734600000002</v>
      </c>
      <c r="F44" s="136"/>
      <c r="G44" s="629">
        <f>G42*G43*$B$171</f>
        <v>15343.218676</v>
      </c>
      <c r="H44" s="136"/>
      <c r="I44" s="629">
        <f>I42*I43*$B$171</f>
        <v>16263.811796560003</v>
      </c>
      <c r="J44" s="136"/>
      <c r="K44" s="629">
        <f>K42*K43*$B$171</f>
        <v>17239.640504353603</v>
      </c>
    </row>
    <row r="45" spans="1:11" x14ac:dyDescent="0.35">
      <c r="A45" s="135"/>
      <c r="B45" s="136"/>
      <c r="C45" s="79"/>
      <c r="D45" s="136"/>
      <c r="E45" s="136"/>
      <c r="F45" s="136"/>
      <c r="G45" s="136"/>
      <c r="H45" s="136"/>
      <c r="I45" s="136"/>
      <c r="J45" s="136"/>
      <c r="K45" s="79"/>
    </row>
    <row r="46" spans="1:11" ht="18" x14ac:dyDescent="0.35">
      <c r="A46" s="1042" t="s">
        <v>409</v>
      </c>
      <c r="B46" s="833"/>
      <c r="C46" s="833"/>
      <c r="D46" s="833"/>
      <c r="E46" s="833"/>
      <c r="F46" s="833"/>
      <c r="G46" s="833"/>
      <c r="H46" s="833"/>
      <c r="I46" s="833"/>
      <c r="J46" s="833"/>
      <c r="K46" s="834"/>
    </row>
    <row r="47" spans="1:11" x14ac:dyDescent="0.35">
      <c r="A47" s="135"/>
      <c r="B47" s="136"/>
      <c r="C47" s="78"/>
      <c r="D47" s="136"/>
      <c r="E47" s="136"/>
      <c r="F47" s="136"/>
      <c r="G47" s="136"/>
      <c r="H47" s="136"/>
      <c r="I47" s="136"/>
      <c r="J47" s="136"/>
      <c r="K47" s="79"/>
    </row>
    <row r="48" spans="1:11" x14ac:dyDescent="0.35">
      <c r="A48" s="135" t="s">
        <v>401</v>
      </c>
      <c r="B48" s="136"/>
      <c r="C48" s="250">
        <v>5032</v>
      </c>
      <c r="D48" s="352"/>
      <c r="E48" s="352">
        <f>C48*(1+$E$27)</f>
        <v>5333.92</v>
      </c>
      <c r="F48" s="352"/>
      <c r="G48" s="352">
        <f>E48*(1+G27)</f>
        <v>5653.9552000000003</v>
      </c>
      <c r="H48" s="352"/>
      <c r="I48" s="352">
        <f>G48*(1+I27)</f>
        <v>5993.1925120000005</v>
      </c>
      <c r="J48" s="352"/>
      <c r="K48" s="353">
        <f>I48*(1+K27)</f>
        <v>6352.7840627200012</v>
      </c>
    </row>
    <row r="49" spans="1:11" x14ac:dyDescent="0.35">
      <c r="A49" s="135" t="s">
        <v>402</v>
      </c>
      <c r="B49" s="631">
        <f>B31</f>
        <v>0.30249999999999999</v>
      </c>
      <c r="C49" s="332">
        <f>C48*B49</f>
        <v>1522.18</v>
      </c>
      <c r="D49" s="352"/>
      <c r="E49" s="352">
        <f>E48*B49</f>
        <v>1613.5108</v>
      </c>
      <c r="F49" s="352"/>
      <c r="G49" s="352">
        <f>G48*B49</f>
        <v>1710.3214480000001</v>
      </c>
      <c r="H49" s="352"/>
      <c r="I49" s="352">
        <f>I48*B49</f>
        <v>1812.94073488</v>
      </c>
      <c r="J49" s="352"/>
      <c r="K49" s="353">
        <f>K48*B49</f>
        <v>1921.7171789728004</v>
      </c>
    </row>
    <row r="50" spans="1:11" x14ac:dyDescent="0.35">
      <c r="A50" s="135" t="s">
        <v>68</v>
      </c>
      <c r="B50" s="136"/>
      <c r="C50" s="394">
        <v>0</v>
      </c>
      <c r="D50" s="352"/>
      <c r="E50" s="369">
        <f>C50*(1+$E$27)</f>
        <v>0</v>
      </c>
      <c r="F50" s="352"/>
      <c r="G50" s="369">
        <f>E50*(1+G27)</f>
        <v>0</v>
      </c>
      <c r="H50" s="352"/>
      <c r="I50" s="369">
        <f>G50*(1+I27)</f>
        <v>0</v>
      </c>
      <c r="J50" s="352"/>
      <c r="K50" s="368">
        <f>I50*(1+K27)</f>
        <v>0</v>
      </c>
    </row>
    <row r="51" spans="1:11" x14ac:dyDescent="0.35">
      <c r="A51" s="135" t="s">
        <v>69</v>
      </c>
      <c r="B51" s="136"/>
      <c r="C51" s="353">
        <f>SUM(C48:C50)</f>
        <v>6554.18</v>
      </c>
      <c r="D51" s="352"/>
      <c r="E51" s="352">
        <f>SUM(E48:E50)</f>
        <v>6947.4308000000001</v>
      </c>
      <c r="F51" s="352"/>
      <c r="G51" s="352">
        <f>SUM(G48:G50)</f>
        <v>7364.2766480000009</v>
      </c>
      <c r="H51" s="352"/>
      <c r="I51" s="352">
        <f>SUM(I48:I50)</f>
        <v>7806.133246880001</v>
      </c>
      <c r="J51" s="352"/>
      <c r="K51" s="353">
        <f>SUM(K48:K50)</f>
        <v>8274.5012416928021</v>
      </c>
    </row>
    <row r="52" spans="1:11" x14ac:dyDescent="0.35">
      <c r="A52" s="135" t="s">
        <v>70</v>
      </c>
      <c r="B52" s="136"/>
      <c r="C52" s="427">
        <f>C10</f>
        <v>1</v>
      </c>
      <c r="D52" s="428"/>
      <c r="E52" s="428">
        <f>E10</f>
        <v>1</v>
      </c>
      <c r="F52" s="428"/>
      <c r="G52" s="428">
        <f>G10</f>
        <v>1</v>
      </c>
      <c r="H52" s="428"/>
      <c r="I52" s="428">
        <f>I10</f>
        <v>1</v>
      </c>
      <c r="J52" s="428"/>
      <c r="K52" s="630">
        <f>K10</f>
        <v>1</v>
      </c>
    </row>
    <row r="53" spans="1:11" x14ac:dyDescent="0.35">
      <c r="A53" s="135" t="s">
        <v>69</v>
      </c>
      <c r="B53" s="136"/>
      <c r="C53" s="629">
        <f>C51*C52*$B$171</f>
        <v>6554.18</v>
      </c>
      <c r="D53" s="352"/>
      <c r="E53" s="629">
        <f>E51*E52*$B$171</f>
        <v>6947.4308000000001</v>
      </c>
      <c r="F53" s="352"/>
      <c r="G53" s="629">
        <f>G51*G52*$B$171</f>
        <v>7364.2766480000009</v>
      </c>
      <c r="H53" s="352"/>
      <c r="I53" s="629">
        <f>I51*I52*$B$171</f>
        <v>7806.133246880001</v>
      </c>
      <c r="J53" s="352"/>
      <c r="K53" s="629">
        <f>K51*K52*$B$171</f>
        <v>8274.5012416928021</v>
      </c>
    </row>
    <row r="54" spans="1:11" x14ac:dyDescent="0.35">
      <c r="A54" s="135"/>
      <c r="B54" s="136"/>
      <c r="C54" s="353"/>
      <c r="D54" s="352"/>
      <c r="E54" s="352"/>
      <c r="F54" s="352"/>
      <c r="G54" s="352"/>
      <c r="H54" s="352"/>
      <c r="I54" s="352"/>
      <c r="J54" s="352"/>
      <c r="K54" s="353"/>
    </row>
    <row r="55" spans="1:11" ht="18" x14ac:dyDescent="0.35">
      <c r="A55" s="1042" t="s">
        <v>408</v>
      </c>
      <c r="B55" s="833"/>
      <c r="C55" s="833"/>
      <c r="D55" s="833"/>
      <c r="E55" s="833"/>
      <c r="F55" s="833"/>
      <c r="G55" s="833"/>
      <c r="H55" s="833"/>
      <c r="I55" s="833"/>
      <c r="J55" s="833"/>
      <c r="K55" s="834"/>
    </row>
    <row r="56" spans="1:11" x14ac:dyDescent="0.35">
      <c r="A56" s="135"/>
      <c r="B56" s="136"/>
      <c r="C56" s="79"/>
      <c r="D56" s="136"/>
      <c r="E56" s="136"/>
      <c r="F56" s="136"/>
      <c r="G56" s="136"/>
      <c r="H56" s="136"/>
      <c r="I56" s="136"/>
      <c r="J56" s="136"/>
      <c r="K56" s="79"/>
    </row>
    <row r="57" spans="1:11" x14ac:dyDescent="0.35">
      <c r="A57" s="135" t="s">
        <v>401</v>
      </c>
      <c r="B57" s="136"/>
      <c r="C57" s="250">
        <v>15516</v>
      </c>
      <c r="D57" s="136"/>
      <c r="E57" s="352">
        <f>C57*(1+$E$27)</f>
        <v>16446.96</v>
      </c>
      <c r="F57" s="352"/>
      <c r="G57" s="352">
        <f>E57*(1+G27)</f>
        <v>17433.777600000001</v>
      </c>
      <c r="H57" s="352"/>
      <c r="I57" s="352">
        <f>G57*(1+I27)</f>
        <v>18479.804256000003</v>
      </c>
      <c r="J57" s="352"/>
      <c r="K57" s="353">
        <f>I57*(1+K27)</f>
        <v>19588.592511360006</v>
      </c>
    </row>
    <row r="58" spans="1:11" x14ac:dyDescent="0.35">
      <c r="A58" s="135" t="s">
        <v>402</v>
      </c>
      <c r="B58" s="628">
        <f>B31</f>
        <v>0.30249999999999999</v>
      </c>
      <c r="C58" s="332">
        <f>C57*B58</f>
        <v>4693.59</v>
      </c>
      <c r="D58" s="136"/>
      <c r="E58" s="352">
        <f>E57*B58</f>
        <v>4975.2053999999998</v>
      </c>
      <c r="F58" s="352"/>
      <c r="G58" s="352">
        <f>G57*B58</f>
        <v>5273.7177240000001</v>
      </c>
      <c r="H58" s="352"/>
      <c r="I58" s="352">
        <f>I57*B58</f>
        <v>5590.1407874400011</v>
      </c>
      <c r="J58" s="352"/>
      <c r="K58" s="353">
        <f>K57*B58</f>
        <v>5925.5492346864021</v>
      </c>
    </row>
    <row r="59" spans="1:11" x14ac:dyDescent="0.35">
      <c r="A59" s="135" t="s">
        <v>68</v>
      </c>
      <c r="B59" s="136"/>
      <c r="C59" s="214">
        <v>0</v>
      </c>
      <c r="D59" s="136"/>
      <c r="E59" s="369">
        <f>C59*(1+$E$27)</f>
        <v>0</v>
      </c>
      <c r="F59" s="352"/>
      <c r="G59" s="369">
        <f>E59*(1+G27)</f>
        <v>0</v>
      </c>
      <c r="H59" s="352"/>
      <c r="I59" s="369">
        <f>G59*(1+I27)</f>
        <v>0</v>
      </c>
      <c r="J59" s="352"/>
      <c r="K59" s="368">
        <f>I59*(1+K27)</f>
        <v>0</v>
      </c>
    </row>
    <row r="60" spans="1:11" x14ac:dyDescent="0.35">
      <c r="A60" s="135" t="s">
        <v>69</v>
      </c>
      <c r="B60" s="136"/>
      <c r="C60" s="353">
        <f>SUM(C57:C59)</f>
        <v>20209.59</v>
      </c>
      <c r="D60" s="136"/>
      <c r="E60" s="352">
        <f>SUM(E57:E59)</f>
        <v>21422.165399999998</v>
      </c>
      <c r="F60" s="352"/>
      <c r="G60" s="352">
        <f>SUM(G57:G59)</f>
        <v>22707.495324000003</v>
      </c>
      <c r="H60" s="352"/>
      <c r="I60" s="352">
        <f>SUM(I57:I59)</f>
        <v>24069.945043440006</v>
      </c>
      <c r="J60" s="352"/>
      <c r="K60" s="353">
        <f>SUM(K57:K59)</f>
        <v>25514.141746046407</v>
      </c>
    </row>
    <row r="61" spans="1:11" x14ac:dyDescent="0.35">
      <c r="A61" s="135" t="s">
        <v>70</v>
      </c>
      <c r="B61" s="136"/>
      <c r="C61" s="427">
        <f>C11</f>
        <v>0</v>
      </c>
      <c r="D61" s="428"/>
      <c r="E61" s="428">
        <f>E11</f>
        <v>0</v>
      </c>
      <c r="F61" s="428"/>
      <c r="G61" s="428">
        <f>G11</f>
        <v>0</v>
      </c>
      <c r="H61" s="428"/>
      <c r="I61" s="428">
        <f>I11</f>
        <v>0</v>
      </c>
      <c r="J61" s="428"/>
      <c r="K61" s="427">
        <f>K11</f>
        <v>0</v>
      </c>
    </row>
    <row r="62" spans="1:11" x14ac:dyDescent="0.35">
      <c r="A62" s="135" t="s">
        <v>69</v>
      </c>
      <c r="B62" s="136"/>
      <c r="C62" s="629">
        <f>C60*C61*$B$171</f>
        <v>0</v>
      </c>
      <c r="D62" s="136"/>
      <c r="E62" s="629">
        <f>E60*E61*$B$171</f>
        <v>0</v>
      </c>
      <c r="F62" s="136"/>
      <c r="G62" s="629">
        <f>G60*G61*$B$171</f>
        <v>0</v>
      </c>
      <c r="H62" s="136"/>
      <c r="I62" s="629">
        <f>I60*I61*$B$171</f>
        <v>0</v>
      </c>
      <c r="J62" s="136"/>
      <c r="K62" s="629">
        <f>K60*K61*$B$171</f>
        <v>0</v>
      </c>
    </row>
    <row r="63" spans="1:11" x14ac:dyDescent="0.35">
      <c r="A63" s="145"/>
      <c r="B63" s="146"/>
      <c r="C63" s="85"/>
      <c r="D63" s="146"/>
      <c r="E63" s="146"/>
      <c r="F63" s="146"/>
      <c r="G63" s="146"/>
      <c r="H63" s="146"/>
      <c r="I63" s="146"/>
      <c r="J63" s="146"/>
      <c r="K63" s="629"/>
    </row>
    <row r="64" spans="1:11" ht="18" x14ac:dyDescent="0.35">
      <c r="A64" s="1042" t="s">
        <v>72</v>
      </c>
      <c r="B64" s="833"/>
      <c r="C64" s="833"/>
      <c r="D64" s="833"/>
      <c r="E64" s="833"/>
      <c r="F64" s="833"/>
      <c r="G64" s="833"/>
      <c r="H64" s="833"/>
      <c r="I64" s="833"/>
      <c r="J64" s="833"/>
      <c r="K64" s="834"/>
    </row>
    <row r="65" spans="1:11" x14ac:dyDescent="0.35">
      <c r="A65" s="135"/>
      <c r="B65" s="136"/>
      <c r="C65" s="78"/>
      <c r="D65" s="136"/>
      <c r="E65" s="136"/>
      <c r="F65" s="136"/>
      <c r="G65" s="136"/>
      <c r="H65" s="136"/>
      <c r="I65" s="136"/>
      <c r="J65" s="136"/>
      <c r="K65" s="79"/>
    </row>
    <row r="66" spans="1:11" x14ac:dyDescent="0.35">
      <c r="A66" s="135" t="s">
        <v>401</v>
      </c>
      <c r="B66" s="136"/>
      <c r="C66" s="250">
        <v>14677</v>
      </c>
      <c r="D66" s="352"/>
      <c r="E66" s="352">
        <f>C66*(1+$E$27)</f>
        <v>15557.62</v>
      </c>
      <c r="F66" s="352"/>
      <c r="G66" s="352">
        <f>E66*(1+G27)</f>
        <v>16491.077200000003</v>
      </c>
      <c r="H66" s="352"/>
      <c r="I66" s="352">
        <f>G66*(1+I27)</f>
        <v>17480.541832000006</v>
      </c>
      <c r="J66" s="352"/>
      <c r="K66" s="353">
        <f>I66*(1+K27)</f>
        <v>18529.374341920007</v>
      </c>
    </row>
    <row r="67" spans="1:11" x14ac:dyDescent="0.35">
      <c r="A67" s="135" t="s">
        <v>402</v>
      </c>
      <c r="B67" s="631">
        <f>B31</f>
        <v>0.30249999999999999</v>
      </c>
      <c r="C67" s="332">
        <f>C66*B67</f>
        <v>4439.7924999999996</v>
      </c>
      <c r="D67" s="352"/>
      <c r="E67" s="352">
        <f>E66*B67</f>
        <v>4706.1800499999999</v>
      </c>
      <c r="F67" s="352"/>
      <c r="G67" s="352">
        <f>G66*B67</f>
        <v>4988.5508530000006</v>
      </c>
      <c r="H67" s="352"/>
      <c r="I67" s="352">
        <f>I66*B67</f>
        <v>5287.8639041800016</v>
      </c>
      <c r="J67" s="352"/>
      <c r="K67" s="353">
        <f>K66*B67</f>
        <v>5605.1357384308021</v>
      </c>
    </row>
    <row r="68" spans="1:11" x14ac:dyDescent="0.35">
      <c r="A68" s="135" t="s">
        <v>68</v>
      </c>
      <c r="B68" s="136"/>
      <c r="C68" s="394">
        <v>0</v>
      </c>
      <c r="D68" s="352"/>
      <c r="E68" s="369">
        <f>C68*(1+$E$27)</f>
        <v>0</v>
      </c>
      <c r="F68" s="352"/>
      <c r="G68" s="369">
        <f>E68*(1+G27)</f>
        <v>0</v>
      </c>
      <c r="H68" s="352"/>
      <c r="I68" s="369">
        <f>G68*(1+I27)</f>
        <v>0</v>
      </c>
      <c r="J68" s="352"/>
      <c r="K68" s="368">
        <f>I68*(1+K27)</f>
        <v>0</v>
      </c>
    </row>
    <row r="69" spans="1:11" x14ac:dyDescent="0.35">
      <c r="A69" s="135" t="s">
        <v>69</v>
      </c>
      <c r="B69" s="136"/>
      <c r="C69" s="353">
        <f>SUM(C66:C68)</f>
        <v>19116.7925</v>
      </c>
      <c r="D69" s="352"/>
      <c r="E69" s="352">
        <f>SUM(E66:E68)</f>
        <v>20263.800050000002</v>
      </c>
      <c r="F69" s="352"/>
      <c r="G69" s="352">
        <f>SUM(G66:G68)</f>
        <v>21479.628053000004</v>
      </c>
      <c r="H69" s="352"/>
      <c r="I69" s="352">
        <f>SUM(I66:I68)</f>
        <v>22768.405736180008</v>
      </c>
      <c r="J69" s="352"/>
      <c r="K69" s="353">
        <f>SUM(K66:K68)</f>
        <v>24134.51008035081</v>
      </c>
    </row>
    <row r="70" spans="1:11" x14ac:dyDescent="0.35">
      <c r="A70" s="135" t="s">
        <v>70</v>
      </c>
      <c r="B70" s="136"/>
      <c r="C70" s="427">
        <f>C12</f>
        <v>1</v>
      </c>
      <c r="D70" s="428"/>
      <c r="E70" s="428">
        <f>E12</f>
        <v>1</v>
      </c>
      <c r="F70" s="428"/>
      <c r="G70" s="428">
        <f>G12</f>
        <v>1</v>
      </c>
      <c r="H70" s="428"/>
      <c r="I70" s="428">
        <f>I12</f>
        <v>1</v>
      </c>
      <c r="J70" s="428"/>
      <c r="K70" s="630">
        <f>K12</f>
        <v>1</v>
      </c>
    </row>
    <row r="71" spans="1:11" x14ac:dyDescent="0.35">
      <c r="A71" s="135" t="s">
        <v>69</v>
      </c>
      <c r="B71" s="136"/>
      <c r="C71" s="629">
        <f>C69*C70*$B$171</f>
        <v>19116.7925</v>
      </c>
      <c r="D71" s="352"/>
      <c r="E71" s="629">
        <f>E69*E70*$B$171</f>
        <v>20263.800050000002</v>
      </c>
      <c r="F71" s="352"/>
      <c r="G71" s="629">
        <f>G69*G70*$B$171</f>
        <v>21479.628053000004</v>
      </c>
      <c r="H71" s="352"/>
      <c r="I71" s="629">
        <f>I69*I70*$B$171</f>
        <v>22768.405736180008</v>
      </c>
      <c r="J71" s="352"/>
      <c r="K71" s="629">
        <f>K69*K70*$B$171</f>
        <v>24134.51008035081</v>
      </c>
    </row>
    <row r="72" spans="1:11" x14ac:dyDescent="0.35">
      <c r="A72" s="135"/>
      <c r="B72" s="136"/>
      <c r="C72" s="353"/>
      <c r="D72" s="352"/>
      <c r="E72" s="352"/>
      <c r="F72" s="352"/>
      <c r="G72" s="352"/>
      <c r="H72" s="352"/>
      <c r="I72" s="352"/>
      <c r="J72" s="352"/>
      <c r="K72" s="353"/>
    </row>
    <row r="73" spans="1:11" ht="18" x14ac:dyDescent="0.35">
      <c r="A73" s="1042" t="s">
        <v>73</v>
      </c>
      <c r="B73" s="833"/>
      <c r="C73" s="833"/>
      <c r="D73" s="833"/>
      <c r="E73" s="833"/>
      <c r="F73" s="833"/>
      <c r="G73" s="833"/>
      <c r="H73" s="833"/>
      <c r="I73" s="833"/>
      <c r="J73" s="833"/>
      <c r="K73" s="834"/>
    </row>
    <row r="74" spans="1:11" x14ac:dyDescent="0.35">
      <c r="A74" s="135"/>
      <c r="B74" s="136"/>
      <c r="C74" s="78"/>
      <c r="D74" s="136"/>
      <c r="E74" s="136"/>
      <c r="F74" s="136"/>
      <c r="G74" s="136"/>
      <c r="H74" s="136"/>
      <c r="I74" s="136"/>
      <c r="J74" s="136"/>
      <c r="K74" s="79"/>
    </row>
    <row r="75" spans="1:11" x14ac:dyDescent="0.35">
      <c r="A75" s="135" t="s">
        <v>401</v>
      </c>
      <c r="B75" s="136"/>
      <c r="C75" s="332"/>
      <c r="D75" s="352"/>
      <c r="E75" s="352"/>
      <c r="F75" s="352"/>
      <c r="G75" s="352"/>
      <c r="H75" s="352"/>
      <c r="I75" s="352"/>
      <c r="J75" s="352"/>
      <c r="K75" s="353"/>
    </row>
    <row r="76" spans="1:11" x14ac:dyDescent="0.35">
      <c r="A76" s="135" t="s">
        <v>74</v>
      </c>
      <c r="B76" s="136"/>
      <c r="C76" s="250">
        <v>7548</v>
      </c>
      <c r="D76" s="352"/>
      <c r="E76" s="352">
        <f>C76*(1+$E$27)</f>
        <v>8000.88</v>
      </c>
      <c r="F76" s="352"/>
      <c r="G76" s="352">
        <f>E76*(1+G27)</f>
        <v>8480.9328000000005</v>
      </c>
      <c r="H76" s="352"/>
      <c r="I76" s="352">
        <f>G76*(1+I27)</f>
        <v>8989.7887680000003</v>
      </c>
      <c r="J76" s="352"/>
      <c r="K76" s="353">
        <f>I76*(1+K27)</f>
        <v>9529.1760940800013</v>
      </c>
    </row>
    <row r="77" spans="1:11" x14ac:dyDescent="0.35">
      <c r="A77" s="135" t="s">
        <v>75</v>
      </c>
      <c r="B77" s="632">
        <v>65</v>
      </c>
      <c r="C77" s="332">
        <f>IF(('7.2.1 Turnover Vehicles'!C84+'7.2.1 Turnover Vehicles'!C85)*$B77=0,0,('7.1 Dealer area'!C41+'7.1 Dealer area'!C47+'5.1 DAF Vehicle Parc Input'!K43)/('7.2.1 Turnover Vehicles'!C84+'7.2.1 Turnover Vehicles'!C85)*$B77)</f>
        <v>1885</v>
      </c>
      <c r="D77" s="357"/>
      <c r="E77" s="357">
        <f>IF(('7.2.1 Turnover Vehicles'!E84+'7.2.1 Turnover Vehicles'!E85)*$B77=0,0,('7.1 Dealer area'!E41+'7.1 Dealer area'!E47+'5.1 DAF Vehicle Parc Input'!L43)/('7.2.1 Turnover Vehicles'!E84+'7.2.1 Turnover Vehicles'!E85)*$B77)</f>
        <v>4745</v>
      </c>
      <c r="F77" s="357"/>
      <c r="G77" s="357">
        <f>IF(('7.2.1 Turnover Vehicles'!G84+'7.2.1 Turnover Vehicles'!G85)*$B77=0,0,('7.1 Dealer area'!G41+'7.1 Dealer area'!G47+'5.1 DAF Vehicle Parc Input'!M43)/('7.2.1 Turnover Vehicles'!G84+'7.2.1 Turnover Vehicles'!G85)*$B77)</f>
        <v>4062.5</v>
      </c>
      <c r="H77" s="357"/>
      <c r="I77" s="357">
        <f>IF(('7.2.1 Turnover Vehicles'!I84+'7.2.1 Turnover Vehicles'!I85)*$B77=0,0,('7.1 Dealer area'!I41+'7.1 Dealer area'!I47+'5.1 DAF Vehicle Parc Input'!N43)/('7.2.1 Turnover Vehicles'!I84+'7.2.1 Turnover Vehicles'!I85)*$B77)</f>
        <v>5005</v>
      </c>
      <c r="J77" s="357"/>
      <c r="K77" s="332">
        <f>IF(('7.2.1 Turnover Vehicles'!K84+'7.2.1 Turnover Vehicles'!K85)*$B77=0,0,('7.1 Dealer area'!K41+'7.1 Dealer area'!K47+'5.1 DAF Vehicle Parc Input'!O43)/('7.2.1 Turnover Vehicles'!K84+'7.2.1 Turnover Vehicles'!K85)*$B77)</f>
        <v>5980</v>
      </c>
    </row>
    <row r="78" spans="1:11" x14ac:dyDescent="0.35">
      <c r="A78" s="135" t="s">
        <v>402</v>
      </c>
      <c r="B78" s="631">
        <f>B67</f>
        <v>0.30249999999999999</v>
      </c>
      <c r="C78" s="332">
        <f>(C76+C77)*$B$78</f>
        <v>2853.4825000000001</v>
      </c>
      <c r="D78" s="352"/>
      <c r="E78" s="357">
        <f>(E76+E77)*$B$78</f>
        <v>3855.6287000000002</v>
      </c>
      <c r="F78" s="352"/>
      <c r="G78" s="357">
        <f>(G76+G77)*$B$78</f>
        <v>3794.388422</v>
      </c>
      <c r="H78" s="352"/>
      <c r="I78" s="357">
        <f>(I76+I77)*$B$78</f>
        <v>4233.4236023200001</v>
      </c>
      <c r="J78" s="352"/>
      <c r="K78" s="332">
        <f>(K76+K77)*$B$78</f>
        <v>4691.5257684592007</v>
      </c>
    </row>
    <row r="79" spans="1:11" x14ac:dyDescent="0.35">
      <c r="A79" s="135" t="s">
        <v>76</v>
      </c>
      <c r="B79" s="136"/>
      <c r="C79" s="394">
        <v>0</v>
      </c>
      <c r="D79" s="352"/>
      <c r="E79" s="369">
        <f>C79*(1+$E$27)</f>
        <v>0</v>
      </c>
      <c r="F79" s="352"/>
      <c r="G79" s="369">
        <f>E79*(1+G27)</f>
        <v>0</v>
      </c>
      <c r="H79" s="352"/>
      <c r="I79" s="369">
        <f>G79*(1+I27)</f>
        <v>0</v>
      </c>
      <c r="J79" s="352"/>
      <c r="K79" s="368">
        <f>I79*(1+K27)</f>
        <v>0</v>
      </c>
    </row>
    <row r="80" spans="1:11" x14ac:dyDescent="0.35">
      <c r="A80" s="135" t="s">
        <v>69</v>
      </c>
      <c r="B80" s="136"/>
      <c r="C80" s="353">
        <f>SUM(C75:C79)</f>
        <v>12286.4825</v>
      </c>
      <c r="D80" s="352"/>
      <c r="E80" s="352">
        <f>SUM(E75:E79)</f>
        <v>16601.508700000002</v>
      </c>
      <c r="F80" s="352"/>
      <c r="G80" s="352">
        <f>SUM(G75:G79)</f>
        <v>16337.821222</v>
      </c>
      <c r="H80" s="352"/>
      <c r="I80" s="352">
        <f>SUM(I75:I79)</f>
        <v>18228.212370320001</v>
      </c>
      <c r="J80" s="352"/>
      <c r="K80" s="353">
        <f>SUM(K75:K79)</f>
        <v>20200.701862539201</v>
      </c>
    </row>
    <row r="81" spans="1:11" x14ac:dyDescent="0.35">
      <c r="A81" s="135" t="s">
        <v>70</v>
      </c>
      <c r="B81" s="136"/>
      <c r="C81" s="427">
        <f>C13</f>
        <v>1</v>
      </c>
      <c r="D81" s="428"/>
      <c r="E81" s="633">
        <f>E13</f>
        <v>1</v>
      </c>
      <c r="F81" s="428"/>
      <c r="G81" s="633">
        <f>G13</f>
        <v>2</v>
      </c>
      <c r="H81" s="428"/>
      <c r="I81" s="633">
        <f>I13</f>
        <v>2</v>
      </c>
      <c r="J81" s="428"/>
      <c r="K81" s="427">
        <f>K13</f>
        <v>2</v>
      </c>
    </row>
    <row r="82" spans="1:11" x14ac:dyDescent="0.35">
      <c r="A82" s="135" t="s">
        <v>69</v>
      </c>
      <c r="B82" s="136"/>
      <c r="C82" s="629">
        <f>C80*C81*$B$171</f>
        <v>12286.4825</v>
      </c>
      <c r="D82" s="352"/>
      <c r="E82" s="629">
        <f>E80*E81*$B$171</f>
        <v>16601.508700000002</v>
      </c>
      <c r="F82" s="352"/>
      <c r="G82" s="629">
        <f>G80*G81*$B$171</f>
        <v>32675.642444000001</v>
      </c>
      <c r="H82" s="352"/>
      <c r="I82" s="629">
        <f>I80*I81*$B$171</f>
        <v>36456.424740640003</v>
      </c>
      <c r="J82" s="352"/>
      <c r="K82" s="629">
        <f>K80*K81*$B$171</f>
        <v>40401.403725078402</v>
      </c>
    </row>
    <row r="83" spans="1:11" x14ac:dyDescent="0.35">
      <c r="A83" s="135"/>
      <c r="B83" s="136"/>
      <c r="C83" s="79"/>
      <c r="D83" s="136"/>
      <c r="E83" s="136"/>
      <c r="F83" s="136"/>
      <c r="G83" s="136"/>
      <c r="H83" s="136"/>
      <c r="I83" s="136"/>
      <c r="J83" s="136"/>
      <c r="K83" s="79"/>
    </row>
    <row r="84" spans="1:11" ht="18" x14ac:dyDescent="0.35">
      <c r="A84" s="1042" t="s">
        <v>407</v>
      </c>
      <c r="B84" s="833"/>
      <c r="C84" s="833"/>
      <c r="D84" s="833"/>
      <c r="E84" s="833"/>
      <c r="F84" s="833"/>
      <c r="G84" s="833"/>
      <c r="H84" s="833"/>
      <c r="I84" s="833"/>
      <c r="J84" s="833"/>
      <c r="K84" s="834"/>
    </row>
    <row r="85" spans="1:11" x14ac:dyDescent="0.35">
      <c r="A85" s="135"/>
      <c r="B85" s="136"/>
      <c r="C85" s="78"/>
      <c r="D85" s="136"/>
      <c r="E85" s="136"/>
      <c r="F85" s="136"/>
      <c r="G85" s="136"/>
      <c r="H85" s="136"/>
      <c r="I85" s="136"/>
      <c r="J85" s="136"/>
      <c r="K85" s="79"/>
    </row>
    <row r="86" spans="1:11" x14ac:dyDescent="0.35">
      <c r="A86" s="135" t="s">
        <v>401</v>
      </c>
      <c r="B86" s="136"/>
      <c r="C86" s="250">
        <v>6290</v>
      </c>
      <c r="D86" s="352"/>
      <c r="E86" s="352">
        <f>C86*(1+$E$27)</f>
        <v>6667.4000000000005</v>
      </c>
      <c r="F86" s="352"/>
      <c r="G86" s="352">
        <f>E86*(1+G27)</f>
        <v>7067.4440000000013</v>
      </c>
      <c r="H86" s="352"/>
      <c r="I86" s="352">
        <f>G86*(1+I27)</f>
        <v>7491.4906400000018</v>
      </c>
      <c r="J86" s="352"/>
      <c r="K86" s="353">
        <f>I86*(1+K27)</f>
        <v>7940.9800784000026</v>
      </c>
    </row>
    <row r="87" spans="1:11" x14ac:dyDescent="0.35">
      <c r="A87" s="135" t="s">
        <v>402</v>
      </c>
      <c r="B87" s="631">
        <f>B31</f>
        <v>0.30249999999999999</v>
      </c>
      <c r="C87" s="332">
        <f>C86*B87</f>
        <v>1902.7249999999999</v>
      </c>
      <c r="D87" s="352"/>
      <c r="E87" s="352">
        <f>E86*B87</f>
        <v>2016.8885</v>
      </c>
      <c r="F87" s="352"/>
      <c r="G87" s="352">
        <f>G86*B87</f>
        <v>2137.9018100000003</v>
      </c>
      <c r="H87" s="352"/>
      <c r="I87" s="352">
        <f>I86*B87</f>
        <v>2266.1759186000004</v>
      </c>
      <c r="J87" s="352"/>
      <c r="K87" s="353">
        <f>K86*B87</f>
        <v>2402.1464737160009</v>
      </c>
    </row>
    <row r="88" spans="1:11" x14ac:dyDescent="0.35">
      <c r="A88" s="135" t="s">
        <v>68</v>
      </c>
      <c r="B88" s="136"/>
      <c r="C88" s="394">
        <v>0</v>
      </c>
      <c r="D88" s="352"/>
      <c r="E88" s="369">
        <f>C88*(1+$E$27)</f>
        <v>0</v>
      </c>
      <c r="F88" s="352"/>
      <c r="G88" s="369">
        <f>E88*(1+G27)</f>
        <v>0</v>
      </c>
      <c r="H88" s="352"/>
      <c r="I88" s="369">
        <f>G88*(1+I27)</f>
        <v>0</v>
      </c>
      <c r="J88" s="352"/>
      <c r="K88" s="368">
        <f>I88*(1+K27)</f>
        <v>0</v>
      </c>
    </row>
    <row r="89" spans="1:11" x14ac:dyDescent="0.35">
      <c r="A89" s="135" t="s">
        <v>69</v>
      </c>
      <c r="B89" s="136"/>
      <c r="C89" s="353">
        <f>SUM(C86:C88)</f>
        <v>8192.7250000000004</v>
      </c>
      <c r="D89" s="352"/>
      <c r="E89" s="352">
        <f>SUM(E86:E88)</f>
        <v>8684.2885000000006</v>
      </c>
      <c r="F89" s="352"/>
      <c r="G89" s="352">
        <f>SUM(G86:G88)</f>
        <v>9205.3458100000025</v>
      </c>
      <c r="H89" s="352"/>
      <c r="I89" s="352">
        <f>SUM(I86:I88)</f>
        <v>9757.6665586000017</v>
      </c>
      <c r="J89" s="352"/>
      <c r="K89" s="353">
        <f>SUM(K86:K88)</f>
        <v>10343.126552116004</v>
      </c>
    </row>
    <row r="90" spans="1:11" x14ac:dyDescent="0.35">
      <c r="A90" s="135" t="s">
        <v>70</v>
      </c>
      <c r="B90" s="136"/>
      <c r="C90" s="427">
        <f>C14</f>
        <v>0</v>
      </c>
      <c r="D90" s="428"/>
      <c r="E90" s="428">
        <f>E14</f>
        <v>1</v>
      </c>
      <c r="F90" s="428"/>
      <c r="G90" s="428">
        <f>G14</f>
        <v>1</v>
      </c>
      <c r="H90" s="428"/>
      <c r="I90" s="428">
        <f>I14</f>
        <v>1</v>
      </c>
      <c r="J90" s="428"/>
      <c r="K90" s="427">
        <f>K14</f>
        <v>1</v>
      </c>
    </row>
    <row r="91" spans="1:11" x14ac:dyDescent="0.35">
      <c r="A91" s="135" t="s">
        <v>69</v>
      </c>
      <c r="B91" s="136"/>
      <c r="C91" s="629">
        <f>C89*C90*$B$171</f>
        <v>0</v>
      </c>
      <c r="D91" s="352"/>
      <c r="E91" s="629">
        <f>E89*E90*$B$171</f>
        <v>8684.2885000000006</v>
      </c>
      <c r="F91" s="352"/>
      <c r="G91" s="629">
        <f>G89*G90*$B$171</f>
        <v>9205.3458100000025</v>
      </c>
      <c r="H91" s="352"/>
      <c r="I91" s="629">
        <f>I89*I90*$B$171</f>
        <v>9757.6665586000017</v>
      </c>
      <c r="J91" s="352"/>
      <c r="K91" s="629">
        <f>K89*K90*$B$171</f>
        <v>10343.126552116004</v>
      </c>
    </row>
    <row r="92" spans="1:11" x14ac:dyDescent="0.35">
      <c r="A92" s="145"/>
      <c r="B92" s="146"/>
      <c r="C92" s="368"/>
      <c r="D92" s="369"/>
      <c r="E92" s="369"/>
      <c r="F92" s="369"/>
      <c r="G92" s="369"/>
      <c r="H92" s="369"/>
      <c r="I92" s="369"/>
      <c r="J92" s="369"/>
      <c r="K92" s="368"/>
    </row>
    <row r="93" spans="1:11" ht="28.8" x14ac:dyDescent="0.55000000000000004">
      <c r="A93" s="200" t="s">
        <v>1173</v>
      </c>
      <c r="B93" s="201"/>
      <c r="C93" s="201"/>
      <c r="D93" s="201"/>
      <c r="E93" s="201"/>
      <c r="F93" s="201"/>
      <c r="G93" s="201"/>
      <c r="H93" s="201"/>
      <c r="I93" s="201"/>
      <c r="J93" s="201"/>
      <c r="K93" s="202" t="str">
        <f>K1</f>
        <v>7.4.1 Salaries &amp; wages</v>
      </c>
    </row>
    <row r="94" spans="1:11" x14ac:dyDescent="0.35">
      <c r="A94" s="135"/>
      <c r="B94" s="136"/>
      <c r="C94" s="136"/>
      <c r="D94" s="136"/>
      <c r="E94" s="280"/>
      <c r="F94" s="136"/>
      <c r="G94" s="136"/>
      <c r="H94" s="136"/>
      <c r="I94" s="136"/>
      <c r="J94" s="136"/>
      <c r="K94" s="137"/>
    </row>
    <row r="95" spans="1:11" ht="16.2" x14ac:dyDescent="0.35">
      <c r="A95" s="138" t="s">
        <v>1035</v>
      </c>
      <c r="B95" s="239" t="str">
        <f>B3</f>
        <v>TRUCK INTERNATIONAL MOBILITY SA</v>
      </c>
      <c r="C95" s="240"/>
      <c r="E95" s="242" t="s">
        <v>1036</v>
      </c>
      <c r="F95" s="282">
        <f>F3</f>
        <v>2</v>
      </c>
      <c r="G95" s="283" t="s">
        <v>1037</v>
      </c>
      <c r="H95" s="243" t="str">
        <f>H3</f>
        <v>October</v>
      </c>
      <c r="I95" s="143"/>
      <c r="J95" s="143" t="s">
        <v>1175</v>
      </c>
      <c r="K95" s="284" t="str">
        <f>K3</f>
        <v>EUR</v>
      </c>
    </row>
    <row r="96" spans="1:11" x14ac:dyDescent="0.35">
      <c r="A96" s="135"/>
      <c r="B96" s="181"/>
      <c r="C96" s="136"/>
      <c r="D96" s="136"/>
      <c r="E96" s="136"/>
      <c r="F96" s="136"/>
      <c r="G96" s="182"/>
      <c r="H96" s="136"/>
      <c r="I96" s="136"/>
      <c r="J96" s="136"/>
      <c r="K96" s="340"/>
    </row>
    <row r="97" spans="1:11" x14ac:dyDescent="0.35">
      <c r="A97" s="145"/>
      <c r="B97" s="146"/>
      <c r="C97" s="341">
        <f>C5</f>
        <v>2019</v>
      </c>
      <c r="D97" s="342"/>
      <c r="E97" s="341">
        <f>E5</f>
        <v>2020</v>
      </c>
      <c r="F97" s="343"/>
      <c r="G97" s="341">
        <f>G5</f>
        <v>2021</v>
      </c>
      <c r="H97" s="344"/>
      <c r="I97" s="341">
        <f>I5</f>
        <v>2022</v>
      </c>
      <c r="J97" s="344"/>
      <c r="K97" s="341">
        <f>K5</f>
        <v>2023</v>
      </c>
    </row>
    <row r="98" spans="1:11" ht="18" x14ac:dyDescent="0.35">
      <c r="A98" s="1042" t="s">
        <v>77</v>
      </c>
      <c r="B98" s="833"/>
      <c r="C98" s="833"/>
      <c r="D98" s="833"/>
      <c r="E98" s="833"/>
      <c r="F98" s="833"/>
      <c r="G98" s="833"/>
      <c r="H98" s="833"/>
      <c r="I98" s="833"/>
      <c r="J98" s="833"/>
      <c r="K98" s="834"/>
    </row>
    <row r="99" spans="1:11" x14ac:dyDescent="0.35">
      <c r="A99" s="147"/>
      <c r="B99" s="148"/>
      <c r="C99" s="78"/>
      <c r="D99" s="148"/>
      <c r="E99" s="148"/>
      <c r="F99" s="148"/>
      <c r="G99" s="148"/>
      <c r="H99" s="148"/>
      <c r="I99" s="148"/>
      <c r="J99" s="148"/>
      <c r="K99" s="78"/>
    </row>
    <row r="100" spans="1:11" x14ac:dyDescent="0.35">
      <c r="A100" s="135" t="s">
        <v>401</v>
      </c>
      <c r="B100" s="136"/>
      <c r="C100" s="250">
        <v>3774</v>
      </c>
      <c r="D100" s="352"/>
      <c r="E100" s="352">
        <f>C100*(1+$E$27)</f>
        <v>4000.44</v>
      </c>
      <c r="F100" s="352"/>
      <c r="G100" s="352">
        <f>E100*(1+G27)</f>
        <v>4240.4664000000002</v>
      </c>
      <c r="H100" s="352"/>
      <c r="I100" s="352">
        <f>G100*(1+I27)</f>
        <v>4494.8943840000002</v>
      </c>
      <c r="J100" s="352"/>
      <c r="K100" s="353">
        <f>I100*(1+K27)</f>
        <v>4764.5880470400007</v>
      </c>
    </row>
    <row r="101" spans="1:11" x14ac:dyDescent="0.35">
      <c r="A101" s="135" t="s">
        <v>402</v>
      </c>
      <c r="B101" s="631">
        <f>B87</f>
        <v>0.30249999999999999</v>
      </c>
      <c r="C101" s="332">
        <f>C100*B101</f>
        <v>1141.635</v>
      </c>
      <c r="D101" s="352"/>
      <c r="E101" s="352">
        <f>E100*B101</f>
        <v>1210.1331</v>
      </c>
      <c r="F101" s="352"/>
      <c r="G101" s="352">
        <f>G100*B101</f>
        <v>1282.741086</v>
      </c>
      <c r="H101" s="352"/>
      <c r="I101" s="352">
        <f>I100*B101</f>
        <v>1359.7055511599999</v>
      </c>
      <c r="J101" s="352"/>
      <c r="K101" s="353">
        <f>K100*B101</f>
        <v>1441.2878842296002</v>
      </c>
    </row>
    <row r="102" spans="1:11" x14ac:dyDescent="0.35">
      <c r="A102" s="135" t="s">
        <v>68</v>
      </c>
      <c r="B102" s="136"/>
      <c r="C102" s="394">
        <v>0</v>
      </c>
      <c r="D102" s="352"/>
      <c r="E102" s="369">
        <f>C102*(1+$E$27)</f>
        <v>0</v>
      </c>
      <c r="F102" s="352"/>
      <c r="G102" s="369">
        <f>E102*(1+G27)</f>
        <v>0</v>
      </c>
      <c r="H102" s="352"/>
      <c r="I102" s="369">
        <f>G102*(1+I27)</f>
        <v>0</v>
      </c>
      <c r="J102" s="352"/>
      <c r="K102" s="368">
        <f>I102*(1+K27)</f>
        <v>0</v>
      </c>
    </row>
    <row r="103" spans="1:11" x14ac:dyDescent="0.35">
      <c r="A103" s="135" t="s">
        <v>69</v>
      </c>
      <c r="B103" s="136"/>
      <c r="C103" s="353">
        <f>SUM(C100:C102)</f>
        <v>4915.6350000000002</v>
      </c>
      <c r="D103" s="352"/>
      <c r="E103" s="352">
        <f>SUM(E100:E102)</f>
        <v>5210.5730999999996</v>
      </c>
      <c r="F103" s="352"/>
      <c r="G103" s="352">
        <f>SUM(G100:G102)</f>
        <v>5523.2074860000002</v>
      </c>
      <c r="H103" s="352"/>
      <c r="I103" s="352">
        <f>SUM(I100:I102)</f>
        <v>5854.5999351600003</v>
      </c>
      <c r="J103" s="352"/>
      <c r="K103" s="353">
        <f>SUM(K100:K102)</f>
        <v>6205.8759312696011</v>
      </c>
    </row>
    <row r="104" spans="1:11" x14ac:dyDescent="0.35">
      <c r="A104" s="135" t="s">
        <v>70</v>
      </c>
      <c r="B104" s="136"/>
      <c r="C104" s="427">
        <f>C15</f>
        <v>1</v>
      </c>
      <c r="D104" s="428"/>
      <c r="E104" s="428">
        <f>E15</f>
        <v>2</v>
      </c>
      <c r="F104" s="428"/>
      <c r="G104" s="428">
        <f>G15</f>
        <v>3</v>
      </c>
      <c r="H104" s="428"/>
      <c r="I104" s="428">
        <f>I15</f>
        <v>5</v>
      </c>
      <c r="J104" s="428"/>
      <c r="K104" s="427">
        <f>K15</f>
        <v>8</v>
      </c>
    </row>
    <row r="105" spans="1:11" x14ac:dyDescent="0.35">
      <c r="A105" s="135" t="s">
        <v>69</v>
      </c>
      <c r="B105" s="136"/>
      <c r="C105" s="629">
        <f>C103*C104*$B$171</f>
        <v>4915.6350000000002</v>
      </c>
      <c r="D105" s="352"/>
      <c r="E105" s="629">
        <f>E103*E104*$B$171</f>
        <v>10421.146199999999</v>
      </c>
      <c r="F105" s="352"/>
      <c r="G105" s="629">
        <f>G103*G104*$B$171</f>
        <v>16569.622458000002</v>
      </c>
      <c r="H105" s="352"/>
      <c r="I105" s="629">
        <f>I103*I104*$B$171</f>
        <v>29272.999675800002</v>
      </c>
      <c r="J105" s="352"/>
      <c r="K105" s="629">
        <f>K103*K104*$B$171</f>
        <v>49647.007450156809</v>
      </c>
    </row>
    <row r="106" spans="1:11" x14ac:dyDescent="0.35">
      <c r="A106" s="135"/>
      <c r="B106" s="136"/>
      <c r="C106" s="634"/>
      <c r="D106" s="352"/>
      <c r="E106" s="352"/>
      <c r="F106" s="352"/>
      <c r="G106" s="352"/>
      <c r="H106" s="352"/>
      <c r="I106" s="352"/>
      <c r="J106" s="352"/>
      <c r="K106" s="353"/>
    </row>
    <row r="107" spans="1:11" ht="18" x14ac:dyDescent="0.35">
      <c r="A107" s="1042" t="s">
        <v>406</v>
      </c>
      <c r="B107" s="833"/>
      <c r="C107" s="833"/>
      <c r="D107" s="833"/>
      <c r="E107" s="833"/>
      <c r="F107" s="833"/>
      <c r="G107" s="833"/>
      <c r="H107" s="833"/>
      <c r="I107" s="833"/>
      <c r="J107" s="833"/>
      <c r="K107" s="834"/>
    </row>
    <row r="108" spans="1:11" x14ac:dyDescent="0.35">
      <c r="A108" s="147"/>
      <c r="B108" s="148"/>
      <c r="C108" s="78"/>
      <c r="D108" s="148"/>
      <c r="E108" s="148"/>
      <c r="F108" s="148"/>
      <c r="G108" s="148"/>
      <c r="H108" s="148"/>
      <c r="I108" s="148"/>
      <c r="J108" s="148"/>
      <c r="K108" s="78"/>
    </row>
    <row r="109" spans="1:11" x14ac:dyDescent="0.35">
      <c r="A109" s="135" t="s">
        <v>401</v>
      </c>
      <c r="B109" s="136"/>
      <c r="C109" s="250">
        <v>0</v>
      </c>
      <c r="D109" s="352"/>
      <c r="E109" s="352">
        <f>C109*(1+$E$27)</f>
        <v>0</v>
      </c>
      <c r="F109" s="352"/>
      <c r="G109" s="352">
        <f>E109*(1+G27)</f>
        <v>0</v>
      </c>
      <c r="H109" s="352"/>
      <c r="I109" s="352">
        <f>G109*(1+I27)</f>
        <v>0</v>
      </c>
      <c r="J109" s="352"/>
      <c r="K109" s="353">
        <f>I109*(1+K27)</f>
        <v>0</v>
      </c>
    </row>
    <row r="110" spans="1:11" x14ac:dyDescent="0.35">
      <c r="A110" s="135" t="s">
        <v>402</v>
      </c>
      <c r="B110" s="631">
        <v>0.30249999999999999</v>
      </c>
      <c r="C110" s="332">
        <f>C109*B110</f>
        <v>0</v>
      </c>
      <c r="D110" s="352"/>
      <c r="E110" s="352">
        <f>E109*B110</f>
        <v>0</v>
      </c>
      <c r="F110" s="352"/>
      <c r="G110" s="352">
        <f>G109*B110</f>
        <v>0</v>
      </c>
      <c r="H110" s="352"/>
      <c r="I110" s="352">
        <f>I109*B110</f>
        <v>0</v>
      </c>
      <c r="J110" s="352"/>
      <c r="K110" s="353">
        <f>K109*B110</f>
        <v>0</v>
      </c>
    </row>
    <row r="111" spans="1:11" x14ac:dyDescent="0.35">
      <c r="A111" s="135" t="s">
        <v>68</v>
      </c>
      <c r="B111" s="136"/>
      <c r="C111" s="394">
        <v>0</v>
      </c>
      <c r="D111" s="352"/>
      <c r="E111" s="369">
        <f>C111*(1+$E$27)</f>
        <v>0</v>
      </c>
      <c r="F111" s="352"/>
      <c r="G111" s="369">
        <f>E111*(1+G27)</f>
        <v>0</v>
      </c>
      <c r="H111" s="352"/>
      <c r="I111" s="369">
        <f>G111*(1+I27)</f>
        <v>0</v>
      </c>
      <c r="J111" s="352"/>
      <c r="K111" s="368">
        <f>I111*(1+K27)</f>
        <v>0</v>
      </c>
    </row>
    <row r="112" spans="1:11" x14ac:dyDescent="0.35">
      <c r="A112" s="135" t="s">
        <v>69</v>
      </c>
      <c r="B112" s="136"/>
      <c r="C112" s="353">
        <f>SUM(C109:C111)</f>
        <v>0</v>
      </c>
      <c r="D112" s="352"/>
      <c r="E112" s="352">
        <f>SUM(E109:E111)</f>
        <v>0</v>
      </c>
      <c r="F112" s="352"/>
      <c r="G112" s="352">
        <f>SUM(G109:G111)</f>
        <v>0</v>
      </c>
      <c r="H112" s="352"/>
      <c r="I112" s="352">
        <f>SUM(I109:I111)</f>
        <v>0</v>
      </c>
      <c r="J112" s="352"/>
      <c r="K112" s="353">
        <f>SUM(K109:K111)</f>
        <v>0</v>
      </c>
    </row>
    <row r="113" spans="1:11" x14ac:dyDescent="0.35">
      <c r="A113" s="135" t="s">
        <v>70</v>
      </c>
      <c r="B113" s="136"/>
      <c r="C113" s="427">
        <f>C16</f>
        <v>1</v>
      </c>
      <c r="D113" s="428"/>
      <c r="E113" s="428">
        <f>E16</f>
        <v>1</v>
      </c>
      <c r="F113" s="428"/>
      <c r="G113" s="428">
        <f>G16</f>
        <v>1</v>
      </c>
      <c r="H113" s="428"/>
      <c r="I113" s="428">
        <f>I16</f>
        <v>1</v>
      </c>
      <c r="J113" s="428"/>
      <c r="K113" s="427">
        <f>K16</f>
        <v>1</v>
      </c>
    </row>
    <row r="114" spans="1:11" x14ac:dyDescent="0.35">
      <c r="A114" s="135" t="s">
        <v>69</v>
      </c>
      <c r="B114" s="136"/>
      <c r="C114" s="629">
        <f>C112*C113*$B$171</f>
        <v>0</v>
      </c>
      <c r="D114" s="352"/>
      <c r="E114" s="629">
        <f>E112*E113*$B$171</f>
        <v>0</v>
      </c>
      <c r="F114" s="352"/>
      <c r="G114" s="629">
        <f>G112*G113*$B$171</f>
        <v>0</v>
      </c>
      <c r="H114" s="352"/>
      <c r="I114" s="629">
        <f>I112*I113*$B$171</f>
        <v>0</v>
      </c>
      <c r="J114" s="352"/>
      <c r="K114" s="629">
        <f>K112*K113*$B$171</f>
        <v>0</v>
      </c>
    </row>
    <row r="115" spans="1:11" x14ac:dyDescent="0.35">
      <c r="A115" s="145"/>
      <c r="B115" s="146"/>
      <c r="C115" s="634"/>
      <c r="D115" s="369"/>
      <c r="E115" s="369"/>
      <c r="F115" s="369"/>
      <c r="G115" s="369"/>
      <c r="H115" s="369"/>
      <c r="I115" s="369"/>
      <c r="J115" s="369"/>
      <c r="K115" s="368"/>
    </row>
    <row r="116" spans="1:11" ht="18" x14ac:dyDescent="0.35">
      <c r="A116" s="1079" t="s">
        <v>78</v>
      </c>
      <c r="B116" s="1078"/>
      <c r="C116" s="1089"/>
      <c r="D116" s="1090"/>
      <c r="E116" s="1090"/>
      <c r="F116" s="1090"/>
      <c r="G116" s="1090"/>
      <c r="H116" s="1090"/>
      <c r="I116" s="1090"/>
      <c r="J116" s="1090"/>
      <c r="K116" s="1089"/>
    </row>
    <row r="117" spans="1:11" x14ac:dyDescent="0.35">
      <c r="A117" s="276"/>
      <c r="B117" s="148"/>
      <c r="C117" s="534"/>
      <c r="D117" s="534"/>
      <c r="E117" s="534"/>
      <c r="F117" s="534"/>
      <c r="G117" s="534"/>
      <c r="H117" s="534"/>
      <c r="I117" s="534"/>
      <c r="J117" s="534"/>
      <c r="K117" s="537"/>
    </row>
    <row r="118" spans="1:11" x14ac:dyDescent="0.35">
      <c r="A118" s="135" t="s">
        <v>401</v>
      </c>
      <c r="B118" s="136"/>
      <c r="C118" s="250">
        <v>5452</v>
      </c>
      <c r="D118" s="352"/>
      <c r="E118" s="352">
        <f>C118*(1+$E$27)</f>
        <v>5779.12</v>
      </c>
      <c r="F118" s="352"/>
      <c r="G118" s="352">
        <f>E118*(1+G27)</f>
        <v>6125.8672000000006</v>
      </c>
      <c r="H118" s="352"/>
      <c r="I118" s="352">
        <f>G118*(1+I27)</f>
        <v>6493.4192320000011</v>
      </c>
      <c r="J118" s="352"/>
      <c r="K118" s="353">
        <f>I118*(1+K27)</f>
        <v>6883.0243859200018</v>
      </c>
    </row>
    <row r="119" spans="1:11" x14ac:dyDescent="0.35">
      <c r="A119" s="135" t="s">
        <v>402</v>
      </c>
      <c r="B119" s="631">
        <f>B101</f>
        <v>0.30249999999999999</v>
      </c>
      <c r="C119" s="332">
        <f>C118*B119</f>
        <v>1649.23</v>
      </c>
      <c r="D119" s="352"/>
      <c r="E119" s="352">
        <f>E118*B119</f>
        <v>1748.1838</v>
      </c>
      <c r="F119" s="352"/>
      <c r="G119" s="352">
        <f>G118*B119</f>
        <v>1853.074828</v>
      </c>
      <c r="H119" s="352"/>
      <c r="I119" s="352">
        <f>I118*B119</f>
        <v>1964.2593176800003</v>
      </c>
      <c r="J119" s="352"/>
      <c r="K119" s="353">
        <f>K118*B119</f>
        <v>2082.1148767408004</v>
      </c>
    </row>
    <row r="120" spans="1:11" x14ac:dyDescent="0.35">
      <c r="A120" s="135" t="s">
        <v>68</v>
      </c>
      <c r="B120" s="136"/>
      <c r="C120" s="394">
        <v>0</v>
      </c>
      <c r="D120" s="352"/>
      <c r="E120" s="369">
        <f>C120*(1+$E$27)</f>
        <v>0</v>
      </c>
      <c r="F120" s="352"/>
      <c r="G120" s="369">
        <f>E120*(1+G27)</f>
        <v>0</v>
      </c>
      <c r="H120" s="352"/>
      <c r="I120" s="369">
        <f>G120*(1+I27)</f>
        <v>0</v>
      </c>
      <c r="J120" s="352"/>
      <c r="K120" s="368">
        <f>I120*(1+K27)</f>
        <v>0</v>
      </c>
    </row>
    <row r="121" spans="1:11" x14ac:dyDescent="0.35">
      <c r="A121" s="135" t="s">
        <v>69</v>
      </c>
      <c r="B121" s="136"/>
      <c r="C121" s="353">
        <f>SUM(C118:C120)</f>
        <v>7101.23</v>
      </c>
      <c r="D121" s="352"/>
      <c r="E121" s="352">
        <f>SUM(E118:E120)</f>
        <v>7527.3037999999997</v>
      </c>
      <c r="F121" s="352"/>
      <c r="G121" s="352">
        <f>SUM(G118:G120)</f>
        <v>7978.9420280000004</v>
      </c>
      <c r="H121" s="352"/>
      <c r="I121" s="352">
        <f>SUM(I118:I120)</f>
        <v>8457.6785496800021</v>
      </c>
      <c r="J121" s="352"/>
      <c r="K121" s="353">
        <f>SUM(K118:K120)</f>
        <v>8965.1392626608031</v>
      </c>
    </row>
    <row r="122" spans="1:11" x14ac:dyDescent="0.35">
      <c r="A122" s="135" t="s">
        <v>70</v>
      </c>
      <c r="B122" s="136"/>
      <c r="C122" s="427">
        <f>C17</f>
        <v>0</v>
      </c>
      <c r="D122" s="428"/>
      <c r="E122" s="428">
        <f>E17</f>
        <v>1</v>
      </c>
      <c r="F122" s="428"/>
      <c r="G122" s="428">
        <f>G17</f>
        <v>1</v>
      </c>
      <c r="H122" s="428"/>
      <c r="I122" s="428">
        <f>I17</f>
        <v>2</v>
      </c>
      <c r="J122" s="428"/>
      <c r="K122" s="427">
        <f>K17</f>
        <v>2</v>
      </c>
    </row>
    <row r="123" spans="1:11" x14ac:dyDescent="0.35">
      <c r="A123" s="135" t="s">
        <v>69</v>
      </c>
      <c r="B123" s="136"/>
      <c r="C123" s="629">
        <f>C121*C122*$B$171</f>
        <v>0</v>
      </c>
      <c r="D123" s="352"/>
      <c r="E123" s="629">
        <f>E121*E122*$B$171</f>
        <v>7527.3037999999997</v>
      </c>
      <c r="F123" s="352"/>
      <c r="G123" s="629">
        <f>G121*G122*$B$171</f>
        <v>7978.9420280000004</v>
      </c>
      <c r="H123" s="352"/>
      <c r="I123" s="629">
        <f>I121*I122*$B$171</f>
        <v>16915.357099360004</v>
      </c>
      <c r="J123" s="352"/>
      <c r="K123" s="629">
        <f>K121*K122*$B$171</f>
        <v>17930.278525321606</v>
      </c>
    </row>
    <row r="124" spans="1:11" x14ac:dyDescent="0.35">
      <c r="A124" s="145"/>
      <c r="B124" s="146"/>
      <c r="C124" s="368"/>
      <c r="D124" s="369"/>
      <c r="E124" s="369"/>
      <c r="F124" s="369"/>
      <c r="G124" s="369"/>
      <c r="H124" s="369"/>
      <c r="I124" s="369"/>
      <c r="J124" s="369"/>
      <c r="K124" s="368"/>
    </row>
    <row r="125" spans="1:11" ht="18" x14ac:dyDescent="0.35">
      <c r="A125" s="1042" t="s">
        <v>405</v>
      </c>
      <c r="B125" s="833"/>
      <c r="C125" s="833"/>
      <c r="D125" s="833"/>
      <c r="E125" s="833"/>
      <c r="F125" s="833"/>
      <c r="G125" s="833"/>
      <c r="H125" s="833"/>
      <c r="I125" s="833"/>
      <c r="J125" s="833"/>
      <c r="K125" s="834"/>
    </row>
    <row r="126" spans="1:11" x14ac:dyDescent="0.35">
      <c r="A126" s="147"/>
      <c r="B126" s="148"/>
      <c r="C126" s="78"/>
      <c r="D126" s="148"/>
      <c r="E126" s="148"/>
      <c r="F126" s="148"/>
      <c r="G126" s="148"/>
      <c r="H126" s="148"/>
      <c r="I126" s="148"/>
      <c r="J126" s="148"/>
      <c r="K126" s="78"/>
    </row>
    <row r="127" spans="1:11" x14ac:dyDescent="0.35">
      <c r="A127" s="135" t="s">
        <v>401</v>
      </c>
      <c r="B127" s="136"/>
      <c r="C127" s="250">
        <v>10484</v>
      </c>
      <c r="D127" s="352"/>
      <c r="E127" s="352">
        <f>C127*(1+$E$27)</f>
        <v>11113.04</v>
      </c>
      <c r="F127" s="352"/>
      <c r="G127" s="352">
        <f>E127*(1+G27)</f>
        <v>11779.822400000001</v>
      </c>
      <c r="H127" s="352"/>
      <c r="I127" s="352">
        <f>G127*(1+I27)</f>
        <v>12486.611744000002</v>
      </c>
      <c r="J127" s="352"/>
      <c r="K127" s="353">
        <f>I127*(1+K27)</f>
        <v>13235.808448640002</v>
      </c>
    </row>
    <row r="128" spans="1:11" x14ac:dyDescent="0.35">
      <c r="A128" s="135" t="s">
        <v>402</v>
      </c>
      <c r="B128" s="631">
        <f>B31</f>
        <v>0.30249999999999999</v>
      </c>
      <c r="C128" s="332">
        <f>C127*B128</f>
        <v>3171.41</v>
      </c>
      <c r="D128" s="352"/>
      <c r="E128" s="352">
        <f>E127*B128</f>
        <v>3361.6946000000003</v>
      </c>
      <c r="F128" s="352"/>
      <c r="G128" s="352">
        <f>G127*B128</f>
        <v>3563.3962760000004</v>
      </c>
      <c r="H128" s="352"/>
      <c r="I128" s="352">
        <f>I127*B128</f>
        <v>3777.2000525600006</v>
      </c>
      <c r="J128" s="352"/>
      <c r="K128" s="353">
        <f>K127*B128</f>
        <v>4003.8320557136003</v>
      </c>
    </row>
    <row r="129" spans="1:11" x14ac:dyDescent="0.35">
      <c r="A129" s="135" t="s">
        <v>68</v>
      </c>
      <c r="B129" s="136"/>
      <c r="C129" s="394">
        <v>0</v>
      </c>
      <c r="D129" s="352"/>
      <c r="E129" s="369">
        <f>C129*(1+$E$27)</f>
        <v>0</v>
      </c>
      <c r="F129" s="352"/>
      <c r="G129" s="369">
        <f>E129*(1+G27)</f>
        <v>0</v>
      </c>
      <c r="H129" s="352"/>
      <c r="I129" s="369">
        <f>G129*(1+I27)</f>
        <v>0</v>
      </c>
      <c r="J129" s="352"/>
      <c r="K129" s="368">
        <f>I129*(1+K27)</f>
        <v>0</v>
      </c>
    </row>
    <row r="130" spans="1:11" x14ac:dyDescent="0.35">
      <c r="A130" s="135" t="s">
        <v>69</v>
      </c>
      <c r="B130" s="136"/>
      <c r="C130" s="353">
        <f>SUM(C127:C129)</f>
        <v>13655.41</v>
      </c>
      <c r="D130" s="352"/>
      <c r="E130" s="352">
        <f>SUM(E127:E129)</f>
        <v>14474.734600000002</v>
      </c>
      <c r="F130" s="352"/>
      <c r="G130" s="352">
        <f>SUM(G127:G129)</f>
        <v>15343.218676</v>
      </c>
      <c r="H130" s="352"/>
      <c r="I130" s="352">
        <f>SUM(I127:I129)</f>
        <v>16263.811796560003</v>
      </c>
      <c r="J130" s="352"/>
      <c r="K130" s="353">
        <f>SUM(K127:K129)</f>
        <v>17239.640504353603</v>
      </c>
    </row>
    <row r="131" spans="1:11" x14ac:dyDescent="0.35">
      <c r="A131" s="135" t="s">
        <v>70</v>
      </c>
      <c r="B131" s="136"/>
      <c r="C131" s="427">
        <f>C18</f>
        <v>1</v>
      </c>
      <c r="D131" s="428"/>
      <c r="E131" s="428">
        <f>E18</f>
        <v>1</v>
      </c>
      <c r="F131" s="428"/>
      <c r="G131" s="428">
        <f>G18</f>
        <v>2</v>
      </c>
      <c r="H131" s="428"/>
      <c r="I131" s="428">
        <f>I18</f>
        <v>2</v>
      </c>
      <c r="J131" s="428"/>
      <c r="K131" s="427">
        <f>K18</f>
        <v>2</v>
      </c>
    </row>
    <row r="132" spans="1:11" x14ac:dyDescent="0.35">
      <c r="A132" s="135" t="s">
        <v>69</v>
      </c>
      <c r="B132" s="136"/>
      <c r="C132" s="629">
        <f>C130*C131*$B$171</f>
        <v>13655.41</v>
      </c>
      <c r="D132" s="352"/>
      <c r="E132" s="629">
        <f>E130*E131*$B$171</f>
        <v>14474.734600000002</v>
      </c>
      <c r="F132" s="352"/>
      <c r="G132" s="629">
        <f>G130*G131*$B$171</f>
        <v>30686.437352000001</v>
      </c>
      <c r="H132" s="352"/>
      <c r="I132" s="629">
        <f>I130*I131*$B$171</f>
        <v>32527.623593120006</v>
      </c>
      <c r="J132" s="352"/>
      <c r="K132" s="629">
        <f>K130*K131*$B$171</f>
        <v>34479.281008707207</v>
      </c>
    </row>
    <row r="133" spans="1:11" x14ac:dyDescent="0.35">
      <c r="A133" s="145"/>
      <c r="B133" s="146"/>
      <c r="C133" s="185"/>
      <c r="D133" s="146"/>
      <c r="E133" s="146"/>
      <c r="F133" s="146"/>
      <c r="G133" s="146"/>
      <c r="H133" s="146"/>
      <c r="I133" s="184"/>
      <c r="J133" s="146"/>
      <c r="K133" s="85"/>
    </row>
    <row r="134" spans="1:11" ht="18" x14ac:dyDescent="0.35">
      <c r="A134" s="1042" t="s">
        <v>79</v>
      </c>
      <c r="B134" s="833"/>
      <c r="C134" s="833"/>
      <c r="D134" s="833"/>
      <c r="E134" s="833"/>
      <c r="F134" s="833"/>
      <c r="G134" s="833"/>
      <c r="H134" s="833"/>
      <c r="I134" s="833"/>
      <c r="J134" s="833"/>
      <c r="K134" s="834"/>
    </row>
    <row r="135" spans="1:11" x14ac:dyDescent="0.35">
      <c r="A135" s="147"/>
      <c r="B135" s="148"/>
      <c r="C135" s="78"/>
      <c r="D135" s="148"/>
      <c r="E135" s="148"/>
      <c r="F135" s="148"/>
      <c r="G135" s="148"/>
      <c r="H135" s="148"/>
      <c r="I135" s="148"/>
      <c r="J135" s="148"/>
      <c r="K135" s="78"/>
    </row>
    <row r="136" spans="1:11" x14ac:dyDescent="0.35">
      <c r="A136" s="135" t="s">
        <v>401</v>
      </c>
      <c r="B136" s="136"/>
      <c r="C136" s="250">
        <v>4194</v>
      </c>
      <c r="D136" s="352"/>
      <c r="E136" s="352">
        <f>C136*(1+$E$27)</f>
        <v>4445.6400000000003</v>
      </c>
      <c r="F136" s="352"/>
      <c r="G136" s="352">
        <f>E136*(1+G27)</f>
        <v>4712.3784000000005</v>
      </c>
      <c r="H136" s="352"/>
      <c r="I136" s="352">
        <f>G136*(1+I27)</f>
        <v>4995.1211040000007</v>
      </c>
      <c r="J136" s="352"/>
      <c r="K136" s="353">
        <f>I136*(1+K27)</f>
        <v>5294.8283702400013</v>
      </c>
    </row>
    <row r="137" spans="1:11" x14ac:dyDescent="0.35">
      <c r="A137" s="135" t="s">
        <v>402</v>
      </c>
      <c r="B137" s="631">
        <v>0.30249999999999999</v>
      </c>
      <c r="C137" s="332">
        <f>C136*B137</f>
        <v>1268.6849999999999</v>
      </c>
      <c r="D137" s="352"/>
      <c r="E137" s="352">
        <f>E136*B137</f>
        <v>1344.8061</v>
      </c>
      <c r="F137" s="352"/>
      <c r="G137" s="352">
        <f>G136*B137</f>
        <v>1425.4944660000001</v>
      </c>
      <c r="H137" s="352"/>
      <c r="I137" s="352">
        <f>I136*B137</f>
        <v>1511.0241339600002</v>
      </c>
      <c r="J137" s="352"/>
      <c r="K137" s="353">
        <f>K136*B137</f>
        <v>1601.6855819976004</v>
      </c>
    </row>
    <row r="138" spans="1:11" x14ac:dyDescent="0.35">
      <c r="A138" s="135" t="s">
        <v>68</v>
      </c>
      <c r="B138" s="136"/>
      <c r="C138" s="394">
        <v>0</v>
      </c>
      <c r="D138" s="352"/>
      <c r="E138" s="369">
        <f>C138*(1+$E$27)</f>
        <v>0</v>
      </c>
      <c r="F138" s="352"/>
      <c r="G138" s="369">
        <f>E138*(1+G27)</f>
        <v>0</v>
      </c>
      <c r="H138" s="352"/>
      <c r="I138" s="369">
        <f>G138*(1+I27)</f>
        <v>0</v>
      </c>
      <c r="J138" s="352"/>
      <c r="K138" s="368">
        <f>I138*(1+K27)</f>
        <v>0</v>
      </c>
    </row>
    <row r="139" spans="1:11" x14ac:dyDescent="0.35">
      <c r="A139" s="135" t="s">
        <v>69</v>
      </c>
      <c r="B139" s="136"/>
      <c r="C139" s="353">
        <f>SUM(C136:C138)</f>
        <v>5462.6849999999995</v>
      </c>
      <c r="D139" s="352"/>
      <c r="E139" s="352">
        <f>SUM(E136:E138)</f>
        <v>5790.4461000000001</v>
      </c>
      <c r="F139" s="352"/>
      <c r="G139" s="352">
        <f>SUM(G136:G138)</f>
        <v>6137.8728660000006</v>
      </c>
      <c r="H139" s="352"/>
      <c r="I139" s="352">
        <f>SUM(I136:I138)</f>
        <v>6506.1452379600014</v>
      </c>
      <c r="J139" s="352"/>
      <c r="K139" s="353">
        <f>SUM(K136:K138)</f>
        <v>6896.5139522376012</v>
      </c>
    </row>
    <row r="140" spans="1:11" x14ac:dyDescent="0.35">
      <c r="A140" s="135" t="s">
        <v>70</v>
      </c>
      <c r="B140" s="136"/>
      <c r="C140" s="427">
        <f>C19</f>
        <v>1</v>
      </c>
      <c r="D140" s="428"/>
      <c r="E140" s="428">
        <f>E19</f>
        <v>4</v>
      </c>
      <c r="F140" s="428"/>
      <c r="G140" s="428">
        <f>G19</f>
        <v>2</v>
      </c>
      <c r="H140" s="428"/>
      <c r="I140" s="428">
        <f>I19</f>
        <v>2</v>
      </c>
      <c r="J140" s="428"/>
      <c r="K140" s="427">
        <f>K19</f>
        <v>2</v>
      </c>
    </row>
    <row r="141" spans="1:11" x14ac:dyDescent="0.35">
      <c r="A141" s="135" t="s">
        <v>69</v>
      </c>
      <c r="B141" s="136"/>
      <c r="C141" s="629">
        <f>C139*C140*$B$171</f>
        <v>5462.6849999999995</v>
      </c>
      <c r="D141" s="352"/>
      <c r="E141" s="629">
        <f>E139*E140*$B$171</f>
        <v>23161.7844</v>
      </c>
      <c r="F141" s="352"/>
      <c r="G141" s="629">
        <f>G139*G140*$B$171</f>
        <v>12275.745732000001</v>
      </c>
      <c r="H141" s="352"/>
      <c r="I141" s="629">
        <f>I139*I140*$B$171</f>
        <v>13012.290475920003</v>
      </c>
      <c r="J141" s="635"/>
      <c r="K141" s="629">
        <f>K139*K140*$B$171</f>
        <v>13793.027904475202</v>
      </c>
    </row>
    <row r="142" spans="1:11" x14ac:dyDescent="0.35">
      <c r="A142" s="145"/>
      <c r="B142" s="146"/>
      <c r="C142" s="185"/>
      <c r="D142" s="146"/>
      <c r="E142" s="146"/>
      <c r="F142" s="146"/>
      <c r="G142" s="146"/>
      <c r="H142" s="146"/>
      <c r="I142" s="146"/>
      <c r="J142" s="146"/>
      <c r="K142" s="85"/>
    </row>
    <row r="143" spans="1:11" ht="18" x14ac:dyDescent="0.35">
      <c r="A143" s="1042" t="s">
        <v>404</v>
      </c>
      <c r="B143" s="833"/>
      <c r="C143" s="833"/>
      <c r="D143" s="833"/>
      <c r="E143" s="833"/>
      <c r="F143" s="833"/>
      <c r="G143" s="833"/>
      <c r="H143" s="833"/>
      <c r="I143" s="833"/>
      <c r="J143" s="833"/>
      <c r="K143" s="834"/>
    </row>
    <row r="144" spans="1:11" x14ac:dyDescent="0.35">
      <c r="A144" s="147"/>
      <c r="B144" s="148"/>
      <c r="C144" s="78"/>
      <c r="D144" s="148"/>
      <c r="E144" s="148"/>
      <c r="F144" s="148"/>
      <c r="G144" s="148"/>
      <c r="H144" s="148"/>
      <c r="I144" s="148"/>
      <c r="J144" s="148"/>
      <c r="K144" s="78"/>
    </row>
    <row r="145" spans="1:11" x14ac:dyDescent="0.35">
      <c r="A145" s="135" t="s">
        <v>401</v>
      </c>
      <c r="B145" s="136"/>
      <c r="C145" s="250">
        <v>5032</v>
      </c>
      <c r="D145" s="352"/>
      <c r="E145" s="352">
        <f>C145*(1+$E$27)</f>
        <v>5333.92</v>
      </c>
      <c r="F145" s="352"/>
      <c r="G145" s="352">
        <f>E145*(1+G27)</f>
        <v>5653.9552000000003</v>
      </c>
      <c r="H145" s="352"/>
      <c r="I145" s="352">
        <f>G145*(1+I27)</f>
        <v>5993.1925120000005</v>
      </c>
      <c r="J145" s="352"/>
      <c r="K145" s="353">
        <f>I145*(1+K27)</f>
        <v>6352.7840627200012</v>
      </c>
    </row>
    <row r="146" spans="1:11" x14ac:dyDescent="0.35">
      <c r="A146" s="135" t="s">
        <v>402</v>
      </c>
      <c r="B146" s="631">
        <v>0.30249999999999999</v>
      </c>
      <c r="C146" s="332">
        <f>C145*B146</f>
        <v>1522.18</v>
      </c>
      <c r="D146" s="352"/>
      <c r="E146" s="352">
        <f>E145*B146</f>
        <v>1613.5108</v>
      </c>
      <c r="F146" s="352"/>
      <c r="G146" s="352">
        <f>G145*B146</f>
        <v>1710.3214480000001</v>
      </c>
      <c r="H146" s="352"/>
      <c r="I146" s="352">
        <f>I145*B146</f>
        <v>1812.94073488</v>
      </c>
      <c r="J146" s="352"/>
      <c r="K146" s="353">
        <f>K145*B146</f>
        <v>1921.7171789728004</v>
      </c>
    </row>
    <row r="147" spans="1:11" x14ac:dyDescent="0.35">
      <c r="A147" s="135" t="s">
        <v>68</v>
      </c>
      <c r="B147" s="136"/>
      <c r="C147" s="394">
        <v>0</v>
      </c>
      <c r="D147" s="352"/>
      <c r="E147" s="369">
        <f>C147*(1+$E$27)</f>
        <v>0</v>
      </c>
      <c r="F147" s="352"/>
      <c r="G147" s="369">
        <f>E147*(1+G27)</f>
        <v>0</v>
      </c>
      <c r="H147" s="352"/>
      <c r="I147" s="369">
        <f>G147*(1+I27)</f>
        <v>0</v>
      </c>
      <c r="J147" s="352"/>
      <c r="K147" s="368">
        <f>I147*(1+K27)</f>
        <v>0</v>
      </c>
    </row>
    <row r="148" spans="1:11" x14ac:dyDescent="0.35">
      <c r="A148" s="135" t="s">
        <v>69</v>
      </c>
      <c r="B148" s="136"/>
      <c r="C148" s="353">
        <f>SUM(C145:C147)</f>
        <v>6554.18</v>
      </c>
      <c r="D148" s="352"/>
      <c r="E148" s="352">
        <f>SUM(E145:E147)</f>
        <v>6947.4308000000001</v>
      </c>
      <c r="F148" s="352"/>
      <c r="G148" s="352">
        <f>SUM(G145:G147)</f>
        <v>7364.2766480000009</v>
      </c>
      <c r="H148" s="352"/>
      <c r="I148" s="352">
        <f>SUM(I145:I147)</f>
        <v>7806.133246880001</v>
      </c>
      <c r="J148" s="352"/>
      <c r="K148" s="353">
        <f>SUM(K145:K147)</f>
        <v>8274.5012416928021</v>
      </c>
    </row>
    <row r="149" spans="1:11" x14ac:dyDescent="0.35">
      <c r="A149" s="135" t="s">
        <v>70</v>
      </c>
      <c r="B149" s="136"/>
      <c r="C149" s="427">
        <f>C20</f>
        <v>1</v>
      </c>
      <c r="D149" s="428"/>
      <c r="E149" s="428">
        <f>E20</f>
        <v>3</v>
      </c>
      <c r="F149" s="428"/>
      <c r="G149" s="428">
        <f>G20</f>
        <v>3</v>
      </c>
      <c r="H149" s="428"/>
      <c r="I149" s="428">
        <f>I20</f>
        <v>3</v>
      </c>
      <c r="J149" s="428"/>
      <c r="K149" s="630">
        <f>K20</f>
        <v>3</v>
      </c>
    </row>
    <row r="150" spans="1:11" x14ac:dyDescent="0.35">
      <c r="A150" s="135" t="s">
        <v>69</v>
      </c>
      <c r="B150" s="136"/>
      <c r="C150" s="629">
        <f>C148*C149*$B$171</f>
        <v>6554.18</v>
      </c>
      <c r="D150" s="352"/>
      <c r="E150" s="629">
        <f>E148*E149*$B$171</f>
        <v>20842.292399999998</v>
      </c>
      <c r="F150" s="352"/>
      <c r="G150" s="629">
        <f>G148*G149*$B$171</f>
        <v>22092.829944000005</v>
      </c>
      <c r="H150" s="352"/>
      <c r="I150" s="629">
        <f>I148*I149*$B$171</f>
        <v>23418.399740640001</v>
      </c>
      <c r="J150" s="352"/>
      <c r="K150" s="629">
        <f>K148*K149*$B$171</f>
        <v>24823.503725078408</v>
      </c>
    </row>
    <row r="151" spans="1:11" x14ac:dyDescent="0.35">
      <c r="A151" s="145"/>
      <c r="B151" s="146"/>
      <c r="C151" s="634"/>
      <c r="D151" s="369"/>
      <c r="E151" s="369"/>
      <c r="F151" s="369"/>
      <c r="G151" s="369"/>
      <c r="H151" s="369"/>
      <c r="I151" s="369"/>
      <c r="J151" s="369"/>
      <c r="K151" s="368"/>
    </row>
    <row r="152" spans="1:11" ht="18" x14ac:dyDescent="0.35">
      <c r="A152" s="1042" t="s">
        <v>80</v>
      </c>
      <c r="B152" s="833"/>
      <c r="C152" s="833"/>
      <c r="D152" s="833"/>
      <c r="E152" s="833"/>
      <c r="F152" s="833"/>
      <c r="G152" s="833"/>
      <c r="H152" s="833"/>
      <c r="I152" s="833"/>
      <c r="J152" s="833"/>
      <c r="K152" s="834"/>
    </row>
    <row r="153" spans="1:11" x14ac:dyDescent="0.35">
      <c r="A153" s="147"/>
      <c r="B153" s="148"/>
      <c r="C153" s="78"/>
      <c r="D153" s="148"/>
      <c r="E153" s="148"/>
      <c r="F153" s="148"/>
      <c r="G153" s="148"/>
      <c r="H153" s="148"/>
      <c r="I153" s="148"/>
      <c r="J153" s="148"/>
      <c r="K153" s="78"/>
    </row>
    <row r="154" spans="1:11" x14ac:dyDescent="0.35">
      <c r="A154" s="135" t="s">
        <v>401</v>
      </c>
      <c r="B154" s="136"/>
      <c r="C154" s="250">
        <v>7548</v>
      </c>
      <c r="D154" s="352"/>
      <c r="E154" s="352">
        <f>C154*(1+$E$27)</f>
        <v>8000.88</v>
      </c>
      <c r="F154" s="352"/>
      <c r="G154" s="352">
        <f>E154*(1+$E$27)</f>
        <v>8480.9328000000005</v>
      </c>
      <c r="H154" s="352"/>
      <c r="I154" s="352">
        <f>G154*(1+$E$27)</f>
        <v>8989.7887680000003</v>
      </c>
      <c r="J154" s="352"/>
      <c r="K154" s="353">
        <f>I154*(1+$E$27)</f>
        <v>9529.1760940800013</v>
      </c>
    </row>
    <row r="155" spans="1:11" x14ac:dyDescent="0.35">
      <c r="A155" s="135" t="s">
        <v>402</v>
      </c>
      <c r="B155" s="631">
        <f>B146</f>
        <v>0.30249999999999999</v>
      </c>
      <c r="C155" s="332">
        <f>C154*$B$155</f>
        <v>2283.27</v>
      </c>
      <c r="D155" s="352"/>
      <c r="E155" s="352">
        <f>E154*$B$155</f>
        <v>2420.2662</v>
      </c>
      <c r="F155" s="352"/>
      <c r="G155" s="352">
        <f>G154*$B$155</f>
        <v>2565.482172</v>
      </c>
      <c r="H155" s="352"/>
      <c r="I155" s="352">
        <f>I154*$B$155</f>
        <v>2719.4111023199998</v>
      </c>
      <c r="J155" s="352"/>
      <c r="K155" s="353">
        <f>K154*$B$155</f>
        <v>2882.5757684592004</v>
      </c>
    </row>
    <row r="156" spans="1:11" x14ac:dyDescent="0.35">
      <c r="A156" s="135" t="s">
        <v>68</v>
      </c>
      <c r="B156" s="136"/>
      <c r="C156" s="394">
        <v>0</v>
      </c>
      <c r="D156" s="352"/>
      <c r="E156" s="369">
        <f>C156*(1+$E$27)</f>
        <v>0</v>
      </c>
      <c r="F156" s="352"/>
      <c r="G156" s="369">
        <f>E156*(1+G27)</f>
        <v>0</v>
      </c>
      <c r="H156" s="352"/>
      <c r="I156" s="369">
        <f>G156*(1+I27)</f>
        <v>0</v>
      </c>
      <c r="J156" s="352"/>
      <c r="K156" s="368">
        <f>I156*(1+K27)</f>
        <v>0</v>
      </c>
    </row>
    <row r="157" spans="1:11" x14ac:dyDescent="0.35">
      <c r="A157" s="135" t="s">
        <v>69</v>
      </c>
      <c r="B157" s="136"/>
      <c r="C157" s="353">
        <f>SUM(C154:C156)</f>
        <v>9831.27</v>
      </c>
      <c r="D157" s="352"/>
      <c r="E157" s="352">
        <f>SUM(E154:E156)</f>
        <v>10421.146199999999</v>
      </c>
      <c r="F157" s="352"/>
      <c r="G157" s="352">
        <f>SUM(G154:G156)</f>
        <v>11046.414972</v>
      </c>
      <c r="H157" s="352"/>
      <c r="I157" s="352">
        <f>SUM(I154:I156)</f>
        <v>11709.199870320001</v>
      </c>
      <c r="J157" s="352"/>
      <c r="K157" s="353">
        <f>SUM(K154:K156)</f>
        <v>12411.751862539202</v>
      </c>
    </row>
    <row r="158" spans="1:11" x14ac:dyDescent="0.35">
      <c r="A158" s="135" t="s">
        <v>70</v>
      </c>
      <c r="B158" s="136"/>
      <c r="C158" s="427">
        <f>C21</f>
        <v>0</v>
      </c>
      <c r="D158" s="428"/>
      <c r="E158" s="428">
        <f>E21</f>
        <v>1</v>
      </c>
      <c r="F158" s="428"/>
      <c r="G158" s="428">
        <f>G21</f>
        <v>1</v>
      </c>
      <c r="H158" s="428"/>
      <c r="I158" s="428">
        <f>I21</f>
        <v>1</v>
      </c>
      <c r="J158" s="428"/>
      <c r="K158" s="630">
        <f>K21</f>
        <v>1</v>
      </c>
    </row>
    <row r="159" spans="1:11" x14ac:dyDescent="0.35">
      <c r="A159" s="135" t="s">
        <v>69</v>
      </c>
      <c r="B159" s="136"/>
      <c r="C159" s="629">
        <f>C157*C158*$B$171</f>
        <v>0</v>
      </c>
      <c r="D159" s="352"/>
      <c r="E159" s="629">
        <f>E157*E158*$B$171</f>
        <v>10421.146199999999</v>
      </c>
      <c r="F159" s="352"/>
      <c r="G159" s="629">
        <f>G157*G158*$B$171</f>
        <v>11046.414972</v>
      </c>
      <c r="H159" s="352"/>
      <c r="I159" s="629">
        <f>I157*I158*$B$171</f>
        <v>11709.199870320001</v>
      </c>
      <c r="J159" s="352"/>
      <c r="K159" s="629">
        <f>K157*K158*$B$171</f>
        <v>12411.751862539202</v>
      </c>
    </row>
    <row r="160" spans="1:11" x14ac:dyDescent="0.35">
      <c r="A160" s="145"/>
      <c r="B160" s="146"/>
      <c r="C160" s="634"/>
      <c r="D160" s="369"/>
      <c r="E160" s="369"/>
      <c r="F160" s="369"/>
      <c r="G160" s="369"/>
      <c r="H160" s="369"/>
      <c r="I160" s="369"/>
      <c r="J160" s="369"/>
      <c r="K160" s="368"/>
    </row>
    <row r="161" spans="1:11" ht="18" x14ac:dyDescent="0.35">
      <c r="A161" s="1042" t="s">
        <v>403</v>
      </c>
      <c r="B161" s="833"/>
      <c r="C161" s="833"/>
      <c r="D161" s="833"/>
      <c r="E161" s="833"/>
      <c r="F161" s="833"/>
      <c r="G161" s="833"/>
      <c r="H161" s="833"/>
      <c r="I161" s="833"/>
      <c r="J161" s="833"/>
      <c r="K161" s="834"/>
    </row>
    <row r="162" spans="1:11" x14ac:dyDescent="0.35">
      <c r="A162" s="147"/>
      <c r="B162" s="148"/>
      <c r="C162" s="78"/>
      <c r="D162" s="148"/>
      <c r="E162" s="148"/>
      <c r="F162" s="148"/>
      <c r="G162" s="148"/>
      <c r="H162" s="148"/>
      <c r="I162" s="148"/>
      <c r="J162" s="148"/>
      <c r="K162" s="78"/>
    </row>
    <row r="163" spans="1:11" x14ac:dyDescent="0.35">
      <c r="A163" s="135" t="s">
        <v>401</v>
      </c>
      <c r="B163" s="136"/>
      <c r="C163" s="250">
        <v>7548</v>
      </c>
      <c r="D163" s="352"/>
      <c r="E163" s="352">
        <f>C163*(1+$E$27)</f>
        <v>8000.88</v>
      </c>
      <c r="F163" s="352"/>
      <c r="G163" s="352">
        <f>E163*(1+$E$27)</f>
        <v>8480.9328000000005</v>
      </c>
      <c r="H163" s="352"/>
      <c r="I163" s="352">
        <f>G163*(1+$E$27)</f>
        <v>8989.7887680000003</v>
      </c>
      <c r="J163" s="352"/>
      <c r="K163" s="353">
        <f>I163*(1+$E$27)</f>
        <v>9529.1760940800013</v>
      </c>
    </row>
    <row r="164" spans="1:11" x14ac:dyDescent="0.35">
      <c r="A164" s="135" t="s">
        <v>402</v>
      </c>
      <c r="B164" s="631">
        <f>B31</f>
        <v>0.30249999999999999</v>
      </c>
      <c r="C164" s="332">
        <f>C163*$B$164</f>
        <v>2283.27</v>
      </c>
      <c r="D164" s="636"/>
      <c r="E164" s="357">
        <f>E163*$B$164</f>
        <v>2420.2662</v>
      </c>
      <c r="F164" s="352"/>
      <c r="G164" s="357">
        <f>G163*$B$164</f>
        <v>2565.482172</v>
      </c>
      <c r="H164" s="352"/>
      <c r="I164" s="357">
        <f>I163*$B$164</f>
        <v>2719.4111023199998</v>
      </c>
      <c r="J164" s="352"/>
      <c r="K164" s="332">
        <f>K163*$B$164</f>
        <v>2882.5757684592004</v>
      </c>
    </row>
    <row r="165" spans="1:11" x14ac:dyDescent="0.35">
      <c r="A165" s="135" t="s">
        <v>68</v>
      </c>
      <c r="B165" s="136"/>
      <c r="C165" s="394">
        <v>0</v>
      </c>
      <c r="D165" s="352"/>
      <c r="E165" s="369">
        <f>C165*(1+$E$27)</f>
        <v>0</v>
      </c>
      <c r="F165" s="352"/>
      <c r="G165" s="369">
        <f>E165*(1+G27)</f>
        <v>0</v>
      </c>
      <c r="H165" s="352"/>
      <c r="I165" s="369">
        <f>G165*(1+I27)</f>
        <v>0</v>
      </c>
      <c r="J165" s="352"/>
      <c r="K165" s="368">
        <f>I165*(1+K27)</f>
        <v>0</v>
      </c>
    </row>
    <row r="166" spans="1:11" x14ac:dyDescent="0.35">
      <c r="A166" s="135" t="s">
        <v>69</v>
      </c>
      <c r="B166" s="136"/>
      <c r="C166" s="353">
        <f>SUM(C163:C165)</f>
        <v>9831.27</v>
      </c>
      <c r="D166" s="352"/>
      <c r="E166" s="352">
        <f>SUM(E163:E165)</f>
        <v>10421.146199999999</v>
      </c>
      <c r="F166" s="352"/>
      <c r="G166" s="352">
        <f>SUM(G163:G165)</f>
        <v>11046.414972</v>
      </c>
      <c r="H166" s="352"/>
      <c r="I166" s="352">
        <f>SUM(I163:I165)</f>
        <v>11709.199870320001</v>
      </c>
      <c r="J166" s="352"/>
      <c r="K166" s="353">
        <f>SUM(K163:K165)</f>
        <v>12411.751862539202</v>
      </c>
    </row>
    <row r="167" spans="1:11" x14ac:dyDescent="0.35">
      <c r="A167" s="135" t="s">
        <v>70</v>
      </c>
      <c r="B167" s="136"/>
      <c r="C167" s="427">
        <f>C22</f>
        <v>1</v>
      </c>
      <c r="D167" s="428"/>
      <c r="E167" s="428">
        <f>E22</f>
        <v>1</v>
      </c>
      <c r="F167" s="428"/>
      <c r="G167" s="428">
        <f>G22</f>
        <v>1</v>
      </c>
      <c r="H167" s="428"/>
      <c r="I167" s="428">
        <f>I22</f>
        <v>1</v>
      </c>
      <c r="J167" s="428"/>
      <c r="K167" s="427">
        <f>K22</f>
        <v>1</v>
      </c>
    </row>
    <row r="168" spans="1:11" x14ac:dyDescent="0.35">
      <c r="A168" s="135" t="s">
        <v>69</v>
      </c>
      <c r="B168" s="136"/>
      <c r="C168" s="629">
        <f>C166*C167*$B$171</f>
        <v>9831.27</v>
      </c>
      <c r="D168" s="352"/>
      <c r="E168" s="629">
        <f>E166*E167*$B$171</f>
        <v>10421.146199999999</v>
      </c>
      <c r="F168" s="352"/>
      <c r="G168" s="629">
        <f>G166*G167*$B$171</f>
        <v>11046.414972</v>
      </c>
      <c r="H168" s="352"/>
      <c r="I168" s="629">
        <f>I166*I167*$B$171</f>
        <v>11709.199870320001</v>
      </c>
      <c r="J168" s="352"/>
      <c r="K168" s="629">
        <f>K166*K167*$B$171</f>
        <v>12411.751862539202</v>
      </c>
    </row>
    <row r="169" spans="1:11" x14ac:dyDescent="0.35">
      <c r="A169" s="145"/>
      <c r="B169" s="146"/>
      <c r="C169" s="185"/>
      <c r="D169" s="146"/>
      <c r="E169" s="146"/>
      <c r="F169" s="146"/>
      <c r="G169" s="146"/>
      <c r="H169" s="146"/>
      <c r="I169" s="146"/>
      <c r="J169" s="146"/>
      <c r="K169" s="85"/>
    </row>
    <row r="170" spans="1:11" x14ac:dyDescent="0.35"/>
    <row r="171" spans="1:11" x14ac:dyDescent="0.35">
      <c r="A171" s="886" t="s">
        <v>726</v>
      </c>
      <c r="B171" s="1529">
        <f>'9.0 Scenario''s'!D15</f>
        <v>1</v>
      </c>
      <c r="C171" s="841"/>
      <c r="D171" s="840"/>
      <c r="E171" s="840"/>
      <c r="F171" s="840"/>
      <c r="G171" s="840"/>
      <c r="H171" s="840"/>
      <c r="I171" s="840"/>
      <c r="J171" s="840"/>
      <c r="K171" s="841"/>
    </row>
    <row r="172" spans="1:11" ht="18" x14ac:dyDescent="0.35">
      <c r="A172" s="1530" t="s">
        <v>81</v>
      </c>
      <c r="B172" s="839"/>
      <c r="C172" s="1145">
        <f>(C35+C44+C53+C62+C71+C82+C91+C105+C114+C123+C132+C141+C150+C159+C168)</f>
        <v>119342.86500000001</v>
      </c>
      <c r="D172" s="845"/>
      <c r="E172" s="1146">
        <f>(E35+E44+E53+E62+E71+E82+E91+E105+E114+E123+E132+E141+E150+E159+E168)</f>
        <v>193190.78564999998</v>
      </c>
      <c r="F172" s="845"/>
      <c r="G172" s="1146">
        <f>(G35+G44+G53+G62+G71+G82+G91+G105+G114+G123+G132+G141+G150+G159+G168)</f>
        <v>228450.95644100002</v>
      </c>
      <c r="H172" s="845"/>
      <c r="I172" s="1146">
        <f>(I35+I44+I53+I62+I71+I82+I91+I105+I114+I123+I132+I141+I150+I159+I168)</f>
        <v>264145.13599746011</v>
      </c>
      <c r="J172" s="845"/>
      <c r="K172" s="1145">
        <f>(K35+K44+K53+K62+K71+K82+K91+K105+K114+K123+K132+K141+K150+K159+K168)</f>
        <v>300369.06545111648</v>
      </c>
    </row>
    <row r="173" spans="1:11" x14ac:dyDescent="0.35">
      <c r="A173" s="849"/>
      <c r="B173" s="850"/>
      <c r="C173" s="851"/>
      <c r="D173" s="850"/>
      <c r="E173" s="850"/>
      <c r="F173" s="850"/>
      <c r="G173" s="850"/>
      <c r="H173" s="850"/>
      <c r="I173" s="850"/>
      <c r="J173" s="850"/>
      <c r="K173" s="851"/>
    </row>
    <row r="174" spans="1:11" hidden="1" x14ac:dyDescent="0.35">
      <c r="K174" s="136"/>
    </row>
  </sheetData>
  <sheetProtection password="813F" sheet="1" objects="1" scenarios="1" selectLockedCells="1"/>
  <customSheetViews>
    <customSheetView guid="{51165254-F18A-4CD1-9981-8F2DE14CC76C}" showPageBreaks="1" showGridLines="0" printArea="1" hiddenRows="1" hiddenColumns="1" view="pageBreakPreview" showRuler="0">
      <selection activeCell="C30" sqref="C30"/>
      <rowBreaks count="1" manualBreakCount="1">
        <brk id="92" max="10" man="1"/>
      </rowBreaks>
      <pageMargins left="0.78740157480314965" right="0.78740157480314965" top="0.98425196850393704" bottom="0.98425196850393704" header="0.51181102362204722" footer="0.51181102362204722"/>
      <printOptions horizontalCentered="1" verticalCentered="1"/>
      <pageSetup paperSize="9" scale="49" fitToHeight="2"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49" fitToHeight="2" orientation="portrait" r:id="rId2"/>
  <headerFooter alignWithMargins="0">
    <oddHeader>&amp;L&amp;F</oddHeader>
    <oddFooter xml:space="preserve">&amp;LDAF Dealer Business Plan - Version January 2011&amp;CPrint date: &amp;D&amp;R&amp;P/&amp;N | DAF Trucks NV    </oddFooter>
  </headerFooter>
  <rowBreaks count="1" manualBreakCount="1">
    <brk id="92" max="10" man="1"/>
  </rowBreaks>
  <drawing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2">
    <tabColor indexed="22"/>
    <pageSetUpPr fitToPage="1"/>
  </sheetPr>
  <dimension ref="A1:L86"/>
  <sheetViews>
    <sheetView showGridLines="0" zoomScale="120" zoomScaleNormal="120" workbookViewId="0">
      <pane ySplit="5" topLeftCell="A6" activePane="bottomLeft" state="frozen"/>
      <selection activeCell="C21" sqref="C21"/>
      <selection pane="bottomLeft" activeCell="K18" sqref="K18"/>
    </sheetView>
  </sheetViews>
  <sheetFormatPr baseColWidth="10" defaultColWidth="0" defaultRowHeight="14.4" zeroHeight="1" x14ac:dyDescent="0.35"/>
  <cols>
    <col min="1" max="1" width="20.44140625" style="441" customWidth="1"/>
    <col min="2" max="2" width="14.44140625" style="441" customWidth="1"/>
    <col min="3" max="3" width="15.77734375" style="441" customWidth="1"/>
    <col min="4" max="4" width="11.6640625" style="441" customWidth="1"/>
    <col min="5" max="5" width="14.33203125" style="441" customWidth="1"/>
    <col min="6" max="6" width="10.33203125" style="441" customWidth="1"/>
    <col min="7" max="7" width="14.44140625" style="441" customWidth="1"/>
    <col min="8" max="8" width="11.109375" style="441" customWidth="1"/>
    <col min="9" max="9" width="14.44140625" style="441" customWidth="1"/>
    <col min="10" max="10" width="13.44140625" style="441" customWidth="1"/>
    <col min="11" max="11" width="12" style="441" customWidth="1"/>
    <col min="12" max="12" width="1.44140625" style="45" customWidth="1"/>
    <col min="13" max="16384" width="9.109375" style="45" hidden="1"/>
  </cols>
  <sheetData>
    <row r="1" spans="1:11" ht="28.8" x14ac:dyDescent="0.55000000000000004">
      <c r="A1" s="1108" t="s">
        <v>1173</v>
      </c>
      <c r="B1" s="1109"/>
      <c r="C1" s="1109"/>
      <c r="D1" s="1109"/>
      <c r="E1" s="1109"/>
      <c r="F1" s="1109"/>
      <c r="G1" s="1109"/>
      <c r="H1" s="1109"/>
      <c r="I1" s="1109"/>
      <c r="J1" s="1109"/>
      <c r="K1" s="1110" t="s">
        <v>781</v>
      </c>
    </row>
    <row r="2" spans="1:11" x14ac:dyDescent="0.35">
      <c r="A2" s="442"/>
      <c r="B2" s="443"/>
      <c r="C2" s="443"/>
      <c r="D2" s="443"/>
      <c r="E2" s="444"/>
      <c r="F2" s="443"/>
      <c r="G2" s="443"/>
      <c r="H2" s="443"/>
      <c r="I2" s="443"/>
      <c r="J2" s="443"/>
      <c r="K2" s="445"/>
    </row>
    <row r="3" spans="1:11" ht="16.2" x14ac:dyDescent="0.35">
      <c r="A3" s="447" t="s">
        <v>1035</v>
      </c>
      <c r="B3" s="448" t="str">
        <f>'Reference sheet'!C12</f>
        <v>TRUCK INTERNATIONAL MOBILITY SA</v>
      </c>
      <c r="C3" s="449"/>
      <c r="E3" s="450" t="s">
        <v>1036</v>
      </c>
      <c r="F3" s="451">
        <f>'Reference sheet'!C15</f>
        <v>2</v>
      </c>
      <c r="G3" s="452" t="s">
        <v>1037</v>
      </c>
      <c r="H3" s="453" t="str">
        <f>'Reference sheet'!C17</f>
        <v>October</v>
      </c>
      <c r="I3" s="1033">
        <f>'Reference sheet'!D17</f>
        <v>2018</v>
      </c>
      <c r="J3" s="454" t="s">
        <v>1175</v>
      </c>
      <c r="K3" s="455" t="str">
        <f>'7.1 Dealer area'!K3</f>
        <v>EUR</v>
      </c>
    </row>
    <row r="4" spans="1:11" x14ac:dyDescent="0.35">
      <c r="A4" s="442"/>
      <c r="B4" s="456"/>
      <c r="C4" s="443"/>
      <c r="D4" s="443"/>
      <c r="E4" s="443"/>
      <c r="F4" s="443"/>
      <c r="G4" s="457"/>
      <c r="H4" s="443"/>
      <c r="I4" s="443"/>
      <c r="J4" s="443"/>
      <c r="K4" s="458"/>
    </row>
    <row r="5" spans="1:11" x14ac:dyDescent="0.35">
      <c r="A5" s="473"/>
      <c r="B5" s="478"/>
      <c r="C5" s="1111">
        <f>'7.1 Dealer area'!C5</f>
        <v>2019</v>
      </c>
      <c r="D5" s="479"/>
      <c r="E5" s="1112">
        <f>+'7.1 Dealer area'!E5</f>
        <v>2020</v>
      </c>
      <c r="F5" s="1113"/>
      <c r="G5" s="1112">
        <f>+'7.1 Dealer area'!G5</f>
        <v>2021</v>
      </c>
      <c r="H5" s="1114"/>
      <c r="I5" s="1112">
        <f>+'7.1 Dealer area'!I5</f>
        <v>2022</v>
      </c>
      <c r="J5" s="1114"/>
      <c r="K5" s="1112">
        <f>+'7.1 Dealer area'!K5</f>
        <v>2023</v>
      </c>
    </row>
    <row r="6" spans="1:11" ht="18" x14ac:dyDescent="0.35">
      <c r="A6" s="1058" t="s">
        <v>778</v>
      </c>
      <c r="B6" s="1060"/>
      <c r="C6" s="1060"/>
      <c r="D6" s="1060"/>
      <c r="E6" s="1060"/>
      <c r="F6" s="1060"/>
      <c r="G6" s="1060"/>
      <c r="H6" s="1060"/>
      <c r="I6" s="1060"/>
      <c r="J6" s="1060"/>
      <c r="K6" s="1061"/>
    </row>
    <row r="7" spans="1:11" ht="18" x14ac:dyDescent="0.35">
      <c r="A7" s="1115"/>
      <c r="B7" s="517"/>
      <c r="C7" s="1116" t="s">
        <v>82</v>
      </c>
      <c r="D7" s="517"/>
      <c r="E7" s="637">
        <v>0.1</v>
      </c>
      <c r="F7" s="517"/>
      <c r="G7" s="637">
        <v>0.1</v>
      </c>
      <c r="H7" s="517"/>
      <c r="I7" s="637">
        <v>0.1</v>
      </c>
      <c r="J7" s="517"/>
      <c r="K7" s="466">
        <v>0.1</v>
      </c>
    </row>
    <row r="8" spans="1:11" x14ac:dyDescent="0.35">
      <c r="A8" s="442"/>
      <c r="C8" s="467"/>
      <c r="K8" s="467"/>
    </row>
    <row r="9" spans="1:11" x14ac:dyDescent="0.35">
      <c r="A9" s="442" t="s">
        <v>87</v>
      </c>
      <c r="B9" s="443"/>
      <c r="C9" s="250">
        <v>60000</v>
      </c>
      <c r="D9" s="469"/>
      <c r="E9" s="234">
        <v>80000</v>
      </c>
      <c r="F9" s="488"/>
      <c r="G9" s="234">
        <v>119000</v>
      </c>
      <c r="H9" s="488"/>
      <c r="I9" s="234">
        <v>147000</v>
      </c>
      <c r="J9" s="488"/>
      <c r="K9" s="250">
        <v>177000</v>
      </c>
    </row>
    <row r="10" spans="1:11" x14ac:dyDescent="0.35">
      <c r="A10" s="473"/>
      <c r="B10" s="478"/>
      <c r="C10" s="1119"/>
      <c r="D10" s="479"/>
      <c r="E10" s="1114"/>
      <c r="F10" s="1113"/>
      <c r="G10" s="1114"/>
      <c r="H10" s="1114"/>
      <c r="I10" s="1114"/>
      <c r="J10" s="1114"/>
      <c r="K10" s="1120"/>
    </row>
    <row r="11" spans="1:11" ht="18" x14ac:dyDescent="0.35">
      <c r="A11" s="1058" t="s">
        <v>777</v>
      </c>
      <c r="B11" s="1060"/>
      <c r="C11" s="1060"/>
      <c r="D11" s="1060"/>
      <c r="E11" s="1060"/>
      <c r="F11" s="1060"/>
      <c r="G11" s="1060"/>
      <c r="H11" s="1060"/>
      <c r="I11" s="1060"/>
      <c r="J11" s="1060"/>
      <c r="K11" s="1061"/>
    </row>
    <row r="12" spans="1:11" x14ac:dyDescent="0.35">
      <c r="A12" s="442"/>
      <c r="B12" s="443"/>
      <c r="C12" s="483"/>
      <c r="D12" s="469"/>
      <c r="E12" s="469"/>
      <c r="F12" s="469"/>
      <c r="G12" s="469"/>
      <c r="H12" s="469"/>
      <c r="I12" s="469"/>
      <c r="J12" s="469"/>
      <c r="K12" s="1121"/>
    </row>
    <row r="13" spans="1:11" x14ac:dyDescent="0.35">
      <c r="A13" s="442" t="s">
        <v>83</v>
      </c>
      <c r="B13" s="443"/>
      <c r="C13" s="250">
        <v>750</v>
      </c>
      <c r="D13" s="469"/>
      <c r="E13" s="234">
        <v>2581</v>
      </c>
      <c r="F13" s="488"/>
      <c r="G13" s="234">
        <v>2903</v>
      </c>
      <c r="H13" s="488"/>
      <c r="I13" s="234">
        <v>3226</v>
      </c>
      <c r="J13" s="488"/>
      <c r="K13" s="250">
        <v>3548</v>
      </c>
    </row>
    <row r="14" spans="1:11" x14ac:dyDescent="0.35">
      <c r="A14" s="442" t="s">
        <v>84</v>
      </c>
      <c r="B14" s="443"/>
      <c r="C14" s="250">
        <v>1900</v>
      </c>
      <c r="D14" s="469"/>
      <c r="E14" s="234">
        <v>6452</v>
      </c>
      <c r="F14" s="488"/>
      <c r="G14" s="234">
        <v>7097</v>
      </c>
      <c r="H14" s="488"/>
      <c r="I14" s="234">
        <v>7742</v>
      </c>
      <c r="J14" s="488"/>
      <c r="K14" s="250">
        <v>8387</v>
      </c>
    </row>
    <row r="15" spans="1:11" x14ac:dyDescent="0.35">
      <c r="A15" s="442" t="s">
        <v>85</v>
      </c>
      <c r="B15" s="443"/>
      <c r="C15" s="250">
        <v>1600</v>
      </c>
      <c r="D15" s="469"/>
      <c r="E15" s="234">
        <v>5000</v>
      </c>
      <c r="F15" s="488"/>
      <c r="G15" s="234">
        <v>5000</v>
      </c>
      <c r="H15" s="488"/>
      <c r="I15" s="234">
        <v>5000</v>
      </c>
      <c r="J15" s="488"/>
      <c r="K15" s="250">
        <v>5000</v>
      </c>
    </row>
    <row r="16" spans="1:11" x14ac:dyDescent="0.35">
      <c r="A16" s="442" t="s">
        <v>86</v>
      </c>
      <c r="B16" s="443"/>
      <c r="C16" s="250">
        <v>2000</v>
      </c>
      <c r="D16" s="469"/>
      <c r="E16" s="234">
        <v>6000</v>
      </c>
      <c r="F16" s="488"/>
      <c r="G16" s="234">
        <v>6000</v>
      </c>
      <c r="H16" s="488"/>
      <c r="I16" s="234">
        <v>6000</v>
      </c>
      <c r="J16" s="488"/>
      <c r="K16" s="250">
        <v>6000</v>
      </c>
    </row>
    <row r="17" spans="1:11" x14ac:dyDescent="0.35">
      <c r="A17" s="442" t="s">
        <v>88</v>
      </c>
      <c r="B17" s="443"/>
      <c r="C17" s="250">
        <v>7000</v>
      </c>
      <c r="D17" s="469"/>
      <c r="E17" s="234">
        <v>21000</v>
      </c>
      <c r="F17" s="488"/>
      <c r="G17" s="234">
        <v>22000</v>
      </c>
      <c r="H17" s="488"/>
      <c r="I17" s="234">
        <v>23000</v>
      </c>
      <c r="J17" s="488"/>
      <c r="K17" s="250">
        <v>24000</v>
      </c>
    </row>
    <row r="18" spans="1:11" x14ac:dyDescent="0.35">
      <c r="A18" s="442" t="s">
        <v>388</v>
      </c>
      <c r="B18" s="443"/>
      <c r="C18" s="250">
        <v>50000</v>
      </c>
      <c r="D18" s="469"/>
      <c r="E18" s="234">
        <v>100000</v>
      </c>
      <c r="F18" s="488"/>
      <c r="G18" s="234">
        <v>125000</v>
      </c>
      <c r="H18" s="488"/>
      <c r="I18" s="234">
        <v>154000</v>
      </c>
      <c r="J18" s="488"/>
      <c r="K18" s="250">
        <v>184000</v>
      </c>
    </row>
    <row r="19" spans="1:11" x14ac:dyDescent="0.35">
      <c r="A19" s="442" t="s">
        <v>89</v>
      </c>
      <c r="B19" s="443"/>
      <c r="C19" s="250">
        <v>18000</v>
      </c>
      <c r="D19" s="469"/>
      <c r="E19" s="234">
        <v>25000</v>
      </c>
      <c r="F19" s="488"/>
      <c r="G19" s="234">
        <v>25000</v>
      </c>
      <c r="H19" s="488"/>
      <c r="I19" s="234">
        <v>25000</v>
      </c>
      <c r="J19" s="488"/>
      <c r="K19" s="250">
        <v>25000</v>
      </c>
    </row>
    <row r="20" spans="1:11" x14ac:dyDescent="0.35">
      <c r="A20" s="442" t="s">
        <v>387</v>
      </c>
      <c r="B20" s="443"/>
      <c r="C20" s="250">
        <v>3000</v>
      </c>
      <c r="D20" s="469"/>
      <c r="E20" s="234">
        <v>4839</v>
      </c>
      <c r="F20" s="488"/>
      <c r="G20" s="234">
        <v>6452</v>
      </c>
      <c r="H20" s="488"/>
      <c r="I20" s="234">
        <v>8065</v>
      </c>
      <c r="J20" s="488"/>
      <c r="K20" s="250">
        <v>9677</v>
      </c>
    </row>
    <row r="21" spans="1:11" x14ac:dyDescent="0.35">
      <c r="A21" s="442" t="s">
        <v>91</v>
      </c>
      <c r="B21" s="443"/>
      <c r="C21" s="250">
        <v>400</v>
      </c>
      <c r="D21" s="469"/>
      <c r="E21" s="234">
        <v>1935</v>
      </c>
      <c r="F21" s="488"/>
      <c r="G21" s="234">
        <v>2581</v>
      </c>
      <c r="H21" s="488"/>
      <c r="I21" s="234">
        <v>3226</v>
      </c>
      <c r="J21" s="488"/>
      <c r="K21" s="250">
        <v>3871</v>
      </c>
    </row>
    <row r="22" spans="1:11" x14ac:dyDescent="0.35">
      <c r="A22" s="442" t="s">
        <v>92</v>
      </c>
      <c r="B22" s="443"/>
      <c r="C22" s="250">
        <v>5000</v>
      </c>
      <c r="D22" s="469"/>
      <c r="E22" s="234">
        <v>9677</v>
      </c>
      <c r="F22" s="488"/>
      <c r="G22" s="234">
        <v>9677</v>
      </c>
      <c r="H22" s="488"/>
      <c r="I22" s="234">
        <v>9677</v>
      </c>
      <c r="J22" s="488"/>
      <c r="K22" s="250">
        <v>9677</v>
      </c>
    </row>
    <row r="23" spans="1:11" x14ac:dyDescent="0.35">
      <c r="A23" s="442" t="s">
        <v>93</v>
      </c>
      <c r="B23" s="443"/>
      <c r="C23" s="250">
        <v>5000</v>
      </c>
      <c r="D23" s="469"/>
      <c r="E23" s="234">
        <v>15000</v>
      </c>
      <c r="F23" s="488"/>
      <c r="G23" s="234">
        <v>15000</v>
      </c>
      <c r="H23" s="488"/>
      <c r="I23" s="234">
        <v>15000</v>
      </c>
      <c r="J23" s="488"/>
      <c r="K23" s="250">
        <v>15000</v>
      </c>
    </row>
    <row r="24" spans="1:11" x14ac:dyDescent="0.35">
      <c r="A24" s="442" t="s">
        <v>389</v>
      </c>
      <c r="B24" s="443"/>
      <c r="C24" s="250">
        <v>4000</v>
      </c>
      <c r="D24" s="469"/>
      <c r="E24" s="234">
        <v>6452</v>
      </c>
      <c r="F24" s="488"/>
      <c r="G24" s="234">
        <v>9677</v>
      </c>
      <c r="H24" s="488"/>
      <c r="I24" s="234">
        <v>11290</v>
      </c>
      <c r="J24" s="488"/>
      <c r="K24" s="250">
        <v>12903</v>
      </c>
    </row>
    <row r="25" spans="1:11" x14ac:dyDescent="0.35">
      <c r="A25" s="442" t="s">
        <v>95</v>
      </c>
      <c r="B25" s="443"/>
      <c r="C25" s="250">
        <v>0</v>
      </c>
      <c r="D25" s="469"/>
      <c r="E25" s="234">
        <v>1290</v>
      </c>
      <c r="F25" s="488"/>
      <c r="G25" s="234">
        <f t="shared" ref="G25:G30" si="0">+E25*(1+$G$7)</f>
        <v>1419.0000000000002</v>
      </c>
      <c r="H25" s="488"/>
      <c r="I25" s="234">
        <v>1613</v>
      </c>
      <c r="J25" s="488"/>
      <c r="K25" s="250">
        <v>1613</v>
      </c>
    </row>
    <row r="26" spans="1:11" x14ac:dyDescent="0.35">
      <c r="A26" s="442" t="s">
        <v>707</v>
      </c>
      <c r="B26" s="443"/>
      <c r="C26" s="250">
        <v>3000</v>
      </c>
      <c r="D26" s="469"/>
      <c r="E26" s="234">
        <v>10000</v>
      </c>
      <c r="F26" s="488"/>
      <c r="G26" s="234">
        <v>10000</v>
      </c>
      <c r="H26" s="488"/>
      <c r="I26" s="234">
        <v>10000</v>
      </c>
      <c r="J26" s="488"/>
      <c r="K26" s="250">
        <v>10000</v>
      </c>
    </row>
    <row r="27" spans="1:11" x14ac:dyDescent="0.35">
      <c r="A27" s="442" t="s">
        <v>97</v>
      </c>
      <c r="B27" s="443"/>
      <c r="C27" s="250">
        <v>50000</v>
      </c>
      <c r="D27" s="469"/>
      <c r="E27" s="234">
        <v>100000</v>
      </c>
      <c r="F27" s="488"/>
      <c r="G27" s="234">
        <v>100000</v>
      </c>
      <c r="H27" s="488"/>
      <c r="I27" s="234">
        <v>100000</v>
      </c>
      <c r="J27" s="488"/>
      <c r="K27" s="250">
        <v>100000</v>
      </c>
    </row>
    <row r="28" spans="1:11" x14ac:dyDescent="0.35">
      <c r="A28" s="442" t="s">
        <v>98</v>
      </c>
      <c r="B28" s="443"/>
      <c r="C28" s="250">
        <v>1500</v>
      </c>
      <c r="D28" s="469"/>
      <c r="E28" s="234">
        <f t="shared" ref="E28:E30" si="1">+C28*(1+$E$7)</f>
        <v>1650.0000000000002</v>
      </c>
      <c r="F28" s="488"/>
      <c r="G28" s="234">
        <f t="shared" si="0"/>
        <v>1815.0000000000005</v>
      </c>
      <c r="H28" s="488"/>
      <c r="I28" s="234">
        <f t="shared" ref="I28" si="2">+G28*(1+$I$7)</f>
        <v>1996.5000000000007</v>
      </c>
      <c r="J28" s="488"/>
      <c r="K28" s="250">
        <f t="shared" ref="K28:K30" si="3">+I28*(1+$K$7)</f>
        <v>2196.150000000001</v>
      </c>
    </row>
    <row r="29" spans="1:11" x14ac:dyDescent="0.35">
      <c r="A29" s="442" t="s">
        <v>99</v>
      </c>
      <c r="B29" s="443"/>
      <c r="C29" s="250">
        <v>5000</v>
      </c>
      <c r="D29" s="469"/>
      <c r="E29" s="234">
        <v>15000</v>
      </c>
      <c r="F29" s="488"/>
      <c r="G29" s="234">
        <v>20000</v>
      </c>
      <c r="H29" s="488"/>
      <c r="I29" s="234">
        <v>20000</v>
      </c>
      <c r="J29" s="488"/>
      <c r="K29" s="250">
        <v>20000</v>
      </c>
    </row>
    <row r="30" spans="1:11" x14ac:dyDescent="0.35">
      <c r="A30" s="442" t="s">
        <v>96</v>
      </c>
      <c r="B30" s="443"/>
      <c r="C30" s="250">
        <v>3000</v>
      </c>
      <c r="D30" s="469"/>
      <c r="E30" s="234">
        <f t="shared" si="1"/>
        <v>3300.0000000000005</v>
      </c>
      <c r="F30" s="488"/>
      <c r="G30" s="234">
        <f t="shared" si="0"/>
        <v>3630.0000000000009</v>
      </c>
      <c r="H30" s="488"/>
      <c r="I30" s="234">
        <f>+G30*(1+$I$7)</f>
        <v>3993.0000000000014</v>
      </c>
      <c r="J30" s="488"/>
      <c r="K30" s="250">
        <f t="shared" si="3"/>
        <v>4392.300000000002</v>
      </c>
    </row>
    <row r="31" spans="1:11" x14ac:dyDescent="0.35">
      <c r="A31" s="473"/>
      <c r="B31" s="478"/>
      <c r="C31" s="495"/>
      <c r="D31" s="474"/>
      <c r="E31" s="474"/>
      <c r="F31" s="474"/>
      <c r="G31" s="474"/>
      <c r="H31" s="474"/>
      <c r="I31" s="474"/>
      <c r="J31" s="474"/>
      <c r="K31" s="495"/>
    </row>
    <row r="32" spans="1:11" x14ac:dyDescent="0.35">
      <c r="A32" s="1295"/>
      <c r="B32" s="1531"/>
      <c r="C32" s="1532"/>
      <c r="D32" s="1533"/>
      <c r="E32" s="1533"/>
      <c r="F32" s="1533"/>
      <c r="G32" s="1533"/>
      <c r="H32" s="1533"/>
      <c r="I32" s="1533"/>
      <c r="J32" s="1533"/>
      <c r="K32" s="1532"/>
    </row>
    <row r="33" spans="1:11" x14ac:dyDescent="0.35">
      <c r="A33" s="1308" t="s">
        <v>580</v>
      </c>
      <c r="B33" s="1534"/>
      <c r="C33" s="1535">
        <f>SUM(C13:C30)*$B$56</f>
        <v>161150</v>
      </c>
      <c r="D33" s="1536"/>
      <c r="E33" s="1537">
        <f>SUM(E13:E30)*$B$56</f>
        <v>335176</v>
      </c>
      <c r="F33" s="1537"/>
      <c r="G33" s="1537">
        <f>SUM(G13:G30)*$B$56</f>
        <v>373251</v>
      </c>
      <c r="H33" s="1537"/>
      <c r="I33" s="1537">
        <f>SUM(I13:I30)*$B$56</f>
        <v>408828.5</v>
      </c>
      <c r="J33" s="1537"/>
      <c r="K33" s="1535">
        <f>SUM(K13:K30)*$B$56</f>
        <v>445264.45</v>
      </c>
    </row>
    <row r="34" spans="1:11" x14ac:dyDescent="0.35">
      <c r="A34" s="130"/>
      <c r="B34" s="131"/>
      <c r="C34" s="1538"/>
      <c r="D34" s="1539"/>
      <c r="E34" s="1539"/>
      <c r="F34" s="1539"/>
      <c r="G34" s="1539"/>
      <c r="H34" s="1539"/>
      <c r="I34" s="1539"/>
      <c r="J34" s="1539"/>
      <c r="K34" s="1538"/>
    </row>
    <row r="35" spans="1:11" ht="18" hidden="1" x14ac:dyDescent="0.35">
      <c r="A35" s="1125" t="s">
        <v>777</v>
      </c>
      <c r="B35" s="1126"/>
      <c r="C35" s="1126"/>
      <c r="D35" s="1126"/>
      <c r="E35" s="1126"/>
      <c r="F35" s="1126"/>
      <c r="G35" s="1126"/>
      <c r="H35" s="1126"/>
      <c r="I35" s="1126"/>
      <c r="J35" s="1126"/>
      <c r="K35" s="1127"/>
    </row>
    <row r="36" spans="1:11" hidden="1" x14ac:dyDescent="0.35">
      <c r="A36" s="442"/>
      <c r="B36" s="443"/>
      <c r="C36" s="483"/>
      <c r="D36" s="469"/>
      <c r="E36" s="469"/>
      <c r="F36" s="469"/>
      <c r="G36" s="469"/>
      <c r="H36" s="469"/>
      <c r="I36" s="469"/>
      <c r="J36" s="469"/>
      <c r="K36" s="483"/>
    </row>
    <row r="37" spans="1:11" hidden="1" x14ac:dyDescent="0.35">
      <c r="A37" s="442" t="s">
        <v>83</v>
      </c>
      <c r="B37" s="443"/>
      <c r="C37" s="1117">
        <f>C13*$B$56</f>
        <v>750</v>
      </c>
      <c r="D37" s="469"/>
      <c r="E37" s="1118">
        <f>E13*$B$56</f>
        <v>2581</v>
      </c>
      <c r="F37" s="488"/>
      <c r="G37" s="1118">
        <f>G13*$B$56</f>
        <v>2903</v>
      </c>
      <c r="H37" s="488"/>
      <c r="I37" s="1118">
        <f>I13*$B$56</f>
        <v>3226</v>
      </c>
      <c r="J37" s="488"/>
      <c r="K37" s="1117">
        <f>K13*$B$56</f>
        <v>3548</v>
      </c>
    </row>
    <row r="38" spans="1:11" hidden="1" x14ac:dyDescent="0.35">
      <c r="A38" s="442" t="s">
        <v>84</v>
      </c>
      <c r="B38" s="443"/>
      <c r="C38" s="1117">
        <f t="shared" ref="C38:C54" si="4">C14*$B$56</f>
        <v>1900</v>
      </c>
      <c r="D38" s="469"/>
      <c r="E38" s="1118">
        <f t="shared" ref="E38:E54" si="5">E14*$B$56</f>
        <v>6452</v>
      </c>
      <c r="F38" s="488"/>
      <c r="G38" s="1118">
        <f t="shared" ref="G38:G54" si="6">G14*$B$56</f>
        <v>7097</v>
      </c>
      <c r="H38" s="488"/>
      <c r="I38" s="1118">
        <f t="shared" ref="I38:I54" si="7">I14*$B$56</f>
        <v>7742</v>
      </c>
      <c r="J38" s="488"/>
      <c r="K38" s="1117">
        <f t="shared" ref="K38:K54" si="8">K14*$B$56</f>
        <v>8387</v>
      </c>
    </row>
    <row r="39" spans="1:11" hidden="1" x14ac:dyDescent="0.35">
      <c r="A39" s="442" t="s">
        <v>85</v>
      </c>
      <c r="B39" s="443"/>
      <c r="C39" s="1117">
        <f t="shared" si="4"/>
        <v>1600</v>
      </c>
      <c r="D39" s="469"/>
      <c r="E39" s="1118">
        <f t="shared" si="5"/>
        <v>5000</v>
      </c>
      <c r="F39" s="488"/>
      <c r="G39" s="1118">
        <f t="shared" si="6"/>
        <v>5000</v>
      </c>
      <c r="H39" s="488"/>
      <c r="I39" s="1118">
        <f t="shared" si="7"/>
        <v>5000</v>
      </c>
      <c r="J39" s="488"/>
      <c r="K39" s="1117">
        <f t="shared" si="8"/>
        <v>5000</v>
      </c>
    </row>
    <row r="40" spans="1:11" hidden="1" x14ac:dyDescent="0.35">
      <c r="A40" s="442" t="s">
        <v>86</v>
      </c>
      <c r="B40" s="443"/>
      <c r="C40" s="1117">
        <f t="shared" si="4"/>
        <v>2000</v>
      </c>
      <c r="D40" s="469"/>
      <c r="E40" s="1118">
        <f t="shared" si="5"/>
        <v>6000</v>
      </c>
      <c r="F40" s="488"/>
      <c r="G40" s="1118">
        <f t="shared" si="6"/>
        <v>6000</v>
      </c>
      <c r="H40" s="488"/>
      <c r="I40" s="1118">
        <f t="shared" si="7"/>
        <v>6000</v>
      </c>
      <c r="J40" s="488"/>
      <c r="K40" s="1117">
        <f t="shared" si="8"/>
        <v>6000</v>
      </c>
    </row>
    <row r="41" spans="1:11" hidden="1" x14ac:dyDescent="0.35">
      <c r="A41" s="442" t="s">
        <v>88</v>
      </c>
      <c r="B41" s="443"/>
      <c r="C41" s="1117">
        <f t="shared" si="4"/>
        <v>7000</v>
      </c>
      <c r="D41" s="469"/>
      <c r="E41" s="1118">
        <f t="shared" si="5"/>
        <v>21000</v>
      </c>
      <c r="F41" s="488"/>
      <c r="G41" s="1118">
        <f t="shared" si="6"/>
        <v>22000</v>
      </c>
      <c r="H41" s="488"/>
      <c r="I41" s="1118">
        <f t="shared" si="7"/>
        <v>23000</v>
      </c>
      <c r="J41" s="488"/>
      <c r="K41" s="1117">
        <f t="shared" si="8"/>
        <v>24000</v>
      </c>
    </row>
    <row r="42" spans="1:11" hidden="1" x14ac:dyDescent="0.35">
      <c r="A42" s="442" t="s">
        <v>388</v>
      </c>
      <c r="B42" s="443"/>
      <c r="C42" s="1117">
        <f t="shared" si="4"/>
        <v>50000</v>
      </c>
      <c r="D42" s="469"/>
      <c r="E42" s="1118">
        <f t="shared" si="5"/>
        <v>100000</v>
      </c>
      <c r="F42" s="488"/>
      <c r="G42" s="1118">
        <f t="shared" si="6"/>
        <v>125000</v>
      </c>
      <c r="H42" s="488"/>
      <c r="I42" s="1118">
        <f t="shared" si="7"/>
        <v>154000</v>
      </c>
      <c r="J42" s="488"/>
      <c r="K42" s="1117">
        <f t="shared" si="8"/>
        <v>184000</v>
      </c>
    </row>
    <row r="43" spans="1:11" hidden="1" x14ac:dyDescent="0.35">
      <c r="A43" s="442" t="s">
        <v>89</v>
      </c>
      <c r="B43" s="443"/>
      <c r="C43" s="1117">
        <f t="shared" si="4"/>
        <v>18000</v>
      </c>
      <c r="D43" s="469"/>
      <c r="E43" s="1118">
        <f t="shared" si="5"/>
        <v>25000</v>
      </c>
      <c r="F43" s="488"/>
      <c r="G43" s="1118">
        <f t="shared" si="6"/>
        <v>25000</v>
      </c>
      <c r="H43" s="488"/>
      <c r="I43" s="1118">
        <f t="shared" si="7"/>
        <v>25000</v>
      </c>
      <c r="J43" s="488"/>
      <c r="K43" s="1117">
        <f t="shared" si="8"/>
        <v>25000</v>
      </c>
    </row>
    <row r="44" spans="1:11" hidden="1" x14ac:dyDescent="0.35">
      <c r="A44" s="442" t="s">
        <v>387</v>
      </c>
      <c r="B44" s="443"/>
      <c r="C44" s="1117">
        <f t="shared" si="4"/>
        <v>3000</v>
      </c>
      <c r="D44" s="469"/>
      <c r="E44" s="1118">
        <f t="shared" si="5"/>
        <v>4839</v>
      </c>
      <c r="F44" s="488"/>
      <c r="G44" s="1118">
        <f t="shared" si="6"/>
        <v>6452</v>
      </c>
      <c r="H44" s="488"/>
      <c r="I44" s="1118">
        <f t="shared" si="7"/>
        <v>8065</v>
      </c>
      <c r="J44" s="488"/>
      <c r="K44" s="1117">
        <f t="shared" si="8"/>
        <v>9677</v>
      </c>
    </row>
    <row r="45" spans="1:11" hidden="1" x14ac:dyDescent="0.35">
      <c r="A45" s="442" t="s">
        <v>91</v>
      </c>
      <c r="B45" s="443"/>
      <c r="C45" s="1117">
        <f t="shared" si="4"/>
        <v>400</v>
      </c>
      <c r="D45" s="469"/>
      <c r="E45" s="1118">
        <f t="shared" si="5"/>
        <v>1935</v>
      </c>
      <c r="F45" s="488"/>
      <c r="G45" s="1118">
        <f t="shared" si="6"/>
        <v>2581</v>
      </c>
      <c r="H45" s="488"/>
      <c r="I45" s="1118">
        <f t="shared" si="7"/>
        <v>3226</v>
      </c>
      <c r="J45" s="488"/>
      <c r="K45" s="1117">
        <f t="shared" si="8"/>
        <v>3871</v>
      </c>
    </row>
    <row r="46" spans="1:11" hidden="1" x14ac:dyDescent="0.35">
      <c r="A46" s="442" t="s">
        <v>92</v>
      </c>
      <c r="B46" s="443"/>
      <c r="C46" s="1117">
        <f t="shared" si="4"/>
        <v>5000</v>
      </c>
      <c r="D46" s="469"/>
      <c r="E46" s="1118">
        <f t="shared" si="5"/>
        <v>9677</v>
      </c>
      <c r="F46" s="488"/>
      <c r="G46" s="1118">
        <f t="shared" si="6"/>
        <v>9677</v>
      </c>
      <c r="H46" s="488"/>
      <c r="I46" s="1118">
        <f t="shared" si="7"/>
        <v>9677</v>
      </c>
      <c r="J46" s="488"/>
      <c r="K46" s="1117">
        <f t="shared" si="8"/>
        <v>9677</v>
      </c>
    </row>
    <row r="47" spans="1:11" hidden="1" x14ac:dyDescent="0.35">
      <c r="A47" s="442" t="s">
        <v>93</v>
      </c>
      <c r="B47" s="443"/>
      <c r="C47" s="1117">
        <f t="shared" si="4"/>
        <v>5000</v>
      </c>
      <c r="D47" s="469"/>
      <c r="E47" s="1118">
        <f t="shared" si="5"/>
        <v>15000</v>
      </c>
      <c r="F47" s="488"/>
      <c r="G47" s="1118">
        <f t="shared" si="6"/>
        <v>15000</v>
      </c>
      <c r="H47" s="488"/>
      <c r="I47" s="1118">
        <f t="shared" si="7"/>
        <v>15000</v>
      </c>
      <c r="J47" s="488"/>
      <c r="K47" s="1117">
        <f t="shared" si="8"/>
        <v>15000</v>
      </c>
    </row>
    <row r="48" spans="1:11" hidden="1" x14ac:dyDescent="0.35">
      <c r="A48" s="442" t="s">
        <v>389</v>
      </c>
      <c r="B48" s="443"/>
      <c r="C48" s="1117">
        <f t="shared" si="4"/>
        <v>4000</v>
      </c>
      <c r="D48" s="469"/>
      <c r="E48" s="1118">
        <f t="shared" si="5"/>
        <v>6452</v>
      </c>
      <c r="F48" s="488"/>
      <c r="G48" s="1118">
        <f t="shared" si="6"/>
        <v>9677</v>
      </c>
      <c r="H48" s="488"/>
      <c r="I48" s="1118">
        <f t="shared" si="7"/>
        <v>11290</v>
      </c>
      <c r="J48" s="488"/>
      <c r="K48" s="1117">
        <f t="shared" si="8"/>
        <v>12903</v>
      </c>
    </row>
    <row r="49" spans="1:11" hidden="1" x14ac:dyDescent="0.35">
      <c r="A49" s="442" t="s">
        <v>95</v>
      </c>
      <c r="B49" s="443"/>
      <c r="C49" s="1117">
        <f t="shared" si="4"/>
        <v>0</v>
      </c>
      <c r="D49" s="469"/>
      <c r="E49" s="1118">
        <f t="shared" si="5"/>
        <v>1290</v>
      </c>
      <c r="F49" s="488"/>
      <c r="G49" s="1118">
        <f t="shared" si="6"/>
        <v>1419.0000000000002</v>
      </c>
      <c r="H49" s="488"/>
      <c r="I49" s="1118">
        <f t="shared" si="7"/>
        <v>1613</v>
      </c>
      <c r="J49" s="488"/>
      <c r="K49" s="1117">
        <f t="shared" si="8"/>
        <v>1613</v>
      </c>
    </row>
    <row r="50" spans="1:11" hidden="1" x14ac:dyDescent="0.35">
      <c r="A50" s="442" t="s">
        <v>707</v>
      </c>
      <c r="B50" s="443"/>
      <c r="C50" s="1117">
        <f t="shared" si="4"/>
        <v>3000</v>
      </c>
      <c r="D50" s="469"/>
      <c r="E50" s="1118">
        <f t="shared" si="5"/>
        <v>10000</v>
      </c>
      <c r="F50" s="488"/>
      <c r="G50" s="1118">
        <f t="shared" si="6"/>
        <v>10000</v>
      </c>
      <c r="H50" s="488"/>
      <c r="I50" s="1118">
        <f t="shared" si="7"/>
        <v>10000</v>
      </c>
      <c r="J50" s="488"/>
      <c r="K50" s="1117">
        <f t="shared" si="8"/>
        <v>10000</v>
      </c>
    </row>
    <row r="51" spans="1:11" hidden="1" x14ac:dyDescent="0.35">
      <c r="A51" s="442" t="s">
        <v>97</v>
      </c>
      <c r="B51" s="443"/>
      <c r="C51" s="1117">
        <f t="shared" si="4"/>
        <v>50000</v>
      </c>
      <c r="D51" s="469"/>
      <c r="E51" s="1118">
        <f t="shared" si="5"/>
        <v>100000</v>
      </c>
      <c r="F51" s="488"/>
      <c r="G51" s="1118">
        <f t="shared" si="6"/>
        <v>100000</v>
      </c>
      <c r="H51" s="488"/>
      <c r="I51" s="1118">
        <f t="shared" si="7"/>
        <v>100000</v>
      </c>
      <c r="J51" s="488"/>
      <c r="K51" s="1117">
        <f t="shared" si="8"/>
        <v>100000</v>
      </c>
    </row>
    <row r="52" spans="1:11" hidden="1" x14ac:dyDescent="0.35">
      <c r="A52" s="442" t="s">
        <v>98</v>
      </c>
      <c r="B52" s="443"/>
      <c r="C52" s="1117">
        <f t="shared" si="4"/>
        <v>1500</v>
      </c>
      <c r="D52" s="469"/>
      <c r="E52" s="1118">
        <f t="shared" si="5"/>
        <v>1650.0000000000002</v>
      </c>
      <c r="F52" s="488"/>
      <c r="G52" s="1118">
        <f t="shared" si="6"/>
        <v>1815.0000000000005</v>
      </c>
      <c r="H52" s="488"/>
      <c r="I52" s="1118">
        <f t="shared" si="7"/>
        <v>1996.5000000000007</v>
      </c>
      <c r="J52" s="488"/>
      <c r="K52" s="1117">
        <f t="shared" si="8"/>
        <v>2196.150000000001</v>
      </c>
    </row>
    <row r="53" spans="1:11" hidden="1" x14ac:dyDescent="0.35">
      <c r="A53" s="442" t="s">
        <v>99</v>
      </c>
      <c r="B53" s="443"/>
      <c r="C53" s="1117">
        <f t="shared" si="4"/>
        <v>5000</v>
      </c>
      <c r="D53" s="469"/>
      <c r="E53" s="1118">
        <f t="shared" si="5"/>
        <v>15000</v>
      </c>
      <c r="F53" s="488"/>
      <c r="G53" s="1118">
        <f t="shared" si="6"/>
        <v>20000</v>
      </c>
      <c r="H53" s="488"/>
      <c r="I53" s="1118">
        <f t="shared" si="7"/>
        <v>20000</v>
      </c>
      <c r="J53" s="488"/>
      <c r="K53" s="1117">
        <f t="shared" si="8"/>
        <v>20000</v>
      </c>
    </row>
    <row r="54" spans="1:11" hidden="1" x14ac:dyDescent="0.35">
      <c r="A54" s="442" t="s">
        <v>96</v>
      </c>
      <c r="B54" s="443"/>
      <c r="C54" s="1117">
        <f t="shared" si="4"/>
        <v>3000</v>
      </c>
      <c r="D54" s="469"/>
      <c r="E54" s="1118">
        <f t="shared" si="5"/>
        <v>3300.0000000000005</v>
      </c>
      <c r="F54" s="488"/>
      <c r="G54" s="1118">
        <f t="shared" si="6"/>
        <v>3630.0000000000009</v>
      </c>
      <c r="H54" s="488"/>
      <c r="I54" s="1118">
        <f t="shared" si="7"/>
        <v>3993.0000000000014</v>
      </c>
      <c r="J54" s="488"/>
      <c r="K54" s="1117">
        <f t="shared" si="8"/>
        <v>4392.300000000002</v>
      </c>
    </row>
    <row r="55" spans="1:11" hidden="1" x14ac:dyDescent="0.35">
      <c r="A55" s="473"/>
      <c r="B55" s="478"/>
      <c r="C55" s="495">
        <f>SUM(C37:C54)</f>
        <v>161150</v>
      </c>
      <c r="D55" s="474"/>
      <c r="E55" s="474"/>
      <c r="F55" s="474"/>
      <c r="G55" s="474"/>
      <c r="H55" s="474"/>
      <c r="I55" s="474"/>
      <c r="J55" s="474"/>
      <c r="K55" s="495"/>
    </row>
    <row r="56" spans="1:11" hidden="1" x14ac:dyDescent="0.35">
      <c r="A56" s="519" t="s">
        <v>751</v>
      </c>
      <c r="B56" s="1122">
        <f>'9.0 Scenario''s'!D16</f>
        <v>1</v>
      </c>
      <c r="C56" s="1121"/>
      <c r="D56" s="1123"/>
      <c r="E56" s="1123"/>
      <c r="F56" s="1123"/>
      <c r="G56" s="1123"/>
      <c r="H56" s="1123"/>
      <c r="I56" s="1123"/>
      <c r="J56" s="1123"/>
      <c r="K56" s="1121"/>
    </row>
    <row r="57" spans="1:11" hidden="1" x14ac:dyDescent="0.35">
      <c r="A57" s="490" t="s">
        <v>580</v>
      </c>
      <c r="B57" s="460"/>
      <c r="C57" s="496">
        <f>SUM(C37:C54)*$B$56</f>
        <v>161150</v>
      </c>
      <c r="D57" s="1124"/>
      <c r="E57" s="497">
        <f>SUM(E37:E54)*$B$56</f>
        <v>335176</v>
      </c>
      <c r="F57" s="497"/>
      <c r="G57" s="497">
        <f>SUM(G37:G54)*$B$56</f>
        <v>373251</v>
      </c>
      <c r="H57" s="497"/>
      <c r="I57" s="497">
        <f>SUM(I37:I54)*$B$56</f>
        <v>408828.5</v>
      </c>
      <c r="J57" s="497"/>
      <c r="K57" s="496">
        <f>SUM(K37:K54)*$B$56</f>
        <v>445264.45</v>
      </c>
    </row>
    <row r="58" spans="1:11" hidden="1" x14ac:dyDescent="0.35">
      <c r="A58" s="473"/>
      <c r="B58" s="478"/>
      <c r="C58" s="495"/>
      <c r="D58" s="474"/>
      <c r="E58" s="474"/>
      <c r="F58" s="474"/>
      <c r="G58" s="474"/>
      <c r="H58" s="474"/>
      <c r="I58" s="474"/>
      <c r="J58" s="474"/>
      <c r="K58" s="495"/>
    </row>
    <row r="59" spans="1:11" x14ac:dyDescent="0.35">
      <c r="A59" s="443"/>
      <c r="B59" s="443"/>
      <c r="C59" s="469"/>
      <c r="D59" s="469"/>
      <c r="E59" s="469"/>
      <c r="F59" s="469"/>
      <c r="G59" s="469"/>
      <c r="H59" s="469"/>
      <c r="I59" s="469"/>
      <c r="J59" s="469"/>
      <c r="K59" s="469"/>
    </row>
    <row r="60" spans="1:11" ht="18" x14ac:dyDescent="0.35">
      <c r="A60" s="1058" t="s">
        <v>779</v>
      </c>
      <c r="B60" s="1060"/>
      <c r="C60" s="1060"/>
      <c r="D60" s="1060"/>
      <c r="E60" s="1060"/>
      <c r="F60" s="1060"/>
      <c r="G60" s="1060"/>
      <c r="H60" s="1060"/>
      <c r="I60" s="1060"/>
      <c r="J60" s="1060"/>
      <c r="K60" s="1061"/>
    </row>
    <row r="61" spans="1:11" ht="18" x14ac:dyDescent="0.35">
      <c r="A61" s="1125"/>
      <c r="B61" s="1126"/>
      <c r="C61" s="1126"/>
      <c r="D61" s="1126"/>
      <c r="E61" s="1126"/>
      <c r="F61" s="1126"/>
      <c r="G61" s="1126"/>
      <c r="H61" s="1126"/>
      <c r="I61" s="1126"/>
      <c r="J61" s="1126"/>
      <c r="K61" s="1127"/>
    </row>
    <row r="62" spans="1:11" x14ac:dyDescent="0.35">
      <c r="A62" s="519"/>
      <c r="C62" s="442" t="s">
        <v>101</v>
      </c>
      <c r="D62" s="467"/>
      <c r="E62" s="521" t="s">
        <v>102</v>
      </c>
      <c r="F62" s="521" t="s">
        <v>103</v>
      </c>
      <c r="G62" s="521" t="s">
        <v>104</v>
      </c>
      <c r="H62" s="521" t="s">
        <v>272</v>
      </c>
      <c r="I62" s="521" t="s">
        <v>635</v>
      </c>
      <c r="J62" s="521" t="s">
        <v>105</v>
      </c>
      <c r="K62" s="1128" t="s">
        <v>1056</v>
      </c>
    </row>
    <row r="63" spans="1:11" x14ac:dyDescent="0.35">
      <c r="A63" s="501" t="s">
        <v>957</v>
      </c>
      <c r="B63" s="443"/>
      <c r="C63" s="442"/>
      <c r="D63" s="443"/>
      <c r="E63" s="320">
        <v>1</v>
      </c>
      <c r="F63" s="235">
        <v>0</v>
      </c>
      <c r="G63" s="235">
        <v>0</v>
      </c>
      <c r="H63" s="235">
        <v>0</v>
      </c>
      <c r="I63" s="235">
        <v>0</v>
      </c>
      <c r="J63" s="545">
        <v>0</v>
      </c>
      <c r="K63" s="1129">
        <f>IF(E63+F63+G63+I63+H63+J63&lt;&gt;100%,"error",E63+F63+G63+I63+H63+J63)</f>
        <v>1</v>
      </c>
    </row>
    <row r="64" spans="1:11" x14ac:dyDescent="0.35">
      <c r="A64" s="473"/>
      <c r="C64" s="473"/>
      <c r="E64" s="473"/>
      <c r="F64" s="478"/>
      <c r="G64" s="478"/>
      <c r="H64" s="478"/>
      <c r="I64" s="478"/>
      <c r="J64" s="516"/>
      <c r="K64" s="1130"/>
    </row>
    <row r="65" spans="1:11" ht="18" x14ac:dyDescent="0.35">
      <c r="A65" s="1058" t="s">
        <v>780</v>
      </c>
      <c r="B65" s="1060"/>
      <c r="C65" s="1060"/>
      <c r="D65" s="1060"/>
      <c r="E65" s="1060"/>
      <c r="F65" s="1060"/>
      <c r="G65" s="1060"/>
      <c r="H65" s="1060"/>
      <c r="I65" s="1060"/>
      <c r="J65" s="1060"/>
      <c r="K65" s="1061"/>
    </row>
    <row r="66" spans="1:11" x14ac:dyDescent="0.35">
      <c r="A66" s="1131"/>
      <c r="B66" s="517"/>
      <c r="C66" s="519"/>
      <c r="D66" s="518"/>
      <c r="E66" s="1132"/>
      <c r="F66" s="1132"/>
      <c r="G66" s="1132"/>
      <c r="H66" s="521"/>
      <c r="I66" s="1132"/>
      <c r="J66" s="1133" t="s">
        <v>100</v>
      </c>
      <c r="K66" s="467"/>
    </row>
    <row r="67" spans="1:11" x14ac:dyDescent="0.35">
      <c r="A67" s="490"/>
      <c r="B67" s="443"/>
      <c r="C67" s="442" t="s">
        <v>101</v>
      </c>
      <c r="D67" s="467"/>
      <c r="E67" s="521" t="s">
        <v>102</v>
      </c>
      <c r="F67" s="521" t="s">
        <v>103</v>
      </c>
      <c r="G67" s="521" t="s">
        <v>104</v>
      </c>
      <c r="H67" s="521" t="s">
        <v>272</v>
      </c>
      <c r="I67" s="521" t="s">
        <v>635</v>
      </c>
      <c r="J67" s="521" t="s">
        <v>105</v>
      </c>
      <c r="K67" s="1134" t="s">
        <v>1056</v>
      </c>
    </row>
    <row r="68" spans="1:11" x14ac:dyDescent="0.35">
      <c r="A68" s="442" t="s">
        <v>83</v>
      </c>
      <c r="B68" s="443"/>
      <c r="C68" s="442" t="s">
        <v>106</v>
      </c>
      <c r="D68" s="467"/>
      <c r="E68" s="235">
        <v>0.7</v>
      </c>
      <c r="F68" s="235">
        <v>0</v>
      </c>
      <c r="G68" s="235">
        <v>0</v>
      </c>
      <c r="H68" s="235">
        <v>0.1</v>
      </c>
      <c r="I68" s="235">
        <v>0.1</v>
      </c>
      <c r="J68" s="235">
        <v>0.1</v>
      </c>
      <c r="K68" s="1129">
        <f t="shared" ref="K68:K79" si="9">IF(E68+F68+G68+I68+H68+J68&lt;&gt;100%,"error",E68+F68+G68+I68+H68+J68)</f>
        <v>0.99999999999999989</v>
      </c>
    </row>
    <row r="69" spans="1:11" x14ac:dyDescent="0.35">
      <c r="A69" s="442" t="s">
        <v>84</v>
      </c>
      <c r="B69" s="443"/>
      <c r="C69" s="442" t="s">
        <v>107</v>
      </c>
      <c r="D69" s="467"/>
      <c r="E69" s="235">
        <v>0.7</v>
      </c>
      <c r="F69" s="235">
        <v>0</v>
      </c>
      <c r="G69" s="235">
        <v>0</v>
      </c>
      <c r="H69" s="235">
        <v>0.1</v>
      </c>
      <c r="I69" s="235">
        <v>0.1</v>
      </c>
      <c r="J69" s="235">
        <v>0.1</v>
      </c>
      <c r="K69" s="1129">
        <f t="shared" si="9"/>
        <v>0.99999999999999989</v>
      </c>
    </row>
    <row r="70" spans="1:11" x14ac:dyDescent="0.35">
      <c r="A70" s="442" t="s">
        <v>85</v>
      </c>
      <c r="B70" s="443"/>
      <c r="C70" s="442" t="s">
        <v>108</v>
      </c>
      <c r="D70" s="467"/>
      <c r="E70" s="235">
        <v>0.4</v>
      </c>
      <c r="F70" s="235">
        <v>0</v>
      </c>
      <c r="G70" s="235">
        <v>0</v>
      </c>
      <c r="H70" s="235">
        <v>0.25</v>
      </c>
      <c r="I70" s="235">
        <v>0.25</v>
      </c>
      <c r="J70" s="235">
        <v>0.1</v>
      </c>
      <c r="K70" s="1129">
        <f t="shared" si="9"/>
        <v>1</v>
      </c>
    </row>
    <row r="71" spans="1:11" x14ac:dyDescent="0.35">
      <c r="A71" s="442" t="s">
        <v>86</v>
      </c>
      <c r="B71" s="443"/>
      <c r="C71" s="442" t="s">
        <v>109</v>
      </c>
      <c r="D71" s="467"/>
      <c r="E71" s="235">
        <v>0.2</v>
      </c>
      <c r="F71" s="235">
        <v>0</v>
      </c>
      <c r="G71" s="235">
        <v>0</v>
      </c>
      <c r="H71" s="235">
        <v>0.3</v>
      </c>
      <c r="I71" s="235">
        <v>0.5</v>
      </c>
      <c r="J71" s="235">
        <v>0</v>
      </c>
      <c r="K71" s="1129">
        <f t="shared" si="9"/>
        <v>1</v>
      </c>
    </row>
    <row r="72" spans="1:11" x14ac:dyDescent="0.35">
      <c r="A72" s="442" t="s">
        <v>88</v>
      </c>
      <c r="B72" s="443"/>
      <c r="C72" s="442" t="s">
        <v>110</v>
      </c>
      <c r="D72" s="467"/>
      <c r="E72" s="235">
        <v>0.2</v>
      </c>
      <c r="F72" s="235">
        <v>0</v>
      </c>
      <c r="G72" s="235">
        <v>0</v>
      </c>
      <c r="H72" s="235">
        <v>0.15</v>
      </c>
      <c r="I72" s="235">
        <v>0.6</v>
      </c>
      <c r="J72" s="235">
        <v>0.05</v>
      </c>
      <c r="K72" s="1129">
        <f t="shared" si="9"/>
        <v>1</v>
      </c>
    </row>
    <row r="73" spans="1:11" x14ac:dyDescent="0.35">
      <c r="A73" s="442" t="s">
        <v>388</v>
      </c>
      <c r="B73" s="443"/>
      <c r="C73" s="442" t="s">
        <v>111</v>
      </c>
      <c r="D73" s="467"/>
      <c r="E73" s="235">
        <v>0.8</v>
      </c>
      <c r="F73" s="235">
        <v>0</v>
      </c>
      <c r="G73" s="235">
        <v>0</v>
      </c>
      <c r="H73" s="235">
        <v>0.1</v>
      </c>
      <c r="I73" s="235">
        <v>0.1</v>
      </c>
      <c r="J73" s="235">
        <v>0</v>
      </c>
      <c r="K73" s="1129">
        <f t="shared" si="9"/>
        <v>1</v>
      </c>
    </row>
    <row r="74" spans="1:11" x14ac:dyDescent="0.35">
      <c r="A74" s="442" t="s">
        <v>89</v>
      </c>
      <c r="B74" s="443"/>
      <c r="C74" s="442" t="s">
        <v>112</v>
      </c>
      <c r="D74" s="467"/>
      <c r="E74" s="235">
        <v>0.6</v>
      </c>
      <c r="F74" s="235">
        <v>0</v>
      </c>
      <c r="G74" s="235">
        <v>0</v>
      </c>
      <c r="H74" s="235">
        <v>0.2</v>
      </c>
      <c r="I74" s="235">
        <v>0.2</v>
      </c>
      <c r="J74" s="235">
        <v>0</v>
      </c>
      <c r="K74" s="1129">
        <f t="shared" si="9"/>
        <v>1</v>
      </c>
    </row>
    <row r="75" spans="1:11" x14ac:dyDescent="0.35">
      <c r="A75" s="442" t="s">
        <v>387</v>
      </c>
      <c r="B75" s="443"/>
      <c r="C75" s="442" t="s">
        <v>109</v>
      </c>
      <c r="D75" s="467"/>
      <c r="E75" s="235">
        <v>0.4</v>
      </c>
      <c r="F75" s="235">
        <v>0</v>
      </c>
      <c r="G75" s="235">
        <v>0</v>
      </c>
      <c r="H75" s="235">
        <v>0.2</v>
      </c>
      <c r="I75" s="235">
        <v>0.2</v>
      </c>
      <c r="J75" s="235">
        <v>0.2</v>
      </c>
      <c r="K75" s="1129">
        <f t="shared" si="9"/>
        <v>1</v>
      </c>
    </row>
    <row r="76" spans="1:11" x14ac:dyDescent="0.35">
      <c r="A76" s="442" t="s">
        <v>113</v>
      </c>
      <c r="B76" s="443"/>
      <c r="C76" s="442" t="s">
        <v>109</v>
      </c>
      <c r="D76" s="467"/>
      <c r="E76" s="235">
        <v>0.4</v>
      </c>
      <c r="F76" s="235">
        <v>0</v>
      </c>
      <c r="G76" s="235">
        <v>0</v>
      </c>
      <c r="H76" s="235">
        <v>0.2</v>
      </c>
      <c r="I76" s="235">
        <v>0.2</v>
      </c>
      <c r="J76" s="235">
        <v>0.2</v>
      </c>
      <c r="K76" s="1129">
        <f t="shared" si="9"/>
        <v>1</v>
      </c>
    </row>
    <row r="77" spans="1:11" x14ac:dyDescent="0.35">
      <c r="A77" s="442" t="s">
        <v>92</v>
      </c>
      <c r="B77" s="443"/>
      <c r="C77" s="442" t="s">
        <v>114</v>
      </c>
      <c r="D77" s="467"/>
      <c r="E77" s="235">
        <v>0.5</v>
      </c>
      <c r="F77" s="235">
        <v>0</v>
      </c>
      <c r="G77" s="235">
        <v>0</v>
      </c>
      <c r="H77" s="235">
        <v>0.2</v>
      </c>
      <c r="I77" s="235">
        <v>0.1</v>
      </c>
      <c r="J77" s="235">
        <v>0.2</v>
      </c>
      <c r="K77" s="1129">
        <f t="shared" si="9"/>
        <v>1</v>
      </c>
    </row>
    <row r="78" spans="1:11" x14ac:dyDescent="0.35">
      <c r="A78" s="442" t="s">
        <v>93</v>
      </c>
      <c r="B78" s="443"/>
      <c r="C78" s="442" t="s">
        <v>109</v>
      </c>
      <c r="D78" s="467"/>
      <c r="E78" s="235">
        <v>0.4</v>
      </c>
      <c r="F78" s="235">
        <v>0</v>
      </c>
      <c r="G78" s="235">
        <v>0</v>
      </c>
      <c r="H78" s="235">
        <v>0.1</v>
      </c>
      <c r="I78" s="235">
        <v>0.5</v>
      </c>
      <c r="J78" s="235">
        <v>0</v>
      </c>
      <c r="K78" s="1129">
        <f t="shared" si="9"/>
        <v>1</v>
      </c>
    </row>
    <row r="79" spans="1:11" x14ac:dyDescent="0.35">
      <c r="A79" s="442" t="s">
        <v>389</v>
      </c>
      <c r="B79" s="443"/>
      <c r="C79" s="442" t="s">
        <v>110</v>
      </c>
      <c r="D79" s="467"/>
      <c r="E79" s="235">
        <v>0.3</v>
      </c>
      <c r="F79" s="235">
        <v>0</v>
      </c>
      <c r="G79" s="235">
        <v>0</v>
      </c>
      <c r="H79" s="235">
        <v>0.2</v>
      </c>
      <c r="I79" s="235">
        <v>0.4</v>
      </c>
      <c r="J79" s="235">
        <v>0.1</v>
      </c>
      <c r="K79" s="1129">
        <f t="shared" si="9"/>
        <v>0.99999999999999989</v>
      </c>
    </row>
    <row r="80" spans="1:11" x14ac:dyDescent="0.35">
      <c r="A80" s="442" t="s">
        <v>115</v>
      </c>
      <c r="B80" s="443"/>
      <c r="C80" s="442"/>
      <c r="D80" s="467"/>
      <c r="E80" s="1135">
        <v>1</v>
      </c>
      <c r="F80" s="1135"/>
      <c r="G80" s="1135"/>
      <c r="H80" s="1135"/>
      <c r="I80" s="1135"/>
      <c r="J80" s="1136"/>
      <c r="K80" s="1137">
        <f>E80+F80+G80+I80+H80+J80</f>
        <v>1</v>
      </c>
    </row>
    <row r="81" spans="1:11" x14ac:dyDescent="0.35">
      <c r="A81" s="442" t="s">
        <v>707</v>
      </c>
      <c r="B81" s="443"/>
      <c r="C81" s="442"/>
      <c r="D81" s="467"/>
      <c r="E81" s="235">
        <v>0.3</v>
      </c>
      <c r="F81" s="235">
        <v>0</v>
      </c>
      <c r="G81" s="235">
        <v>0</v>
      </c>
      <c r="H81" s="235">
        <v>0.2</v>
      </c>
      <c r="I81" s="235">
        <v>0.2</v>
      </c>
      <c r="J81" s="235">
        <v>0.3</v>
      </c>
      <c r="K81" s="1129">
        <f>IF(E81+F81+G81+I81+H81+J81&lt;&gt;100%,"error",E81+F81+G81+I81+H81+J81)</f>
        <v>1</v>
      </c>
    </row>
    <row r="82" spans="1:11" x14ac:dyDescent="0.35">
      <c r="A82" s="442" t="s">
        <v>97</v>
      </c>
      <c r="B82" s="443"/>
      <c r="C82" s="442" t="s">
        <v>110</v>
      </c>
      <c r="D82" s="467"/>
      <c r="E82" s="235">
        <v>0.3</v>
      </c>
      <c r="F82" s="235">
        <v>0</v>
      </c>
      <c r="G82" s="235">
        <v>0</v>
      </c>
      <c r="H82" s="235">
        <v>0.2</v>
      </c>
      <c r="I82" s="235">
        <v>0.5</v>
      </c>
      <c r="J82" s="235">
        <v>0</v>
      </c>
      <c r="K82" s="1129">
        <f>IF(E82+F82+G82+I82+H82+J82&lt;&gt;100%,"error",E82+F82+G82+I82+H82+J82)</f>
        <v>1</v>
      </c>
    </row>
    <row r="83" spans="1:11" x14ac:dyDescent="0.35">
      <c r="A83" s="442" t="s">
        <v>98</v>
      </c>
      <c r="B83" s="472"/>
      <c r="C83" s="442" t="s">
        <v>110</v>
      </c>
      <c r="D83" s="467"/>
      <c r="E83" s="235">
        <v>0.3</v>
      </c>
      <c r="F83" s="235">
        <v>0</v>
      </c>
      <c r="G83" s="235">
        <v>0</v>
      </c>
      <c r="H83" s="235">
        <v>0.2</v>
      </c>
      <c r="I83" s="235">
        <v>0.5</v>
      </c>
      <c r="J83" s="235">
        <v>0</v>
      </c>
      <c r="K83" s="1129">
        <f>IF(E83+F83+G83+I83+H83+J83&lt;&gt;100%,"error",E83+F83+G83+I83+H83+J83)</f>
        <v>1</v>
      </c>
    </row>
    <row r="84" spans="1:11" x14ac:dyDescent="0.35">
      <c r="A84" s="442" t="s">
        <v>99</v>
      </c>
      <c r="B84" s="472"/>
      <c r="C84" s="442" t="s">
        <v>110</v>
      </c>
      <c r="D84" s="467"/>
      <c r="E84" s="235">
        <v>0.6</v>
      </c>
      <c r="F84" s="235">
        <v>0</v>
      </c>
      <c r="G84" s="235">
        <v>0</v>
      </c>
      <c r="H84" s="235">
        <v>0.3</v>
      </c>
      <c r="I84" s="235">
        <v>0.1</v>
      </c>
      <c r="J84" s="235">
        <v>0</v>
      </c>
      <c r="K84" s="1129">
        <f>IF(E84+F84+G84+I84+H84+J84&lt;&gt;100%,"error",E84+F84+G84+I84+H84+J84)</f>
        <v>1</v>
      </c>
    </row>
    <row r="85" spans="1:11" x14ac:dyDescent="0.35">
      <c r="A85" s="442" t="s">
        <v>96</v>
      </c>
      <c r="B85" s="472"/>
      <c r="C85" s="442" t="s">
        <v>110</v>
      </c>
      <c r="D85" s="467"/>
      <c r="E85" s="235">
        <v>0.5</v>
      </c>
      <c r="F85" s="235">
        <v>0</v>
      </c>
      <c r="G85" s="235">
        <v>0</v>
      </c>
      <c r="H85" s="235">
        <v>0.2</v>
      </c>
      <c r="I85" s="235">
        <v>0.2</v>
      </c>
      <c r="J85" s="235">
        <v>0.1</v>
      </c>
      <c r="K85" s="1129">
        <f>IF(E85+F85+G85+I85+H85+J85&lt;&gt;100%,"error",E85+F85+G85+I85+H85+J85)</f>
        <v>0.99999999999999989</v>
      </c>
    </row>
    <row r="86" spans="1:11" x14ac:dyDescent="0.35">
      <c r="A86" s="473"/>
      <c r="B86" s="478"/>
      <c r="C86" s="473"/>
      <c r="D86" s="516"/>
      <c r="E86" s="478"/>
      <c r="F86" s="478"/>
      <c r="G86" s="1138"/>
      <c r="H86" s="1138"/>
      <c r="I86" s="1138"/>
      <c r="J86" s="1138"/>
      <c r="K86" s="1139"/>
    </row>
  </sheetData>
  <sheetProtection password="813F" sheet="1" objects="1" scenarios="1" selectLockedCells="1"/>
  <customSheetViews>
    <customSheetView guid="{51165254-F18A-4CD1-9981-8F2DE14CC76C}" showGridLines="0" fitToPage="1" hiddenRows="1" hiddenColumns="1" showRuler="0">
      <pane ySplit="5" topLeftCell="A7" activePane="bottomLeft" state="frozen"/>
      <selection pane="bottomLeft" activeCell="E7" sqref="E7"/>
      <pageMargins left="0.78740157480314965" right="0.78740157480314965" top="0.98425196850393704" bottom="0.98425196850393704" header="0.51181102362204722" footer="0.51181102362204722"/>
      <printOptions horizontalCentered="1" verticalCentered="1"/>
      <pageSetup paperSize="9" scale="61"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7"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3">
    <tabColor indexed="22"/>
    <pageSetUpPr fitToPage="1"/>
  </sheetPr>
  <dimension ref="A1:AB224"/>
  <sheetViews>
    <sheetView showGridLines="0" zoomScaleNormal="110" zoomScaleSheetLayoutView="100" workbookViewId="0">
      <pane ySplit="6" topLeftCell="A48" activePane="bottomLeft" state="frozen"/>
      <selection activeCell="C21" sqref="C21"/>
      <selection pane="bottomLeft" activeCell="H64" sqref="H64"/>
    </sheetView>
  </sheetViews>
  <sheetFormatPr baseColWidth="10" defaultColWidth="15.77734375" defaultRowHeight="14.4" zeroHeight="1" x14ac:dyDescent="0.35"/>
  <cols>
    <col min="1" max="1" width="31.44140625" style="45" customWidth="1"/>
    <col min="2" max="2" width="13.33203125" style="45" customWidth="1"/>
    <col min="3" max="3" width="14.44140625" style="45" customWidth="1"/>
    <col min="4" max="4" width="15.77734375" style="45" customWidth="1"/>
    <col min="5" max="5" width="4.6640625" style="45" customWidth="1"/>
    <col min="6" max="6" width="15.77734375" style="45" customWidth="1"/>
    <col min="7" max="7" width="4.6640625" style="45" customWidth="1"/>
    <col min="8" max="8" width="15.77734375" style="45" customWidth="1"/>
    <col min="9" max="9" width="4.6640625" style="45" customWidth="1"/>
    <col min="10" max="10" width="15.77734375" style="45" customWidth="1"/>
    <col min="11" max="11" width="4.6640625" style="45" customWidth="1"/>
    <col min="12" max="12" width="15.77734375" style="45" customWidth="1"/>
    <col min="13" max="13" width="1.33203125" style="44" customWidth="1"/>
    <col min="14" max="16384" width="15.77734375" style="45"/>
  </cols>
  <sheetData>
    <row r="1" spans="1:23" s="209" customFormat="1" ht="22.2" x14ac:dyDescent="0.45">
      <c r="A1" s="1442" t="s">
        <v>1173</v>
      </c>
      <c r="B1" s="1415"/>
      <c r="C1" s="1415"/>
      <c r="D1" s="1415"/>
      <c r="E1" s="1415"/>
      <c r="F1" s="1415"/>
      <c r="G1" s="1415"/>
      <c r="H1" s="1415"/>
      <c r="I1" s="1415"/>
      <c r="J1" s="1415"/>
      <c r="K1" s="202"/>
      <c r="L1" s="1447" t="s">
        <v>695</v>
      </c>
      <c r="M1" s="1569"/>
      <c r="O1" s="162"/>
    </row>
    <row r="2" spans="1:23" x14ac:dyDescent="0.35">
      <c r="A2" s="135"/>
      <c r="B2" s="136"/>
      <c r="C2" s="136"/>
      <c r="D2" s="136"/>
      <c r="E2" s="136"/>
      <c r="F2" s="280"/>
      <c r="G2" s="136"/>
      <c r="H2" s="136"/>
      <c r="I2" s="136"/>
      <c r="J2" s="136"/>
      <c r="K2" s="136"/>
      <c r="L2" s="137"/>
    </row>
    <row r="3" spans="1:23" ht="16.2" x14ac:dyDescent="0.35">
      <c r="A3" s="138" t="s">
        <v>1035</v>
      </c>
      <c r="B3" s="281" t="str">
        <f>'Reference sheet'!C12</f>
        <v>TRUCK INTERNATIONAL MOBILITY SA</v>
      </c>
      <c r="C3" s="240"/>
      <c r="D3" s="136"/>
      <c r="E3" s="136"/>
      <c r="F3" s="242" t="s">
        <v>1036</v>
      </c>
      <c r="G3" s="282">
        <f>'Reference sheet'!C15</f>
        <v>2</v>
      </c>
      <c r="H3" s="283" t="s">
        <v>1037</v>
      </c>
      <c r="I3" s="759" t="str">
        <f>'Reference sheet'!C17</f>
        <v>October</v>
      </c>
      <c r="J3" s="992">
        <f>'Reference sheet'!D17</f>
        <v>2018</v>
      </c>
      <c r="K3" s="143" t="s">
        <v>1175</v>
      </c>
      <c r="L3" s="284" t="str">
        <f>'7.1 Dealer area'!K3</f>
        <v>EUR</v>
      </c>
    </row>
    <row r="4" spans="1:23" x14ac:dyDescent="0.35">
      <c r="A4" s="135"/>
      <c r="B4" s="275"/>
      <c r="C4" s="641"/>
      <c r="D4" s="136"/>
      <c r="E4" s="136"/>
      <c r="F4" s="136"/>
      <c r="G4" s="136"/>
      <c r="H4" s="182"/>
      <c r="I4" s="136"/>
      <c r="J4" s="136"/>
      <c r="K4" s="136"/>
      <c r="L4" s="340"/>
      <c r="O4" s="275"/>
      <c r="P4" s="136"/>
      <c r="Q4" s="564"/>
      <c r="R4" s="287"/>
      <c r="S4" s="564"/>
      <c r="T4" s="564"/>
      <c r="U4" s="564"/>
      <c r="V4" s="564"/>
      <c r="W4" s="564"/>
    </row>
    <row r="5" spans="1:23" x14ac:dyDescent="0.35">
      <c r="A5" s="135"/>
      <c r="B5" s="136"/>
      <c r="D5" s="642"/>
      <c r="E5" s="136"/>
      <c r="F5" s="136"/>
      <c r="G5" s="136"/>
      <c r="H5" s="182"/>
      <c r="I5" s="136"/>
      <c r="J5" s="136"/>
      <c r="K5" s="136"/>
      <c r="L5" s="340"/>
      <c r="O5" s="275"/>
      <c r="P5" s="136"/>
      <c r="Q5" s="564"/>
      <c r="R5" s="287"/>
      <c r="S5" s="564"/>
      <c r="T5" s="564"/>
      <c r="U5" s="564"/>
      <c r="V5" s="564"/>
      <c r="W5" s="564"/>
    </row>
    <row r="6" spans="1:23" x14ac:dyDescent="0.35">
      <c r="A6" s="135"/>
      <c r="B6" s="136"/>
      <c r="D6" s="554">
        <f>+'7.1 Dealer area'!C5</f>
        <v>2019</v>
      </c>
      <c r="E6" s="164"/>
      <c r="F6" s="554">
        <f>+'7.1 Dealer area'!E5</f>
        <v>2020</v>
      </c>
      <c r="G6" s="289"/>
      <c r="H6" s="554">
        <f>+'7.1 Dealer area'!G5</f>
        <v>2021</v>
      </c>
      <c r="I6" s="290"/>
      <c r="J6" s="554">
        <f>+'7.1 Dealer area'!I5</f>
        <v>2022</v>
      </c>
      <c r="K6" s="290"/>
      <c r="L6" s="554">
        <f>+'7.1 Dealer area'!K5</f>
        <v>2023</v>
      </c>
      <c r="O6" s="275"/>
      <c r="P6" s="136"/>
      <c r="Q6" s="564"/>
      <c r="R6" s="287"/>
      <c r="S6" s="564"/>
      <c r="T6" s="564"/>
      <c r="U6" s="564"/>
      <c r="V6" s="564"/>
      <c r="W6" s="564"/>
    </row>
    <row r="7" spans="1:23" s="1032" customFormat="1" ht="16.2" hidden="1" x14ac:dyDescent="0.35">
      <c r="A7" s="878" t="s">
        <v>339</v>
      </c>
      <c r="B7" s="995"/>
      <c r="C7" s="1091"/>
      <c r="D7" s="1092"/>
      <c r="E7" s="1030"/>
      <c r="F7" s="1092"/>
      <c r="G7" s="1092"/>
      <c r="H7" s="1092"/>
      <c r="I7" s="1092"/>
      <c r="J7" s="1092"/>
      <c r="K7" s="1092"/>
      <c r="L7" s="1011"/>
      <c r="M7" s="1582"/>
      <c r="O7" s="1448"/>
      <c r="P7" s="1031"/>
      <c r="Q7" s="1449"/>
      <c r="R7" s="1449"/>
      <c r="S7" s="1449"/>
      <c r="T7" s="1449"/>
      <c r="U7" s="1449"/>
      <c r="V7" s="1449"/>
      <c r="W7" s="1449"/>
    </row>
    <row r="8" spans="1:23" s="1452" customFormat="1" ht="16.2" hidden="1" x14ac:dyDescent="0.35">
      <c r="A8" s="879"/>
      <c r="B8" s="1450"/>
      <c r="C8" s="643"/>
      <c r="D8" s="644"/>
      <c r="E8" s="1451"/>
      <c r="F8" s="644"/>
      <c r="G8" s="644"/>
      <c r="H8" s="644"/>
      <c r="I8" s="644"/>
      <c r="J8" s="644"/>
      <c r="K8" s="644"/>
      <c r="L8" s="238"/>
      <c r="M8" s="1582"/>
      <c r="O8" s="241"/>
      <c r="P8" s="143"/>
      <c r="Q8" s="645"/>
      <c r="R8" s="645"/>
      <c r="S8" s="645"/>
      <c r="T8" s="645"/>
      <c r="U8" s="645"/>
      <c r="V8" s="645"/>
      <c r="W8" s="645"/>
    </row>
    <row r="9" spans="1:23" s="1458" customFormat="1" ht="16.2" hidden="1" x14ac:dyDescent="0.35">
      <c r="A9" s="994" t="s">
        <v>534</v>
      </c>
      <c r="B9" s="1453"/>
      <c r="C9" s="1454"/>
      <c r="D9" s="1455"/>
      <c r="E9" s="1456"/>
      <c r="F9" s="1455"/>
      <c r="G9" s="1455"/>
      <c r="H9" s="1455"/>
      <c r="I9" s="1455"/>
      <c r="J9" s="1455"/>
      <c r="K9" s="1455"/>
      <c r="L9" s="1457"/>
      <c r="M9" s="1582"/>
      <c r="O9" s="1459"/>
      <c r="P9" s="842"/>
      <c r="Q9" s="1460"/>
      <c r="R9" s="1460"/>
      <c r="S9" s="1460"/>
      <c r="T9" s="1460"/>
      <c r="U9" s="1460"/>
      <c r="V9" s="1460"/>
      <c r="W9" s="1460"/>
    </row>
    <row r="10" spans="1:23" hidden="1" x14ac:dyDescent="0.35">
      <c r="A10" s="646"/>
      <c r="B10" s="148"/>
      <c r="C10" s="647"/>
      <c r="D10" s="648"/>
      <c r="E10" s="1798"/>
      <c r="F10" s="649"/>
      <c r="G10" s="1797"/>
      <c r="H10" s="649"/>
      <c r="I10" s="1799"/>
      <c r="J10" s="649"/>
      <c r="K10" s="1799"/>
      <c r="L10" s="648"/>
      <c r="O10" s="275"/>
      <c r="P10" s="136"/>
      <c r="Q10" s="564"/>
      <c r="R10" s="287"/>
      <c r="S10" s="564"/>
      <c r="T10" s="564"/>
      <c r="U10" s="564"/>
      <c r="V10" s="564"/>
      <c r="W10" s="564"/>
    </row>
    <row r="11" spans="1:23" ht="13.2" hidden="1" customHeight="1" x14ac:dyDescent="0.35">
      <c r="A11" s="135" t="s">
        <v>131</v>
      </c>
      <c r="B11" s="136"/>
      <c r="C11" s="650">
        <v>0</v>
      </c>
      <c r="D11" s="651">
        <v>0</v>
      </c>
      <c r="E11" s="460"/>
      <c r="F11" s="652">
        <v>0</v>
      </c>
      <c r="G11" s="523"/>
      <c r="H11" s="652">
        <v>0</v>
      </c>
      <c r="I11" s="522"/>
      <c r="J11" s="652">
        <v>0</v>
      </c>
      <c r="K11" s="522"/>
      <c r="L11" s="653">
        <v>0</v>
      </c>
      <c r="O11" s="275"/>
      <c r="P11" s="136"/>
      <c r="Q11" s="564"/>
      <c r="R11" s="287"/>
      <c r="S11" s="564"/>
      <c r="T11" s="564"/>
      <c r="U11" s="564"/>
      <c r="V11" s="564"/>
      <c r="W11" s="564"/>
    </row>
    <row r="12" spans="1:23" hidden="1" x14ac:dyDescent="0.35">
      <c r="A12" s="135"/>
      <c r="B12" s="136"/>
      <c r="C12" s="654"/>
      <c r="D12" s="655"/>
      <c r="E12" s="460"/>
      <c r="F12" s="564"/>
      <c r="G12" s="523"/>
      <c r="H12" s="564"/>
      <c r="I12" s="522"/>
      <c r="J12" s="564"/>
      <c r="K12" s="522"/>
      <c r="L12" s="174"/>
      <c r="O12" s="275"/>
      <c r="P12" s="136"/>
      <c r="Q12" s="564"/>
      <c r="R12" s="287"/>
      <c r="S12" s="564"/>
      <c r="T12" s="564"/>
      <c r="U12" s="564"/>
      <c r="V12" s="564"/>
      <c r="W12" s="564"/>
    </row>
    <row r="13" spans="1:23" hidden="1" x14ac:dyDescent="0.35">
      <c r="A13" s="135" t="s">
        <v>132</v>
      </c>
      <c r="B13" s="136"/>
      <c r="C13" s="654"/>
      <c r="D13" s="655"/>
      <c r="E13" s="460"/>
      <c r="F13" s="564"/>
      <c r="G13" s="523"/>
      <c r="H13" s="564"/>
      <c r="I13" s="522"/>
      <c r="J13" s="564"/>
      <c r="K13" s="522"/>
      <c r="L13" s="174"/>
      <c r="O13" s="275"/>
      <c r="P13" s="136"/>
      <c r="Q13" s="564"/>
      <c r="R13" s="287"/>
      <c r="S13" s="564"/>
      <c r="T13" s="564"/>
      <c r="U13" s="564"/>
      <c r="V13" s="564"/>
      <c r="W13" s="564"/>
    </row>
    <row r="14" spans="1:23" hidden="1" x14ac:dyDescent="0.35">
      <c r="A14" s="656" t="s">
        <v>133</v>
      </c>
      <c r="B14" s="136"/>
      <c r="C14" s="650">
        <v>0</v>
      </c>
      <c r="D14" s="657">
        <v>0</v>
      </c>
      <c r="E14" s="460"/>
      <c r="F14" s="652">
        <v>0</v>
      </c>
      <c r="G14" s="523"/>
      <c r="H14" s="652">
        <v>0</v>
      </c>
      <c r="I14" s="522"/>
      <c r="J14" s="652">
        <v>0</v>
      </c>
      <c r="K14" s="522"/>
      <c r="L14" s="653">
        <v>0</v>
      </c>
      <c r="O14" s="275"/>
      <c r="P14" s="136"/>
    </row>
    <row r="15" spans="1:23" hidden="1" x14ac:dyDescent="0.35">
      <c r="A15" s="656" t="s">
        <v>134</v>
      </c>
      <c r="B15" s="136"/>
      <c r="C15" s="650">
        <v>0</v>
      </c>
      <c r="D15" s="658">
        <v>0</v>
      </c>
      <c r="E15" s="460"/>
      <c r="F15" s="652">
        <v>0</v>
      </c>
      <c r="G15" s="523"/>
      <c r="H15" s="652">
        <v>0</v>
      </c>
      <c r="I15" s="522"/>
      <c r="J15" s="652">
        <v>0</v>
      </c>
      <c r="K15" s="522"/>
      <c r="L15" s="653">
        <v>0</v>
      </c>
      <c r="O15" s="275"/>
      <c r="P15" s="136"/>
    </row>
    <row r="16" spans="1:23" hidden="1" x14ac:dyDescent="0.35">
      <c r="A16" s="656" t="s">
        <v>386</v>
      </c>
      <c r="B16" s="136"/>
      <c r="C16" s="650">
        <v>0</v>
      </c>
      <c r="D16" s="658">
        <v>0</v>
      </c>
      <c r="E16" s="460"/>
      <c r="F16" s="652">
        <v>0</v>
      </c>
      <c r="G16" s="523"/>
      <c r="H16" s="652">
        <v>0</v>
      </c>
      <c r="I16" s="522"/>
      <c r="J16" s="652">
        <v>0</v>
      </c>
      <c r="K16" s="522"/>
      <c r="L16" s="653">
        <v>0</v>
      </c>
      <c r="O16" s="275"/>
      <c r="P16" s="136"/>
    </row>
    <row r="17" spans="1:28" hidden="1" x14ac:dyDescent="0.35">
      <c r="A17" s="656" t="s">
        <v>136</v>
      </c>
      <c r="B17" s="136"/>
      <c r="C17" s="650">
        <v>0</v>
      </c>
      <c r="D17" s="658">
        <v>0</v>
      </c>
      <c r="E17" s="460"/>
      <c r="F17" s="652">
        <v>0</v>
      </c>
      <c r="G17" s="523"/>
      <c r="H17" s="652">
        <v>0</v>
      </c>
      <c r="I17" s="522"/>
      <c r="J17" s="652">
        <v>0</v>
      </c>
      <c r="K17" s="522"/>
      <c r="L17" s="653">
        <v>0</v>
      </c>
      <c r="O17" s="275"/>
      <c r="P17" s="136"/>
      <c r="R17" s="164" t="s">
        <v>142</v>
      </c>
    </row>
    <row r="18" spans="1:28" hidden="1" x14ac:dyDescent="0.35">
      <c r="A18" s="656" t="s">
        <v>137</v>
      </c>
      <c r="B18" s="136"/>
      <c r="C18" s="650">
        <v>0</v>
      </c>
      <c r="D18" s="658">
        <v>0</v>
      </c>
      <c r="E18" s="460"/>
      <c r="F18" s="652">
        <v>0</v>
      </c>
      <c r="G18" s="523"/>
      <c r="H18" s="652">
        <v>0</v>
      </c>
      <c r="I18" s="522"/>
      <c r="J18" s="652">
        <v>0</v>
      </c>
      <c r="K18" s="522"/>
      <c r="L18" s="653">
        <v>0</v>
      </c>
      <c r="O18" s="275"/>
      <c r="P18" s="136"/>
      <c r="R18" s="164"/>
      <c r="T18" s="659" t="s">
        <v>143</v>
      </c>
      <c r="U18" s="184"/>
      <c r="V18" s="184"/>
      <c r="W18" s="184"/>
      <c r="X18" s="185"/>
    </row>
    <row r="19" spans="1:28" hidden="1" x14ac:dyDescent="0.35">
      <c r="A19" s="656" t="s">
        <v>229</v>
      </c>
      <c r="B19" s="136"/>
      <c r="C19" s="650">
        <v>0</v>
      </c>
      <c r="D19" s="658">
        <v>0</v>
      </c>
      <c r="E19" s="460"/>
      <c r="F19" s="652">
        <v>0</v>
      </c>
      <c r="G19" s="523"/>
      <c r="H19" s="652">
        <v>0</v>
      </c>
      <c r="I19" s="522"/>
      <c r="J19" s="652">
        <v>0</v>
      </c>
      <c r="K19" s="522"/>
      <c r="L19" s="653">
        <v>0</v>
      </c>
      <c r="O19" s="275"/>
      <c r="P19" s="136"/>
      <c r="R19" s="164"/>
      <c r="T19" s="659"/>
      <c r="U19" s="184"/>
      <c r="V19" s="184"/>
      <c r="W19" s="184"/>
      <c r="X19" s="185"/>
    </row>
    <row r="20" spans="1:28" hidden="1" x14ac:dyDescent="0.35">
      <c r="A20" s="135" t="s">
        <v>138</v>
      </c>
      <c r="B20" s="136"/>
      <c r="C20" s="650">
        <v>0</v>
      </c>
      <c r="D20" s="658">
        <v>0</v>
      </c>
      <c r="E20" s="460"/>
      <c r="F20" s="652">
        <v>0</v>
      </c>
      <c r="G20" s="523"/>
      <c r="H20" s="652">
        <v>0</v>
      </c>
      <c r="I20" s="522"/>
      <c r="J20" s="652">
        <v>0</v>
      </c>
      <c r="K20" s="522"/>
      <c r="L20" s="653">
        <v>0</v>
      </c>
      <c r="O20" s="275"/>
      <c r="P20" s="136"/>
      <c r="R20" s="660">
        <f>D6</f>
        <v>2019</v>
      </c>
      <c r="S20" s="629">
        <f>C54+D54</f>
        <v>32258</v>
      </c>
      <c r="T20" s="661">
        <f>+S20/Y20</f>
        <v>10752.666666666666</v>
      </c>
      <c r="U20" s="662">
        <f>IF($Y20&gt;=2,$S20/$Y20,0)</f>
        <v>10752.666666666666</v>
      </c>
      <c r="V20" s="661">
        <f>IF($Y20&gt;=3,$S20/$Y20,0)</f>
        <v>10752.666666666666</v>
      </c>
      <c r="W20" s="661">
        <f>IF($Y20&gt;=4,$S20/$Y20,0)</f>
        <v>0</v>
      </c>
      <c r="X20" s="661">
        <f>IF($Y20&gt;=5,$S20/$Y20,0)</f>
        <v>0</v>
      </c>
      <c r="Y20" s="663">
        <f>ROUND(100/(B$82*100),0)</f>
        <v>3</v>
      </c>
    </row>
    <row r="21" spans="1:28" hidden="1" x14ac:dyDescent="0.35">
      <c r="A21" s="135" t="s">
        <v>139</v>
      </c>
      <c r="B21" s="136"/>
      <c r="C21" s="664">
        <v>0</v>
      </c>
      <c r="D21" s="665">
        <v>0</v>
      </c>
      <c r="E21" s="460"/>
      <c r="F21" s="666">
        <v>0</v>
      </c>
      <c r="G21" s="523"/>
      <c r="H21" s="666">
        <v>0</v>
      </c>
      <c r="I21" s="522"/>
      <c r="J21" s="666">
        <v>0</v>
      </c>
      <c r="K21" s="522"/>
      <c r="L21" s="667">
        <v>0</v>
      </c>
      <c r="O21" s="275"/>
      <c r="P21" s="136"/>
      <c r="R21" s="668">
        <f>+F6</f>
        <v>2020</v>
      </c>
      <c r="S21" s="669">
        <f>F54</f>
        <v>0</v>
      </c>
      <c r="T21" s="670"/>
      <c r="U21" s="670">
        <f>+S21/Y21</f>
        <v>0</v>
      </c>
      <c r="V21" s="662">
        <f>IF($Y21&gt;=2,$S21/$Y21,0)</f>
        <v>0</v>
      </c>
      <c r="W21" s="661">
        <f>IF($Y21&gt;=3,$S21/$Y21,0)</f>
        <v>0</v>
      </c>
      <c r="X21" s="661">
        <f>IF($Y21&gt;=4,$S21/$Y21,0)</f>
        <v>0</v>
      </c>
      <c r="Y21" s="663">
        <f>ROUND(100/(B$82*100),0)</f>
        <v>3</v>
      </c>
    </row>
    <row r="22" spans="1:28" hidden="1" x14ac:dyDescent="0.35">
      <c r="A22" s="656" t="s">
        <v>140</v>
      </c>
      <c r="B22" s="136"/>
      <c r="C22" s="671">
        <f>SUM(C14:C21)</f>
        <v>0</v>
      </c>
      <c r="D22" s="672">
        <f>SUM(D14:D21)</f>
        <v>0</v>
      </c>
      <c r="E22" s="460"/>
      <c r="F22" s="361">
        <f>SUM(F14:F21)</f>
        <v>0</v>
      </c>
      <c r="G22" s="523"/>
      <c r="H22" s="361">
        <f>SUM(H14:H21)</f>
        <v>0</v>
      </c>
      <c r="I22" s="522"/>
      <c r="J22" s="361">
        <f>SUM(J14:J21)</f>
        <v>0</v>
      </c>
      <c r="K22" s="522"/>
      <c r="L22" s="673">
        <f>SUM(L14:L21)</f>
        <v>0</v>
      </c>
      <c r="O22" s="275"/>
      <c r="P22" s="136"/>
      <c r="R22" s="668">
        <f>+H6</f>
        <v>2021</v>
      </c>
      <c r="S22" s="669">
        <f>H54</f>
        <v>0</v>
      </c>
      <c r="T22" s="670"/>
      <c r="U22" s="670"/>
      <c r="V22" s="670">
        <f>S22/Y22</f>
        <v>0</v>
      </c>
      <c r="W22" s="662">
        <f>IF($Y22&gt;=2,$S22/$Y22,0)</f>
        <v>0</v>
      </c>
      <c r="X22" s="661">
        <f>IF($Y22&gt;=3,$S22/$Y22,0)</f>
        <v>0</v>
      </c>
      <c r="Y22" s="663">
        <f>ROUND(100/(B$82*100),0)</f>
        <v>3</v>
      </c>
    </row>
    <row r="23" spans="1:28" hidden="1" x14ac:dyDescent="0.35">
      <c r="A23" s="135"/>
      <c r="B23" s="136"/>
      <c r="C23" s="654"/>
      <c r="D23" s="655"/>
      <c r="E23" s="460"/>
      <c r="F23" s="564"/>
      <c r="G23" s="523"/>
      <c r="H23" s="564"/>
      <c r="I23" s="522"/>
      <c r="J23" s="564"/>
      <c r="K23" s="522"/>
      <c r="L23" s="174"/>
      <c r="O23" s="275"/>
      <c r="P23" s="136"/>
      <c r="R23" s="668">
        <f>+J6</f>
        <v>2022</v>
      </c>
      <c r="S23" s="669">
        <f>J54</f>
        <v>0</v>
      </c>
      <c r="T23" s="670"/>
      <c r="U23" s="670"/>
      <c r="V23" s="670"/>
      <c r="W23" s="670">
        <f>S23/Y23</f>
        <v>0</v>
      </c>
      <c r="X23" s="662">
        <f>IF($Y23&gt;=2,$S23/$Y23,0)</f>
        <v>0</v>
      </c>
      <c r="Y23" s="663">
        <f>ROUND(100/(B$82*100),0)</f>
        <v>3</v>
      </c>
    </row>
    <row r="24" spans="1:28" hidden="1" x14ac:dyDescent="0.35">
      <c r="A24" s="135" t="s">
        <v>329</v>
      </c>
      <c r="B24" s="136"/>
      <c r="C24" s="650">
        <v>0</v>
      </c>
      <c r="D24" s="651">
        <v>0</v>
      </c>
      <c r="E24" s="460"/>
      <c r="F24" s="652">
        <v>0</v>
      </c>
      <c r="G24" s="523"/>
      <c r="H24" s="652">
        <v>0</v>
      </c>
      <c r="I24" s="522"/>
      <c r="J24" s="652">
        <v>0</v>
      </c>
      <c r="K24" s="522"/>
      <c r="L24" s="653">
        <v>0</v>
      </c>
      <c r="O24" s="275"/>
      <c r="P24" s="136"/>
      <c r="R24" s="674">
        <f>+L6</f>
        <v>2023</v>
      </c>
      <c r="S24" s="669">
        <f>L54</f>
        <v>0</v>
      </c>
      <c r="T24" s="675"/>
      <c r="U24" s="675"/>
      <c r="V24" s="675"/>
      <c r="W24" s="675"/>
      <c r="X24" s="675">
        <f>S24/Y24</f>
        <v>0</v>
      </c>
      <c r="Y24" s="663">
        <f>ROUND(100/(B$82*100),0)</f>
        <v>3</v>
      </c>
    </row>
    <row r="25" spans="1:28" hidden="1" x14ac:dyDescent="0.35">
      <c r="A25" s="135"/>
      <c r="B25" s="136"/>
      <c r="C25" s="654"/>
      <c r="D25" s="655"/>
      <c r="E25" s="460"/>
      <c r="F25" s="564"/>
      <c r="G25" s="523"/>
      <c r="H25" s="564"/>
      <c r="I25" s="522"/>
      <c r="J25" s="564"/>
      <c r="K25" s="522"/>
      <c r="L25" s="174"/>
      <c r="O25" s="275"/>
      <c r="P25" s="136"/>
      <c r="R25" s="676"/>
      <c r="S25" s="669"/>
      <c r="T25" s="675"/>
      <c r="U25" s="675"/>
      <c r="V25" s="675"/>
      <c r="W25" s="675"/>
      <c r="X25" s="675"/>
      <c r="Y25" s="663"/>
    </row>
    <row r="26" spans="1:28" hidden="1" x14ac:dyDescent="0.35">
      <c r="A26" s="135" t="s">
        <v>330</v>
      </c>
      <c r="B26" s="136"/>
      <c r="C26" s="671">
        <f>C11+C22+C24</f>
        <v>0</v>
      </c>
      <c r="D26" s="677">
        <f>D11+D22+D24</f>
        <v>0</v>
      </c>
      <c r="E26" s="460"/>
      <c r="F26" s="361">
        <f>F11+F22+F24</f>
        <v>0</v>
      </c>
      <c r="G26" s="462"/>
      <c r="H26" s="361">
        <f>H11+H22+H24</f>
        <v>0</v>
      </c>
      <c r="I26" s="463"/>
      <c r="J26" s="361">
        <f>J11+J22+J24</f>
        <v>0</v>
      </c>
      <c r="K26" s="463"/>
      <c r="L26" s="678">
        <f>L11+L22+L24</f>
        <v>0</v>
      </c>
      <c r="O26" s="275"/>
      <c r="P26" s="136"/>
      <c r="R26" s="679"/>
      <c r="S26" s="341" t="s">
        <v>146</v>
      </c>
      <c r="T26" s="680">
        <f>+T20</f>
        <v>10752.666666666666</v>
      </c>
      <c r="U26" s="680">
        <f>+U20+U21</f>
        <v>10752.666666666666</v>
      </c>
      <c r="V26" s="680">
        <f>+W20+W21+W22</f>
        <v>0</v>
      </c>
      <c r="W26" s="680">
        <f>+W20+W21+W22+W23</f>
        <v>0</v>
      </c>
      <c r="X26" s="680">
        <f>+X20+X21+X22+X23+X24</f>
        <v>0</v>
      </c>
      <c r="Y26" s="663"/>
    </row>
    <row r="27" spans="1:28" hidden="1" x14ac:dyDescent="0.35">
      <c r="A27" s="145"/>
      <c r="B27" s="146"/>
      <c r="C27" s="681"/>
      <c r="D27" s="639"/>
      <c r="E27" s="342"/>
      <c r="F27" s="344"/>
      <c r="G27" s="343"/>
      <c r="H27" s="344"/>
      <c r="I27" s="344"/>
      <c r="J27" s="344"/>
      <c r="K27" s="1114"/>
      <c r="L27" s="639"/>
      <c r="O27" s="275"/>
      <c r="P27" s="136"/>
      <c r="R27" s="682"/>
      <c r="S27" s="136"/>
      <c r="T27" s="683"/>
      <c r="U27" s="683"/>
      <c r="V27" s="683"/>
      <c r="W27" s="683"/>
      <c r="X27" s="683"/>
    </row>
    <row r="28" spans="1:28" s="1458" customFormat="1" ht="16.2" hidden="1" x14ac:dyDescent="0.35">
      <c r="A28" s="994" t="s">
        <v>334</v>
      </c>
      <c r="B28" s="1453"/>
      <c r="C28" s="1461"/>
      <c r="D28" s="1455"/>
      <c r="E28" s="1456"/>
      <c r="F28" s="1455"/>
      <c r="G28" s="1455"/>
      <c r="H28" s="1455"/>
      <c r="I28" s="1455"/>
      <c r="J28" s="1455"/>
      <c r="K28" s="1455"/>
      <c r="L28" s="1457"/>
      <c r="M28" s="1582"/>
      <c r="O28" s="1459"/>
      <c r="P28" s="842"/>
      <c r="Q28" s="830"/>
      <c r="R28" s="845" t="s">
        <v>147</v>
      </c>
      <c r="S28" s="1462"/>
      <c r="T28" s="830"/>
      <c r="U28" s="1462"/>
      <c r="V28" s="830"/>
      <c r="W28" s="830"/>
      <c r="X28" s="830"/>
      <c r="Y28" s="1214"/>
      <c r="Z28" s="830"/>
      <c r="AA28" s="830"/>
      <c r="AB28" s="830"/>
    </row>
    <row r="29" spans="1:28" hidden="1" x14ac:dyDescent="0.35">
      <c r="A29" s="135"/>
      <c r="B29" s="136"/>
      <c r="C29" s="685"/>
      <c r="D29" s="648"/>
      <c r="E29" s="164"/>
      <c r="F29" s="290"/>
      <c r="G29" s="289"/>
      <c r="H29" s="290"/>
      <c r="I29" s="290"/>
      <c r="J29" s="290"/>
      <c r="K29" s="290"/>
      <c r="L29" s="556"/>
      <c r="O29" s="275"/>
      <c r="P29" s="136"/>
      <c r="R29" s="164"/>
      <c r="S29" s="684"/>
      <c r="T29" s="659" t="s">
        <v>143</v>
      </c>
      <c r="U29" s="184"/>
      <c r="V29" s="184"/>
      <c r="W29" s="184"/>
      <c r="X29" s="185"/>
      <c r="Y29" s="219"/>
    </row>
    <row r="30" spans="1:28" hidden="1" x14ac:dyDescent="0.35">
      <c r="A30" s="135" t="s">
        <v>131</v>
      </c>
      <c r="B30" s="136"/>
      <c r="C30" s="685"/>
      <c r="D30" s="686">
        <v>0</v>
      </c>
      <c r="E30" s="443"/>
      <c r="F30" s="652">
        <v>0</v>
      </c>
      <c r="G30" s="523"/>
      <c r="H30" s="652">
        <v>0</v>
      </c>
      <c r="I30" s="522"/>
      <c r="J30" s="652">
        <v>0</v>
      </c>
      <c r="K30" s="522"/>
      <c r="L30" s="653">
        <v>0</v>
      </c>
      <c r="O30" s="275"/>
      <c r="P30" s="136"/>
      <c r="S30" s="687" t="s">
        <v>144</v>
      </c>
      <c r="T30" s="660">
        <f>'7.4.2 Selling &amp; Oper. expenses'!C5</f>
        <v>2019</v>
      </c>
      <c r="U30" s="688">
        <f>F6</f>
        <v>2020</v>
      </c>
      <c r="V30" s="688">
        <f>H6</f>
        <v>2021</v>
      </c>
      <c r="W30" s="688">
        <f>J6</f>
        <v>2022</v>
      </c>
      <c r="X30" s="688">
        <f>L6</f>
        <v>2023</v>
      </c>
    </row>
    <row r="31" spans="1:28" hidden="1" x14ac:dyDescent="0.35">
      <c r="A31" s="135"/>
      <c r="B31" s="136"/>
      <c r="C31" s="685"/>
      <c r="D31" s="174"/>
      <c r="E31" s="443"/>
      <c r="F31" s="564"/>
      <c r="G31" s="523"/>
      <c r="H31" s="564"/>
      <c r="I31" s="522"/>
      <c r="J31" s="564"/>
      <c r="K31" s="522"/>
      <c r="L31" s="174"/>
      <c r="O31" s="275"/>
      <c r="P31" s="136"/>
      <c r="R31" s="660">
        <f>R20</f>
        <v>2019</v>
      </c>
      <c r="S31" s="669">
        <f t="shared" ref="S31:S38" si="0">C57+D57</f>
        <v>0</v>
      </c>
      <c r="T31" s="661">
        <v>0</v>
      </c>
      <c r="U31" s="662">
        <v>0</v>
      </c>
      <c r="V31" s="661">
        <v>0</v>
      </c>
      <c r="W31" s="661">
        <v>0</v>
      </c>
      <c r="X31" s="661">
        <v>0</v>
      </c>
      <c r="Y31" s="623" t="s">
        <v>145</v>
      </c>
    </row>
    <row r="32" spans="1:28" hidden="1" x14ac:dyDescent="0.35">
      <c r="A32" s="135" t="s">
        <v>132</v>
      </c>
      <c r="B32" s="136"/>
      <c r="C32" s="685"/>
      <c r="D32" s="174"/>
      <c r="E32" s="443"/>
      <c r="F32" s="564"/>
      <c r="G32" s="523"/>
      <c r="H32" s="564"/>
      <c r="I32" s="522"/>
      <c r="J32" s="564"/>
      <c r="K32" s="522"/>
      <c r="L32" s="174"/>
      <c r="O32" s="275"/>
      <c r="P32" s="136"/>
      <c r="R32" s="689"/>
      <c r="S32" s="669">
        <f t="shared" si="0"/>
        <v>80000</v>
      </c>
      <c r="T32" s="661">
        <f t="shared" ref="T32:T37" si="1">+S32/Y32</f>
        <v>4000</v>
      </c>
      <c r="U32" s="662">
        <f t="shared" ref="U32:U38" si="2">IF($Y32&gt;=2,$S32/$Y32,0)</f>
        <v>4000</v>
      </c>
      <c r="V32" s="661">
        <f t="shared" ref="V32:V38" si="3">IF($Y32&gt;=3,$S32/$Y32,0)</f>
        <v>4000</v>
      </c>
      <c r="W32" s="661">
        <f t="shared" ref="W32:W38" si="4">IF($Y32&gt;=4,$S32/$Y32,0)</f>
        <v>4000</v>
      </c>
      <c r="X32" s="661">
        <f t="shared" ref="X32:X38" si="5">IF($Y32&gt;=5,$S32/$Y32,0)</f>
        <v>4000</v>
      </c>
      <c r="Y32" s="663">
        <f>ROUND(100/($B$86*100),0)</f>
        <v>20</v>
      </c>
    </row>
    <row r="33" spans="1:28" hidden="1" x14ac:dyDescent="0.35">
      <c r="A33" s="656" t="s">
        <v>133</v>
      </c>
      <c r="B33" s="136"/>
      <c r="C33" s="685"/>
      <c r="D33" s="690">
        <v>0</v>
      </c>
      <c r="E33" s="443"/>
      <c r="F33" s="652">
        <v>0</v>
      </c>
      <c r="G33" s="523"/>
      <c r="H33" s="652">
        <v>0</v>
      </c>
      <c r="I33" s="522"/>
      <c r="J33" s="652">
        <v>0</v>
      </c>
      <c r="K33" s="522"/>
      <c r="L33" s="653">
        <v>0</v>
      </c>
      <c r="O33" s="275"/>
      <c r="P33" s="136"/>
      <c r="R33" s="663"/>
      <c r="S33" s="669">
        <f t="shared" si="0"/>
        <v>40000</v>
      </c>
      <c r="T33" s="661">
        <f t="shared" si="1"/>
        <v>13333.333333333334</v>
      </c>
      <c r="U33" s="662">
        <f t="shared" si="2"/>
        <v>13333.333333333334</v>
      </c>
      <c r="V33" s="661">
        <f t="shared" si="3"/>
        <v>13333.333333333334</v>
      </c>
      <c r="W33" s="661">
        <f t="shared" si="4"/>
        <v>0</v>
      </c>
      <c r="X33" s="661">
        <f t="shared" si="5"/>
        <v>0</v>
      </c>
      <c r="Y33" s="663">
        <f>ROUND(100/($B$87*100),0)</f>
        <v>3</v>
      </c>
    </row>
    <row r="34" spans="1:28" hidden="1" x14ac:dyDescent="0.35">
      <c r="A34" s="656" t="s">
        <v>134</v>
      </c>
      <c r="B34" s="136"/>
      <c r="C34" s="685"/>
      <c r="D34" s="691">
        <v>0</v>
      </c>
      <c r="E34" s="443"/>
      <c r="F34" s="652">
        <v>0</v>
      </c>
      <c r="G34" s="523"/>
      <c r="H34" s="652">
        <v>0</v>
      </c>
      <c r="I34" s="522"/>
      <c r="J34" s="652">
        <v>0</v>
      </c>
      <c r="K34" s="522"/>
      <c r="L34" s="653">
        <v>0</v>
      </c>
      <c r="O34" s="275"/>
      <c r="P34" s="136"/>
      <c r="R34" s="663"/>
      <c r="S34" s="669">
        <f t="shared" si="0"/>
        <v>9000</v>
      </c>
      <c r="T34" s="661">
        <f t="shared" si="1"/>
        <v>1800</v>
      </c>
      <c r="U34" s="662">
        <f t="shared" si="2"/>
        <v>1800</v>
      </c>
      <c r="V34" s="661">
        <f t="shared" si="3"/>
        <v>1800</v>
      </c>
      <c r="W34" s="661">
        <f t="shared" si="4"/>
        <v>1800</v>
      </c>
      <c r="X34" s="661">
        <f t="shared" si="5"/>
        <v>1800</v>
      </c>
      <c r="Y34" s="663">
        <f>ROUND(100/($B$88*100),0)</f>
        <v>5</v>
      </c>
    </row>
    <row r="35" spans="1:28" hidden="1" x14ac:dyDescent="0.35">
      <c r="A35" s="656" t="s">
        <v>135</v>
      </c>
      <c r="B35" s="136"/>
      <c r="C35" s="685"/>
      <c r="D35" s="691">
        <v>0</v>
      </c>
      <c r="E35" s="443"/>
      <c r="F35" s="652">
        <v>0</v>
      </c>
      <c r="G35" s="523"/>
      <c r="H35" s="652">
        <v>0</v>
      </c>
      <c r="I35" s="522"/>
      <c r="J35" s="652">
        <v>0</v>
      </c>
      <c r="K35" s="441"/>
      <c r="L35" s="653">
        <v>0</v>
      </c>
      <c r="O35" s="275"/>
      <c r="P35" s="136"/>
      <c r="R35" s="663"/>
      <c r="S35" s="669">
        <f t="shared" si="0"/>
        <v>8000</v>
      </c>
      <c r="T35" s="661">
        <f t="shared" si="1"/>
        <v>1600</v>
      </c>
      <c r="U35" s="662">
        <f t="shared" si="2"/>
        <v>1600</v>
      </c>
      <c r="V35" s="661">
        <f t="shared" si="3"/>
        <v>1600</v>
      </c>
      <c r="W35" s="661">
        <f t="shared" si="4"/>
        <v>1600</v>
      </c>
      <c r="X35" s="661">
        <f t="shared" si="5"/>
        <v>1600</v>
      </c>
      <c r="Y35" s="663">
        <f>ROUND(100/($B$89*100),0)</f>
        <v>5</v>
      </c>
    </row>
    <row r="36" spans="1:28" hidden="1" x14ac:dyDescent="0.35">
      <c r="A36" s="656" t="s">
        <v>136</v>
      </c>
      <c r="B36" s="136"/>
      <c r="C36" s="685"/>
      <c r="D36" s="691">
        <v>0</v>
      </c>
      <c r="E36" s="443"/>
      <c r="F36" s="652">
        <v>0</v>
      </c>
      <c r="G36" s="523"/>
      <c r="H36" s="652">
        <v>0</v>
      </c>
      <c r="I36" s="522"/>
      <c r="J36" s="652">
        <v>0</v>
      </c>
      <c r="K36" s="522"/>
      <c r="L36" s="653">
        <v>0</v>
      </c>
      <c r="O36" s="275"/>
      <c r="P36" s="136"/>
      <c r="R36" s="663"/>
      <c r="S36" s="669">
        <f t="shared" si="0"/>
        <v>26000</v>
      </c>
      <c r="T36" s="661">
        <f>+S36/Y36</f>
        <v>5200</v>
      </c>
      <c r="U36" s="662">
        <f t="shared" si="2"/>
        <v>5200</v>
      </c>
      <c r="V36" s="661">
        <f t="shared" si="3"/>
        <v>5200</v>
      </c>
      <c r="W36" s="661">
        <f t="shared" si="4"/>
        <v>5200</v>
      </c>
      <c r="X36" s="661">
        <f t="shared" si="5"/>
        <v>5200</v>
      </c>
      <c r="Y36" s="663">
        <f>ROUND(100/($B$90*100),0)</f>
        <v>5</v>
      </c>
    </row>
    <row r="37" spans="1:28" hidden="1" x14ac:dyDescent="0.35">
      <c r="A37" s="656" t="s">
        <v>137</v>
      </c>
      <c r="B37" s="136"/>
      <c r="C37" s="685"/>
      <c r="D37" s="691">
        <v>0</v>
      </c>
      <c r="E37" s="443"/>
      <c r="F37" s="652">
        <v>0</v>
      </c>
      <c r="G37" s="523"/>
      <c r="H37" s="652">
        <v>0</v>
      </c>
      <c r="I37" s="522"/>
      <c r="J37" s="652">
        <v>0</v>
      </c>
      <c r="K37" s="522"/>
      <c r="L37" s="653">
        <v>0</v>
      </c>
      <c r="O37" s="275"/>
      <c r="P37" s="136"/>
      <c r="R37" s="663"/>
      <c r="S37" s="669">
        <f t="shared" si="0"/>
        <v>0</v>
      </c>
      <c r="T37" s="661" t="e">
        <f t="shared" si="1"/>
        <v>#DIV/0!</v>
      </c>
      <c r="U37" s="662" t="e">
        <f t="shared" si="2"/>
        <v>#DIV/0!</v>
      </c>
      <c r="V37" s="661" t="e">
        <f t="shared" si="3"/>
        <v>#DIV/0!</v>
      </c>
      <c r="W37" s="661" t="e">
        <f t="shared" si="4"/>
        <v>#DIV/0!</v>
      </c>
      <c r="X37" s="661" t="e">
        <f t="shared" si="5"/>
        <v>#DIV/0!</v>
      </c>
      <c r="Y37" s="663" t="e">
        <f>ROUND(100/($B$91*100),0)</f>
        <v>#DIV/0!</v>
      </c>
    </row>
    <row r="38" spans="1:28" hidden="1" x14ac:dyDescent="0.35">
      <c r="A38" s="656" t="s">
        <v>229</v>
      </c>
      <c r="B38" s="136"/>
      <c r="C38" s="685"/>
      <c r="D38" s="691">
        <v>0</v>
      </c>
      <c r="E38" s="441"/>
      <c r="F38" s="652">
        <v>0</v>
      </c>
      <c r="G38" s="523"/>
      <c r="H38" s="652">
        <v>0</v>
      </c>
      <c r="I38" s="522"/>
      <c r="J38" s="652">
        <v>0</v>
      </c>
      <c r="K38" s="522"/>
      <c r="L38" s="653">
        <v>0</v>
      </c>
      <c r="O38" s="275"/>
      <c r="P38" s="136"/>
      <c r="R38" s="663"/>
      <c r="S38" s="669">
        <f t="shared" si="0"/>
        <v>0</v>
      </c>
      <c r="T38" s="661" t="e">
        <f>+S38/Y38</f>
        <v>#DIV/0!</v>
      </c>
      <c r="U38" s="662" t="e">
        <f t="shared" si="2"/>
        <v>#DIV/0!</v>
      </c>
      <c r="V38" s="661" t="e">
        <f t="shared" si="3"/>
        <v>#DIV/0!</v>
      </c>
      <c r="W38" s="661" t="e">
        <f t="shared" si="4"/>
        <v>#DIV/0!</v>
      </c>
      <c r="X38" s="661" t="e">
        <f t="shared" si="5"/>
        <v>#DIV/0!</v>
      </c>
      <c r="Y38" s="663" t="e">
        <f>ROUND(100/($B$91*100),0)</f>
        <v>#DIV/0!</v>
      </c>
    </row>
    <row r="39" spans="1:28" hidden="1" x14ac:dyDescent="0.35">
      <c r="A39" s="135" t="s">
        <v>138</v>
      </c>
      <c r="B39" s="136"/>
      <c r="C39" s="685"/>
      <c r="D39" s="691">
        <v>0</v>
      </c>
      <c r="E39" s="443"/>
      <c r="F39" s="652">
        <v>0</v>
      </c>
      <c r="G39" s="523"/>
      <c r="H39" s="652">
        <v>0</v>
      </c>
      <c r="I39" s="522"/>
      <c r="J39" s="652">
        <v>0</v>
      </c>
      <c r="K39" s="522"/>
      <c r="L39" s="653">
        <v>0</v>
      </c>
      <c r="O39" s="275"/>
      <c r="P39" s="136"/>
      <c r="R39" s="668">
        <f>+F6</f>
        <v>2020</v>
      </c>
      <c r="S39" s="669">
        <f t="shared" ref="S39:S46" si="6">+F57</f>
        <v>0</v>
      </c>
      <c r="T39" s="663"/>
      <c r="U39" s="670">
        <v>0</v>
      </c>
      <c r="V39" s="662">
        <f t="shared" ref="V39:V46" si="7">IF($Y39&gt;=2,$S39/$Y39,0)</f>
        <v>0</v>
      </c>
      <c r="W39" s="661">
        <f t="shared" ref="W39:W46" si="8">IF($Y39&gt;=3,$S39/$Y39,0)</f>
        <v>0</v>
      </c>
      <c r="X39" s="661">
        <f t="shared" ref="X39:X46" si="9">IF($Y39&gt;=4,$S39/$Y39,0)</f>
        <v>0</v>
      </c>
      <c r="Y39" s="692"/>
    </row>
    <row r="40" spans="1:28" hidden="1" x14ac:dyDescent="0.35">
      <c r="A40" s="135" t="s">
        <v>139</v>
      </c>
      <c r="B40" s="136"/>
      <c r="C40" s="685"/>
      <c r="D40" s="693">
        <v>0</v>
      </c>
      <c r="E40" s="443"/>
      <c r="F40" s="666">
        <v>0</v>
      </c>
      <c r="G40" s="523"/>
      <c r="H40" s="666">
        <v>0</v>
      </c>
      <c r="I40" s="522"/>
      <c r="J40" s="666">
        <v>0</v>
      </c>
      <c r="K40" s="522"/>
      <c r="L40" s="667">
        <v>0</v>
      </c>
      <c r="O40" s="275"/>
      <c r="P40" s="136"/>
      <c r="R40" s="663"/>
      <c r="S40" s="669">
        <f t="shared" si="6"/>
        <v>240000</v>
      </c>
      <c r="T40" s="663"/>
      <c r="U40" s="670">
        <f t="shared" ref="U40:U46" si="10">+S40/Y40</f>
        <v>12000</v>
      </c>
      <c r="V40" s="662">
        <f t="shared" si="7"/>
        <v>12000</v>
      </c>
      <c r="W40" s="661">
        <f t="shared" si="8"/>
        <v>12000</v>
      </c>
      <c r="X40" s="661">
        <f t="shared" si="9"/>
        <v>12000</v>
      </c>
      <c r="Y40" s="663">
        <f>ROUND(100/($B$86*100),0)</f>
        <v>20</v>
      </c>
    </row>
    <row r="41" spans="1:28" hidden="1" x14ac:dyDescent="0.35">
      <c r="A41" s="656" t="s">
        <v>140</v>
      </c>
      <c r="B41" s="136"/>
      <c r="C41" s="685"/>
      <c r="D41" s="694">
        <f>SUM(D33:D40)</f>
        <v>0</v>
      </c>
      <c r="E41" s="443"/>
      <c r="F41" s="361">
        <f>SUM(F33:F40)</f>
        <v>0</v>
      </c>
      <c r="G41" s="523"/>
      <c r="H41" s="361">
        <f>SUM(H33:H40)</f>
        <v>0</v>
      </c>
      <c r="I41" s="522"/>
      <c r="J41" s="361">
        <f>SUM(J33:J40)</f>
        <v>0</v>
      </c>
      <c r="K41" s="522"/>
      <c r="L41" s="678">
        <f>SUM(L33:L40)</f>
        <v>0</v>
      </c>
      <c r="O41" s="275"/>
      <c r="P41" s="136"/>
      <c r="R41" s="663"/>
      <c r="S41" s="669">
        <f t="shared" si="6"/>
        <v>120000</v>
      </c>
      <c r="T41" s="663"/>
      <c r="U41" s="670">
        <f t="shared" si="10"/>
        <v>40000</v>
      </c>
      <c r="V41" s="662">
        <f t="shared" si="7"/>
        <v>40000</v>
      </c>
      <c r="W41" s="661">
        <f t="shared" si="8"/>
        <v>40000</v>
      </c>
      <c r="X41" s="661">
        <f t="shared" si="9"/>
        <v>0</v>
      </c>
      <c r="Y41" s="663">
        <f>ROUND(100/($B$87*100),0)</f>
        <v>3</v>
      </c>
    </row>
    <row r="42" spans="1:28" hidden="1" x14ac:dyDescent="0.35">
      <c r="A42" s="135"/>
      <c r="B42" s="136"/>
      <c r="C42" s="685"/>
      <c r="D42" s="174"/>
      <c r="E42" s="443"/>
      <c r="F42" s="564"/>
      <c r="G42" s="523"/>
      <c r="H42" s="564"/>
      <c r="I42" s="522"/>
      <c r="J42" s="361"/>
      <c r="K42" s="522"/>
      <c r="L42" s="174"/>
      <c r="O42" s="275"/>
      <c r="P42" s="136"/>
      <c r="R42" s="663"/>
      <c r="S42" s="669">
        <f t="shared" si="6"/>
        <v>27000</v>
      </c>
      <c r="T42" s="663"/>
      <c r="U42" s="670">
        <f t="shared" si="10"/>
        <v>5400</v>
      </c>
      <c r="V42" s="662">
        <f t="shared" si="7"/>
        <v>5400</v>
      </c>
      <c r="W42" s="661">
        <f t="shared" si="8"/>
        <v>5400</v>
      </c>
      <c r="X42" s="661">
        <f t="shared" si="9"/>
        <v>5400</v>
      </c>
      <c r="Y42" s="663">
        <f>ROUND(100/($B$88*100),0)</f>
        <v>5</v>
      </c>
    </row>
    <row r="43" spans="1:28" hidden="1" x14ac:dyDescent="0.35">
      <c r="A43" s="135" t="s">
        <v>329</v>
      </c>
      <c r="B43" s="136"/>
      <c r="C43" s="685"/>
      <c r="D43" s="686">
        <v>0</v>
      </c>
      <c r="E43" s="443"/>
      <c r="F43" s="652">
        <v>0</v>
      </c>
      <c r="G43" s="523"/>
      <c r="H43" s="652">
        <v>0</v>
      </c>
      <c r="I43" s="522"/>
      <c r="J43" s="652">
        <v>0</v>
      </c>
      <c r="K43" s="522"/>
      <c r="L43" s="653">
        <v>0</v>
      </c>
      <c r="O43" s="275"/>
      <c r="P43" s="136"/>
      <c r="R43" s="663"/>
      <c r="S43" s="669">
        <f t="shared" si="6"/>
        <v>24000</v>
      </c>
      <c r="T43" s="663"/>
      <c r="U43" s="670">
        <f t="shared" si="10"/>
        <v>4800</v>
      </c>
      <c r="V43" s="662">
        <f t="shared" si="7"/>
        <v>4800</v>
      </c>
      <c r="W43" s="661">
        <f t="shared" si="8"/>
        <v>4800</v>
      </c>
      <c r="X43" s="661">
        <f t="shared" si="9"/>
        <v>4800</v>
      </c>
      <c r="Y43" s="663">
        <f>ROUND(100/($B$89*100),0)</f>
        <v>5</v>
      </c>
    </row>
    <row r="44" spans="1:28" hidden="1" x14ac:dyDescent="0.35">
      <c r="A44" s="135"/>
      <c r="B44" s="136"/>
      <c r="C44" s="685"/>
      <c r="D44" s="556"/>
      <c r="E44" s="460"/>
      <c r="F44" s="290"/>
      <c r="G44" s="462"/>
      <c r="H44" s="290"/>
      <c r="I44" s="463"/>
      <c r="J44" s="290"/>
      <c r="K44" s="463"/>
      <c r="L44" s="556"/>
      <c r="O44" s="275"/>
      <c r="P44" s="136"/>
      <c r="R44" s="663"/>
      <c r="S44" s="669">
        <f t="shared" si="6"/>
        <v>78000</v>
      </c>
      <c r="T44" s="663"/>
      <c r="U44" s="670">
        <f>+S44/Y44</f>
        <v>15600</v>
      </c>
      <c r="V44" s="662">
        <f t="shared" si="7"/>
        <v>15600</v>
      </c>
      <c r="W44" s="661">
        <f t="shared" si="8"/>
        <v>15600</v>
      </c>
      <c r="X44" s="661">
        <f t="shared" si="9"/>
        <v>15600</v>
      </c>
      <c r="Y44" s="663">
        <f>ROUND(100/($B$90*100),0)</f>
        <v>5</v>
      </c>
    </row>
    <row r="45" spans="1:28" hidden="1" x14ac:dyDescent="0.35">
      <c r="A45" s="135" t="s">
        <v>141</v>
      </c>
      <c r="B45" s="136"/>
      <c r="C45" s="685"/>
      <c r="D45" s="695">
        <f>D30+D41+D43</f>
        <v>0</v>
      </c>
      <c r="E45" s="497"/>
      <c r="F45" s="361">
        <f>F30+F41+F43</f>
        <v>0</v>
      </c>
      <c r="G45" s="460"/>
      <c r="H45" s="361">
        <f>H30+H41+H43</f>
        <v>0</v>
      </c>
      <c r="I45" s="460"/>
      <c r="J45" s="361">
        <f>J30+J41+J43</f>
        <v>0</v>
      </c>
      <c r="K45" s="460"/>
      <c r="L45" s="678">
        <f>L30+L41+L43</f>
        <v>0</v>
      </c>
      <c r="M45" s="1583"/>
      <c r="O45" s="275"/>
      <c r="P45" s="136"/>
      <c r="R45" s="663"/>
      <c r="S45" s="669">
        <f t="shared" si="6"/>
        <v>0</v>
      </c>
      <c r="T45" s="663"/>
      <c r="U45" s="670" t="e">
        <f t="shared" si="10"/>
        <v>#DIV/0!</v>
      </c>
      <c r="V45" s="662" t="e">
        <f t="shared" si="7"/>
        <v>#DIV/0!</v>
      </c>
      <c r="W45" s="661" t="e">
        <f t="shared" si="8"/>
        <v>#DIV/0!</v>
      </c>
      <c r="X45" s="661" t="e">
        <f t="shared" si="9"/>
        <v>#DIV/0!</v>
      </c>
      <c r="Y45" s="663" t="e">
        <f>ROUND(100/($B$91*100),0)</f>
        <v>#DIV/0!</v>
      </c>
    </row>
    <row r="46" spans="1:28" hidden="1" x14ac:dyDescent="0.35">
      <c r="A46" s="135"/>
      <c r="B46" s="136"/>
      <c r="C46" s="685"/>
      <c r="D46" s="556"/>
      <c r="E46" s="460"/>
      <c r="F46" s="290"/>
      <c r="G46" s="462"/>
      <c r="H46" s="290"/>
      <c r="I46" s="463"/>
      <c r="J46" s="290"/>
      <c r="K46" s="463"/>
      <c r="L46" s="556"/>
      <c r="O46" s="275"/>
      <c r="P46" s="136"/>
      <c r="R46" s="663"/>
      <c r="S46" s="669">
        <f t="shared" si="6"/>
        <v>0</v>
      </c>
      <c r="T46" s="663"/>
      <c r="U46" s="670" t="e">
        <f t="shared" si="10"/>
        <v>#DIV/0!</v>
      </c>
      <c r="V46" s="662" t="e">
        <f t="shared" si="7"/>
        <v>#DIV/0!</v>
      </c>
      <c r="W46" s="661" t="e">
        <f t="shared" si="8"/>
        <v>#DIV/0!</v>
      </c>
      <c r="X46" s="661" t="e">
        <f t="shared" si="9"/>
        <v>#DIV/0!</v>
      </c>
      <c r="Y46" s="663" t="e">
        <f>ROUND(100/($B$92*100),0)</f>
        <v>#DIV/0!</v>
      </c>
    </row>
    <row r="47" spans="1:28" hidden="1" x14ac:dyDescent="0.35">
      <c r="A47" s="184"/>
      <c r="B47" s="184"/>
      <c r="C47" s="696"/>
      <c r="D47" s="697"/>
      <c r="E47" s="216"/>
      <c r="F47" s="697"/>
      <c r="G47" s="698"/>
      <c r="H47" s="697"/>
      <c r="I47" s="697"/>
      <c r="J47" s="697"/>
      <c r="K47" s="697"/>
      <c r="L47" s="697"/>
      <c r="M47" s="76"/>
      <c r="O47" s="275"/>
      <c r="P47" s="136"/>
      <c r="R47" s="668">
        <f>+H6</f>
        <v>2021</v>
      </c>
      <c r="S47" s="629">
        <f t="shared" ref="S47:S54" si="11">+H57</f>
        <v>0</v>
      </c>
      <c r="T47" s="663"/>
      <c r="U47" s="663"/>
      <c r="V47" s="670">
        <v>0</v>
      </c>
      <c r="W47" s="662">
        <f t="shared" ref="W47:W54" si="12">IF($Y47&gt;=2,$S47/$Y47,0)</f>
        <v>0</v>
      </c>
      <c r="X47" s="661">
        <f t="shared" ref="X47:X54" si="13">IF($Y47&gt;=3,$S47/$Y47,0)</f>
        <v>0</v>
      </c>
      <c r="Y47" s="699"/>
    </row>
    <row r="48" spans="1:28" s="141" customFormat="1" ht="16.2" x14ac:dyDescent="0.35">
      <c r="A48" s="1093" t="s">
        <v>1243</v>
      </c>
      <c r="B48" s="1094"/>
      <c r="C48" s="1094"/>
      <c r="D48" s="995"/>
      <c r="E48" s="1095"/>
      <c r="F48" s="1095"/>
      <c r="G48" s="1095"/>
      <c r="H48" s="1096"/>
      <c r="I48" s="1095"/>
      <c r="J48" s="1095"/>
      <c r="K48" s="1095"/>
      <c r="L48" s="1097"/>
      <c r="M48" s="1582"/>
      <c r="O48" s="700"/>
      <c r="P48" s="701"/>
      <c r="Q48" s="45"/>
      <c r="R48" s="663"/>
      <c r="S48" s="629">
        <f t="shared" si="11"/>
        <v>0</v>
      </c>
      <c r="T48" s="663"/>
      <c r="U48" s="663"/>
      <c r="V48" s="670">
        <f t="shared" ref="V48:V54" si="14">+S48/Y48</f>
        <v>0</v>
      </c>
      <c r="W48" s="662">
        <f t="shared" si="12"/>
        <v>0</v>
      </c>
      <c r="X48" s="661">
        <f t="shared" si="13"/>
        <v>0</v>
      </c>
      <c r="Y48" s="663">
        <f>ROUND(100/($B$86*100),0)</f>
        <v>20</v>
      </c>
      <c r="Z48" s="45"/>
      <c r="AA48" s="45"/>
      <c r="AB48" s="45"/>
    </row>
    <row r="49" spans="1:28" x14ac:dyDescent="0.35">
      <c r="A49" s="147"/>
      <c r="B49" s="148"/>
      <c r="C49" s="641" t="s">
        <v>117</v>
      </c>
      <c r="D49" s="537"/>
      <c r="E49" s="534"/>
      <c r="F49" s="534"/>
      <c r="G49" s="534"/>
      <c r="H49" s="534"/>
      <c r="I49" s="534"/>
      <c r="J49" s="534"/>
      <c r="K49" s="1123"/>
      <c r="L49" s="537"/>
      <c r="R49" s="663"/>
      <c r="S49" s="629">
        <f t="shared" si="11"/>
        <v>0</v>
      </c>
      <c r="T49" s="663"/>
      <c r="U49" s="663"/>
      <c r="V49" s="670">
        <f t="shared" si="14"/>
        <v>0</v>
      </c>
      <c r="W49" s="662">
        <f t="shared" si="12"/>
        <v>0</v>
      </c>
      <c r="X49" s="661">
        <f t="shared" si="13"/>
        <v>0</v>
      </c>
      <c r="Y49" s="663">
        <f>ROUND(100/($B$87*100),0)</f>
        <v>3</v>
      </c>
    </row>
    <row r="50" spans="1:28" x14ac:dyDescent="0.35">
      <c r="A50" s="135" t="s">
        <v>131</v>
      </c>
      <c r="B50" s="136"/>
      <c r="C50" s="641" t="s">
        <v>118</v>
      </c>
      <c r="D50" s="353"/>
      <c r="E50" s="469"/>
      <c r="F50" s="352"/>
      <c r="G50" s="469"/>
      <c r="H50" s="352"/>
      <c r="I50" s="469"/>
      <c r="J50" s="352"/>
      <c r="K50" s="469"/>
      <c r="L50" s="353"/>
      <c r="R50" s="663"/>
      <c r="S50" s="629">
        <f t="shared" si="11"/>
        <v>0</v>
      </c>
      <c r="T50" s="663"/>
      <c r="U50" s="663"/>
      <c r="V50" s="670">
        <f t="shared" si="14"/>
        <v>0</v>
      </c>
      <c r="W50" s="662">
        <f t="shared" si="12"/>
        <v>0</v>
      </c>
      <c r="X50" s="661">
        <f t="shared" si="13"/>
        <v>0</v>
      </c>
      <c r="Y50" s="663">
        <f>ROUND(100/($B$88*100),0)</f>
        <v>5</v>
      </c>
    </row>
    <row r="51" spans="1:28" x14ac:dyDescent="0.35">
      <c r="A51" s="135" t="s">
        <v>336</v>
      </c>
      <c r="B51" s="136"/>
      <c r="C51" s="702">
        <v>0</v>
      </c>
      <c r="D51" s="258">
        <v>16129</v>
      </c>
      <c r="E51" s="469"/>
      <c r="F51" s="234">
        <v>0</v>
      </c>
      <c r="G51" s="469"/>
      <c r="H51" s="234">
        <v>0</v>
      </c>
      <c r="I51" s="469"/>
      <c r="J51" s="234">
        <v>0</v>
      </c>
      <c r="K51" s="469"/>
      <c r="L51" s="250">
        <v>0</v>
      </c>
      <c r="R51" s="663"/>
      <c r="S51" s="629">
        <f t="shared" si="11"/>
        <v>0</v>
      </c>
      <c r="T51" s="663"/>
      <c r="U51" s="663"/>
      <c r="V51" s="670">
        <f t="shared" si="14"/>
        <v>0</v>
      </c>
      <c r="W51" s="662">
        <f t="shared" si="12"/>
        <v>0</v>
      </c>
      <c r="X51" s="661">
        <f t="shared" si="13"/>
        <v>0</v>
      </c>
      <c r="Y51" s="663">
        <f>ROUND(100/($B$89*100),0)</f>
        <v>5</v>
      </c>
    </row>
    <row r="52" spans="1:28" x14ac:dyDescent="0.35">
      <c r="A52" s="135" t="s">
        <v>335</v>
      </c>
      <c r="B52" s="171"/>
      <c r="C52" s="702">
        <v>0</v>
      </c>
      <c r="D52" s="249">
        <v>16129</v>
      </c>
      <c r="E52" s="469"/>
      <c r="F52" s="234">
        <v>0</v>
      </c>
      <c r="G52" s="469"/>
      <c r="H52" s="234">
        <v>0</v>
      </c>
      <c r="I52" s="469"/>
      <c r="J52" s="234">
        <v>0</v>
      </c>
      <c r="K52" s="469"/>
      <c r="L52" s="250">
        <v>0</v>
      </c>
      <c r="R52" s="663"/>
      <c r="S52" s="629">
        <f t="shared" si="11"/>
        <v>0</v>
      </c>
      <c r="T52" s="663"/>
      <c r="U52" s="663"/>
      <c r="V52" s="670">
        <f>+S52/Y52</f>
        <v>0</v>
      </c>
      <c r="W52" s="662">
        <f t="shared" si="12"/>
        <v>0</v>
      </c>
      <c r="X52" s="661">
        <f t="shared" si="13"/>
        <v>0</v>
      </c>
      <c r="Y52" s="663">
        <f>ROUND(100/($B$90*100),0)</f>
        <v>5</v>
      </c>
    </row>
    <row r="53" spans="1:28" x14ac:dyDescent="0.35">
      <c r="A53" s="135" t="s">
        <v>234</v>
      </c>
      <c r="B53" s="171"/>
      <c r="C53" s="703">
        <v>0</v>
      </c>
      <c r="D53" s="251">
        <v>0</v>
      </c>
      <c r="E53" s="469"/>
      <c r="F53" s="396">
        <v>0</v>
      </c>
      <c r="G53" s="469"/>
      <c r="H53" s="396">
        <v>0</v>
      </c>
      <c r="I53" s="469"/>
      <c r="J53" s="396">
        <v>0</v>
      </c>
      <c r="K53" s="469"/>
      <c r="L53" s="394">
        <v>0</v>
      </c>
      <c r="R53" s="663"/>
      <c r="S53" s="629">
        <f t="shared" si="11"/>
        <v>0</v>
      </c>
      <c r="T53" s="663"/>
      <c r="U53" s="663"/>
      <c r="V53" s="670" t="e">
        <f t="shared" si="14"/>
        <v>#DIV/0!</v>
      </c>
      <c r="W53" s="662" t="e">
        <f t="shared" si="12"/>
        <v>#DIV/0!</v>
      </c>
      <c r="X53" s="661" t="e">
        <f t="shared" si="13"/>
        <v>#DIV/0!</v>
      </c>
      <c r="Y53" s="663" t="e">
        <f>ROUND(100/($B$91*100),0)</f>
        <v>#DIV/0!</v>
      </c>
    </row>
    <row r="54" spans="1:28" x14ac:dyDescent="0.35">
      <c r="A54" s="135" t="s">
        <v>1239</v>
      </c>
      <c r="B54" s="136"/>
      <c r="C54" s="352">
        <f>SUM(C51:C53)</f>
        <v>0</v>
      </c>
      <c r="D54" s="704">
        <f>SUM(D51:D53)</f>
        <v>32258</v>
      </c>
      <c r="E54" s="488"/>
      <c r="F54" s="357">
        <f>SUM(F51:F53)</f>
        <v>0</v>
      </c>
      <c r="G54" s="488"/>
      <c r="H54" s="357">
        <f>SUM(H51:H53)</f>
        <v>0</v>
      </c>
      <c r="I54" s="488"/>
      <c r="J54" s="357">
        <f>SUM(J51:J53)</f>
        <v>0</v>
      </c>
      <c r="K54" s="488"/>
      <c r="L54" s="332">
        <f>SUM(L51:L53)</f>
        <v>0</v>
      </c>
      <c r="R54" s="663"/>
      <c r="S54" s="629">
        <f t="shared" si="11"/>
        <v>0</v>
      </c>
      <c r="T54" s="663"/>
      <c r="U54" s="663"/>
      <c r="V54" s="670" t="e">
        <f t="shared" si="14"/>
        <v>#DIV/0!</v>
      </c>
      <c r="W54" s="662" t="e">
        <f t="shared" si="12"/>
        <v>#DIV/0!</v>
      </c>
      <c r="X54" s="661" t="e">
        <f t="shared" si="13"/>
        <v>#DIV/0!</v>
      </c>
      <c r="Y54" s="663" t="e">
        <f>ROUND(100/($B$92*100),0)</f>
        <v>#DIV/0!</v>
      </c>
    </row>
    <row r="55" spans="1:28" x14ac:dyDescent="0.35">
      <c r="A55" s="263"/>
      <c r="B55" s="136"/>
      <c r="C55" s="352"/>
      <c r="D55" s="353"/>
      <c r="E55" s="469"/>
      <c r="F55" s="352"/>
      <c r="G55" s="469"/>
      <c r="H55" s="352"/>
      <c r="I55" s="469"/>
      <c r="J55" s="352"/>
      <c r="K55" s="469"/>
      <c r="L55" s="353"/>
      <c r="R55" s="668">
        <f>+J6</f>
        <v>2022</v>
      </c>
      <c r="S55" s="629">
        <f>+J57</f>
        <v>0</v>
      </c>
      <c r="T55" s="663"/>
      <c r="U55" s="663"/>
      <c r="V55" s="663"/>
      <c r="W55" s="670">
        <v>0</v>
      </c>
      <c r="X55" s="662">
        <f>IF($Y55&gt;=2,$S55/$Y55,0)</f>
        <v>0</v>
      </c>
      <c r="Y55" s="699"/>
    </row>
    <row r="56" spans="1:28" s="136" customFormat="1" x14ac:dyDescent="0.35">
      <c r="A56" s="135" t="s">
        <v>1240</v>
      </c>
      <c r="C56" s="352"/>
      <c r="D56" s="353"/>
      <c r="E56" s="469"/>
      <c r="F56" s="352"/>
      <c r="G56" s="469"/>
      <c r="H56" s="352"/>
      <c r="I56" s="469"/>
      <c r="J56" s="352"/>
      <c r="K56" s="469"/>
      <c r="L56" s="353"/>
      <c r="M56" s="76"/>
      <c r="Q56" s="45"/>
      <c r="R56" s="705"/>
      <c r="S56" s="629"/>
      <c r="T56" s="663"/>
      <c r="U56" s="663"/>
      <c r="V56" s="663"/>
      <c r="W56" s="663"/>
      <c r="X56" s="663"/>
      <c r="Y56" s="663"/>
      <c r="Z56" s="45"/>
      <c r="AA56" s="45"/>
      <c r="AB56" s="45"/>
    </row>
    <row r="57" spans="1:28" x14ac:dyDescent="0.35">
      <c r="A57" s="656" t="s">
        <v>133</v>
      </c>
      <c r="B57" s="136"/>
      <c r="C57" s="702">
        <v>0</v>
      </c>
      <c r="D57" s="258">
        <v>0</v>
      </c>
      <c r="E57" s="469"/>
      <c r="F57" s="234">
        <v>0</v>
      </c>
      <c r="G57" s="469"/>
      <c r="H57" s="234">
        <v>0</v>
      </c>
      <c r="I57" s="469"/>
      <c r="J57" s="234">
        <v>0</v>
      </c>
      <c r="K57" s="469"/>
      <c r="L57" s="250">
        <v>0</v>
      </c>
      <c r="R57" s="663"/>
      <c r="S57" s="629">
        <f t="shared" ref="S57:S63" si="15">+J58</f>
        <v>0</v>
      </c>
      <c r="T57" s="663"/>
      <c r="U57" s="663"/>
      <c r="V57" s="663"/>
      <c r="W57" s="670">
        <f t="shared" ref="W57:W63" si="16">+S57/Y57</f>
        <v>0</v>
      </c>
      <c r="X57" s="662">
        <f t="shared" ref="X57:X63" si="17">IF($Y57&gt;=2,$S57/$Y57,0)</f>
        <v>0</v>
      </c>
      <c r="Y57" s="663">
        <f>ROUND(100/($B$86*100),0)</f>
        <v>20</v>
      </c>
    </row>
    <row r="58" spans="1:28" x14ac:dyDescent="0.35">
      <c r="A58" s="656" t="s">
        <v>134</v>
      </c>
      <c r="B58" s="136"/>
      <c r="C58" s="702">
        <v>0</v>
      </c>
      <c r="D58" s="249">
        <v>80000</v>
      </c>
      <c r="E58" s="469"/>
      <c r="F58" s="234">
        <v>240000</v>
      </c>
      <c r="G58" s="469"/>
      <c r="H58" s="234">
        <v>0</v>
      </c>
      <c r="I58" s="469"/>
      <c r="J58" s="234">
        <v>0</v>
      </c>
      <c r="K58" s="469"/>
      <c r="L58" s="250">
        <v>0</v>
      </c>
      <c r="R58" s="663"/>
      <c r="S58" s="629">
        <f t="shared" si="15"/>
        <v>0</v>
      </c>
      <c r="T58" s="663"/>
      <c r="U58" s="663"/>
      <c r="V58" s="663"/>
      <c r="W58" s="670">
        <f t="shared" si="16"/>
        <v>0</v>
      </c>
      <c r="X58" s="662">
        <f t="shared" si="17"/>
        <v>0</v>
      </c>
      <c r="Y58" s="663">
        <f>ROUND(100/($B$87*100),0)</f>
        <v>3</v>
      </c>
    </row>
    <row r="59" spans="1:28" x14ac:dyDescent="0.35">
      <c r="A59" s="656" t="s">
        <v>386</v>
      </c>
      <c r="B59" s="136"/>
      <c r="C59" s="702">
        <v>0</v>
      </c>
      <c r="D59" s="249">
        <v>40000</v>
      </c>
      <c r="E59" s="469"/>
      <c r="F59" s="234">
        <v>120000</v>
      </c>
      <c r="G59" s="469"/>
      <c r="H59" s="234">
        <v>0</v>
      </c>
      <c r="I59" s="469"/>
      <c r="J59" s="234">
        <v>0</v>
      </c>
      <c r="K59" s="469"/>
      <c r="L59" s="250">
        <v>0</v>
      </c>
      <c r="R59" s="663"/>
      <c r="S59" s="629">
        <f t="shared" si="15"/>
        <v>0</v>
      </c>
      <c r="T59" s="663"/>
      <c r="U59" s="663"/>
      <c r="V59" s="663"/>
      <c r="W59" s="670">
        <f t="shared" si="16"/>
        <v>0</v>
      </c>
      <c r="X59" s="662">
        <f t="shared" si="17"/>
        <v>0</v>
      </c>
      <c r="Y59" s="663">
        <f>ROUND(100/($B$88*100),0)</f>
        <v>5</v>
      </c>
    </row>
    <row r="60" spans="1:28" x14ac:dyDescent="0.35">
      <c r="A60" s="656" t="s">
        <v>136</v>
      </c>
      <c r="B60" s="136"/>
      <c r="C60" s="702">
        <v>0</v>
      </c>
      <c r="D60" s="249">
        <v>9000</v>
      </c>
      <c r="E60" s="469"/>
      <c r="F60" s="234">
        <v>27000</v>
      </c>
      <c r="G60" s="469"/>
      <c r="H60" s="234">
        <v>0</v>
      </c>
      <c r="I60" s="469"/>
      <c r="J60" s="234">
        <v>0</v>
      </c>
      <c r="K60" s="469"/>
      <c r="L60" s="250">
        <v>0</v>
      </c>
      <c r="R60" s="663"/>
      <c r="S60" s="629">
        <f t="shared" si="15"/>
        <v>0</v>
      </c>
      <c r="T60" s="663"/>
      <c r="U60" s="663"/>
      <c r="V60" s="663"/>
      <c r="W60" s="670">
        <f t="shared" si="16"/>
        <v>0</v>
      </c>
      <c r="X60" s="662">
        <f t="shared" si="17"/>
        <v>0</v>
      </c>
      <c r="Y60" s="663">
        <f>ROUND(100/($B$89*100),0)</f>
        <v>5</v>
      </c>
    </row>
    <row r="61" spans="1:28" x14ac:dyDescent="0.35">
      <c r="A61" s="656" t="s">
        <v>137</v>
      </c>
      <c r="B61" s="136"/>
      <c r="C61" s="702">
        <v>0</v>
      </c>
      <c r="D61" s="249">
        <v>8000</v>
      </c>
      <c r="E61" s="469"/>
      <c r="F61" s="234">
        <v>24000</v>
      </c>
      <c r="G61" s="469"/>
      <c r="H61" s="234">
        <v>0</v>
      </c>
      <c r="I61" s="469"/>
      <c r="J61" s="234">
        <v>0</v>
      </c>
      <c r="K61" s="469"/>
      <c r="L61" s="250">
        <v>0</v>
      </c>
      <c r="R61" s="663"/>
      <c r="S61" s="629">
        <f>+J62</f>
        <v>0</v>
      </c>
      <c r="T61" s="663"/>
      <c r="U61" s="663"/>
      <c r="V61" s="663"/>
      <c r="W61" s="670">
        <f>+S61/Y61</f>
        <v>0</v>
      </c>
      <c r="X61" s="662">
        <f t="shared" si="17"/>
        <v>0</v>
      </c>
      <c r="Y61" s="663">
        <f>ROUND(100/($B$90*100),0)</f>
        <v>5</v>
      </c>
    </row>
    <row r="62" spans="1:28" x14ac:dyDescent="0.35">
      <c r="A62" s="656" t="s">
        <v>229</v>
      </c>
      <c r="B62" s="136"/>
      <c r="C62" s="702">
        <v>0</v>
      </c>
      <c r="D62" s="249">
        <v>26000</v>
      </c>
      <c r="E62" s="469"/>
      <c r="F62" s="234">
        <v>78000</v>
      </c>
      <c r="G62" s="469"/>
      <c r="H62" s="234">
        <v>0</v>
      </c>
      <c r="I62" s="469"/>
      <c r="J62" s="234">
        <v>0</v>
      </c>
      <c r="K62" s="469"/>
      <c r="L62" s="250">
        <v>0</v>
      </c>
      <c r="R62" s="663"/>
      <c r="S62" s="629"/>
      <c r="T62" s="663"/>
      <c r="U62" s="663"/>
      <c r="V62" s="663"/>
      <c r="W62" s="670"/>
      <c r="X62" s="662"/>
      <c r="Y62" s="663"/>
    </row>
    <row r="63" spans="1:28" x14ac:dyDescent="0.35">
      <c r="A63" s="135" t="s">
        <v>138</v>
      </c>
      <c r="B63" s="136"/>
      <c r="C63" s="702">
        <v>0</v>
      </c>
      <c r="D63" s="249">
        <v>0</v>
      </c>
      <c r="E63" s="469"/>
      <c r="F63" s="234">
        <v>0</v>
      </c>
      <c r="G63" s="469"/>
      <c r="H63" s="234">
        <v>0</v>
      </c>
      <c r="I63" s="469"/>
      <c r="J63" s="234">
        <v>0</v>
      </c>
      <c r="K63" s="469"/>
      <c r="L63" s="250">
        <v>0</v>
      </c>
      <c r="R63" s="663"/>
      <c r="S63" s="629">
        <f t="shared" si="15"/>
        <v>0</v>
      </c>
      <c r="T63" s="663"/>
      <c r="U63" s="663"/>
      <c r="V63" s="663"/>
      <c r="W63" s="670" t="e">
        <f t="shared" si="16"/>
        <v>#DIV/0!</v>
      </c>
      <c r="X63" s="662" t="e">
        <f t="shared" si="17"/>
        <v>#DIV/0!</v>
      </c>
      <c r="Y63" s="663" t="e">
        <f>ROUND(100/($B$92*100),0)</f>
        <v>#DIV/0!</v>
      </c>
    </row>
    <row r="64" spans="1:28" x14ac:dyDescent="0.35">
      <c r="A64" s="135" t="s">
        <v>139</v>
      </c>
      <c r="B64" s="136"/>
      <c r="C64" s="703">
        <v>0</v>
      </c>
      <c r="D64" s="251">
        <v>0</v>
      </c>
      <c r="E64" s="469"/>
      <c r="F64" s="396">
        <v>0</v>
      </c>
      <c r="G64" s="469"/>
      <c r="H64" s="396">
        <v>0</v>
      </c>
      <c r="I64" s="469"/>
      <c r="J64" s="396">
        <v>0</v>
      </c>
      <c r="K64" s="469"/>
      <c r="L64" s="394">
        <v>0</v>
      </c>
      <c r="R64" s="674">
        <f>+L6</f>
        <v>2023</v>
      </c>
      <c r="S64" s="629">
        <f>+L57</f>
        <v>0</v>
      </c>
      <c r="T64" s="663"/>
      <c r="U64" s="663"/>
      <c r="V64" s="663"/>
      <c r="W64" s="663"/>
      <c r="X64" s="675">
        <v>0</v>
      </c>
      <c r="Y64" s="699"/>
    </row>
    <row r="65" spans="1:28" x14ac:dyDescent="0.35">
      <c r="A65" s="656" t="s">
        <v>140</v>
      </c>
      <c r="B65" s="136"/>
      <c r="C65" s="352">
        <f>SUM(C57:C64)</f>
        <v>0</v>
      </c>
      <c r="D65" s="706">
        <f>SUM(D57:D64)</f>
        <v>163000</v>
      </c>
      <c r="E65" s="469"/>
      <c r="F65" s="352">
        <f>SUM(F57:F64)</f>
        <v>489000</v>
      </c>
      <c r="G65" s="469"/>
      <c r="H65" s="352">
        <f>SUM(H57:H64)</f>
        <v>0</v>
      </c>
      <c r="I65" s="469"/>
      <c r="J65" s="352">
        <f>SUM(J57:J64)</f>
        <v>0</v>
      </c>
      <c r="K65" s="469"/>
      <c r="L65" s="353">
        <f>SUM(L57:L64)</f>
        <v>0</v>
      </c>
      <c r="R65" s="679"/>
      <c r="S65" s="629"/>
      <c r="T65" s="663"/>
      <c r="U65" s="663"/>
      <c r="V65" s="663"/>
      <c r="W65" s="663"/>
      <c r="X65" s="675"/>
      <c r="Y65" s="663"/>
    </row>
    <row r="66" spans="1:28" x14ac:dyDescent="0.35">
      <c r="A66" s="135"/>
      <c r="B66" s="136"/>
      <c r="C66" s="352"/>
      <c r="D66" s="353"/>
      <c r="E66" s="469"/>
      <c r="F66" s="352"/>
      <c r="G66" s="469"/>
      <c r="H66" s="352"/>
      <c r="I66" s="469"/>
      <c r="J66" s="352"/>
      <c r="K66" s="469"/>
      <c r="L66" s="353"/>
      <c r="R66" s="663"/>
      <c r="S66" s="629">
        <f t="shared" ref="S66:S72" si="18">+L58</f>
        <v>0</v>
      </c>
      <c r="T66" s="663"/>
      <c r="U66" s="663"/>
      <c r="V66" s="663"/>
      <c r="W66" s="663"/>
      <c r="X66" s="675">
        <f t="shared" ref="X66:X72" si="19">+S66/Y66</f>
        <v>0</v>
      </c>
      <c r="Y66" s="663">
        <f>ROUND(100/($B$86*100),0)</f>
        <v>20</v>
      </c>
    </row>
    <row r="67" spans="1:28" s="136" customFormat="1" x14ac:dyDescent="0.35">
      <c r="A67" s="135" t="s">
        <v>329</v>
      </c>
      <c r="C67" s="352"/>
      <c r="D67" s="353"/>
      <c r="E67" s="469"/>
      <c r="F67" s="352"/>
      <c r="G67" s="469"/>
      <c r="H67" s="352"/>
      <c r="I67" s="469"/>
      <c r="J67" s="352"/>
      <c r="K67" s="469"/>
      <c r="L67" s="353"/>
      <c r="M67" s="76"/>
      <c r="Q67" s="45"/>
      <c r="R67" s="663"/>
      <c r="S67" s="629">
        <f t="shared" si="18"/>
        <v>0</v>
      </c>
      <c r="T67" s="663"/>
      <c r="U67" s="663"/>
      <c r="V67" s="663"/>
      <c r="W67" s="663"/>
      <c r="X67" s="675">
        <f t="shared" si="19"/>
        <v>0</v>
      </c>
      <c r="Y67" s="663">
        <f>ROUND(100/($B$87*100),0)</f>
        <v>3</v>
      </c>
      <c r="Z67" s="45"/>
      <c r="AA67" s="45"/>
      <c r="AB67" s="45"/>
    </row>
    <row r="68" spans="1:28" x14ac:dyDescent="0.35">
      <c r="A68" s="135" t="s">
        <v>337</v>
      </c>
      <c r="B68" s="136"/>
      <c r="C68" s="702">
        <v>0</v>
      </c>
      <c r="D68" s="707">
        <v>0</v>
      </c>
      <c r="E68" s="469"/>
      <c r="F68" s="234">
        <v>0</v>
      </c>
      <c r="G68" s="469"/>
      <c r="H68" s="234">
        <v>0</v>
      </c>
      <c r="I68" s="469"/>
      <c r="J68" s="234">
        <v>0</v>
      </c>
      <c r="K68" s="469"/>
      <c r="L68" s="250">
        <v>0</v>
      </c>
      <c r="R68" s="663"/>
      <c r="S68" s="629">
        <f t="shared" si="18"/>
        <v>0</v>
      </c>
      <c r="T68" s="663"/>
      <c r="U68" s="663"/>
      <c r="V68" s="663"/>
      <c r="W68" s="663"/>
      <c r="X68" s="675">
        <f t="shared" si="19"/>
        <v>0</v>
      </c>
      <c r="Y68" s="663">
        <f>ROUND(100/($B$88*100),0)</f>
        <v>5</v>
      </c>
    </row>
    <row r="69" spans="1:28" x14ac:dyDescent="0.35">
      <c r="A69" s="135"/>
      <c r="B69" s="136"/>
      <c r="C69" s="352"/>
      <c r="D69" s="353"/>
      <c r="E69" s="469"/>
      <c r="F69" s="352"/>
      <c r="G69" s="469"/>
      <c r="H69" s="352"/>
      <c r="I69" s="469"/>
      <c r="J69" s="352"/>
      <c r="K69" s="469"/>
      <c r="L69" s="353"/>
      <c r="R69" s="663"/>
      <c r="S69" s="629">
        <f t="shared" si="18"/>
        <v>0</v>
      </c>
      <c r="T69" s="663"/>
      <c r="U69" s="663"/>
      <c r="V69" s="663"/>
      <c r="W69" s="663"/>
      <c r="X69" s="675">
        <f t="shared" si="19"/>
        <v>0</v>
      </c>
      <c r="Y69" s="663">
        <f>ROUND(100/($B$89*100),0)</f>
        <v>5</v>
      </c>
    </row>
    <row r="70" spans="1:28" s="136" customFormat="1" x14ac:dyDescent="0.35">
      <c r="A70" s="135" t="s">
        <v>385</v>
      </c>
      <c r="C70" s="352"/>
      <c r="D70" s="353"/>
      <c r="E70" s="469"/>
      <c r="F70" s="352"/>
      <c r="G70" s="469"/>
      <c r="H70" s="352"/>
      <c r="I70" s="469"/>
      <c r="J70" s="352"/>
      <c r="K70" s="469"/>
      <c r="L70" s="353"/>
      <c r="M70" s="76"/>
      <c r="Q70" s="45"/>
      <c r="R70" s="663"/>
      <c r="S70" s="629">
        <f t="shared" si="18"/>
        <v>0</v>
      </c>
      <c r="T70" s="663"/>
      <c r="U70" s="663"/>
      <c r="V70" s="663"/>
      <c r="W70" s="663"/>
      <c r="X70" s="675">
        <f>+S70/Y70</f>
        <v>0</v>
      </c>
      <c r="Y70" s="663">
        <f>ROUND(100/($B$90*100),0)</f>
        <v>5</v>
      </c>
      <c r="Z70" s="45"/>
      <c r="AA70" s="45"/>
      <c r="AB70" s="45"/>
    </row>
    <row r="71" spans="1:28" x14ac:dyDescent="0.35">
      <c r="A71" s="135" t="s">
        <v>349</v>
      </c>
      <c r="B71" s="136"/>
      <c r="C71" s="357">
        <f>'7.2.2 Turnover Parts'!C71</f>
        <v>50000</v>
      </c>
      <c r="D71" s="353">
        <f>'7.2.2 Turnover Parts'!C73</f>
        <v>23523.964062023777</v>
      </c>
      <c r="E71" s="1677"/>
      <c r="F71" s="684">
        <f ca="1">'7.2.2 Turnover Parts'!E73</f>
        <v>127936.35748710025</v>
      </c>
      <c r="G71" s="1677"/>
      <c r="H71" s="684">
        <f ca="1">'7.2.2 Turnover Parts'!G73</f>
        <v>75124.730629114318</v>
      </c>
      <c r="I71" s="1677"/>
      <c r="J71" s="684">
        <f ca="1">'7.2.2 Turnover Parts'!I73</f>
        <v>106483.06049978756</v>
      </c>
      <c r="K71" s="1677"/>
      <c r="L71" s="353">
        <f ca="1">'7.2.2 Turnover Parts'!K73</f>
        <v>132152.88059815165</v>
      </c>
      <c r="R71" s="663"/>
      <c r="S71" s="629">
        <f t="shared" si="18"/>
        <v>0</v>
      </c>
      <c r="T71" s="663"/>
      <c r="U71" s="663"/>
      <c r="V71" s="663"/>
      <c r="W71" s="663"/>
      <c r="X71" s="675" t="e">
        <f t="shared" si="19"/>
        <v>#DIV/0!</v>
      </c>
      <c r="Y71" s="663" t="e">
        <f>ROUND(100/($B$91*100),0)</f>
        <v>#DIV/0!</v>
      </c>
    </row>
    <row r="72" spans="1:28" x14ac:dyDescent="0.35">
      <c r="A72" s="135" t="s">
        <v>350</v>
      </c>
      <c r="B72" s="136"/>
      <c r="C72" s="357">
        <f>'7.2.1 Turnover Vehicles'!C53</f>
        <v>0</v>
      </c>
      <c r="D72" s="353">
        <f>'7.2.1 Turnover Vehicles'!C55</f>
        <v>0</v>
      </c>
      <c r="E72" s="488"/>
      <c r="F72" s="684">
        <f>'7.2.1 Turnover Vehicles'!E55</f>
        <v>0</v>
      </c>
      <c r="G72" s="488"/>
      <c r="H72" s="684">
        <f>'7.2.1 Turnover Vehicles'!G55</f>
        <v>0</v>
      </c>
      <c r="I72" s="488"/>
      <c r="J72" s="684">
        <f>'7.2.1 Turnover Vehicles'!I55</f>
        <v>0</v>
      </c>
      <c r="K72" s="488"/>
      <c r="L72" s="353">
        <f>'7.2.1 Turnover Vehicles'!K55</f>
        <v>0</v>
      </c>
      <c r="M72" s="1584"/>
      <c r="R72" s="663"/>
      <c r="S72" s="629">
        <f t="shared" si="18"/>
        <v>0</v>
      </c>
      <c r="T72" s="663"/>
      <c r="U72" s="663"/>
      <c r="V72" s="663"/>
      <c r="W72" s="663"/>
      <c r="X72" s="675" t="e">
        <f t="shared" si="19"/>
        <v>#DIV/0!</v>
      </c>
      <c r="Y72" s="663" t="e">
        <f>ROUND(100/($B$92*100),0)</f>
        <v>#DIV/0!</v>
      </c>
    </row>
    <row r="73" spans="1:28" x14ac:dyDescent="0.35">
      <c r="A73" s="145"/>
      <c r="B73" s="146"/>
      <c r="C73" s="369"/>
      <c r="D73" s="368"/>
      <c r="E73" s="474"/>
      <c r="F73" s="369"/>
      <c r="G73" s="474"/>
      <c r="H73" s="369"/>
      <c r="I73" s="474"/>
      <c r="J73" s="369"/>
      <c r="K73" s="474"/>
      <c r="L73" s="368"/>
      <c r="R73" s="663"/>
      <c r="S73" s="629"/>
      <c r="T73" s="663"/>
      <c r="U73" s="663"/>
      <c r="V73" s="663"/>
      <c r="W73" s="663"/>
      <c r="X73" s="675"/>
      <c r="Y73" s="663"/>
    </row>
    <row r="74" spans="1:28" x14ac:dyDescent="0.35">
      <c r="A74" s="147"/>
      <c r="B74" s="148"/>
      <c r="C74" s="534"/>
      <c r="D74" s="537"/>
      <c r="E74" s="1123"/>
      <c r="F74" s="534"/>
      <c r="G74" s="1123"/>
      <c r="H74" s="534"/>
      <c r="I74" s="1123"/>
      <c r="J74" s="534"/>
      <c r="K74" s="1123"/>
      <c r="L74" s="537"/>
      <c r="R74" s="663"/>
      <c r="S74" s="708" t="s">
        <v>148</v>
      </c>
      <c r="T74" s="247" t="e">
        <f>SUM(T31:T38)</f>
        <v>#DIV/0!</v>
      </c>
      <c r="U74" s="247" t="e">
        <f>SUM(U31:U46)</f>
        <v>#DIV/0!</v>
      </c>
      <c r="V74" s="680" t="e">
        <f>SUM(W31:W54)</f>
        <v>#DIV/0!</v>
      </c>
      <c r="W74" s="247" t="e">
        <f>SUM(W31:W63)</f>
        <v>#DIV/0!</v>
      </c>
      <c r="X74" s="247" t="e">
        <f>SUM(X31:X72)</f>
        <v>#DIV/0!</v>
      </c>
      <c r="Y74" s="663"/>
    </row>
    <row r="75" spans="1:28" s="255" customFormat="1" x14ac:dyDescent="0.35">
      <c r="A75" s="263" t="s">
        <v>125</v>
      </c>
      <c r="B75" s="164"/>
      <c r="C75" s="412">
        <f>C54+C65+C68+C71+C72</f>
        <v>50000</v>
      </c>
      <c r="D75" s="259">
        <f>D54+D65+D68+D71+D72</f>
        <v>218781.96406202379</v>
      </c>
      <c r="E75" s="493"/>
      <c r="F75" s="412">
        <f ca="1">F54+F65+F68+F71+F72</f>
        <v>616936.35748710029</v>
      </c>
      <c r="G75" s="493"/>
      <c r="H75" s="412">
        <f ca="1">H54+H65+H68+H71+H72</f>
        <v>75124.730629114318</v>
      </c>
      <c r="I75" s="493"/>
      <c r="J75" s="412">
        <f ca="1">J54+J65+J68+J71+J72</f>
        <v>106483.06049978756</v>
      </c>
      <c r="K75" s="493"/>
      <c r="L75" s="411">
        <f ca="1">L54+L65+L68+L71+L72</f>
        <v>132152.88059815165</v>
      </c>
      <c r="M75" s="1564"/>
      <c r="Q75" s="684"/>
      <c r="R75" s="45"/>
      <c r="S75" s="45"/>
      <c r="T75" s="45"/>
      <c r="U75" s="45"/>
      <c r="V75" s="683"/>
      <c r="W75" s="45"/>
      <c r="X75" s="45"/>
      <c r="Y75" s="45"/>
      <c r="Z75" s="45"/>
      <c r="AA75" s="45"/>
      <c r="AB75" s="45"/>
    </row>
    <row r="76" spans="1:28" s="136" customFormat="1" x14ac:dyDescent="0.35">
      <c r="A76" s="145"/>
      <c r="B76" s="146"/>
      <c r="C76" s="146"/>
      <c r="D76" s="368"/>
      <c r="E76" s="474"/>
      <c r="F76" s="369"/>
      <c r="G76" s="474"/>
      <c r="H76" s="369"/>
      <c r="I76" s="474"/>
      <c r="J76" s="369"/>
      <c r="K76" s="474"/>
      <c r="L76" s="368"/>
      <c r="M76" s="76"/>
      <c r="Q76" s="45"/>
      <c r="R76" s="45"/>
      <c r="S76" s="45"/>
      <c r="T76" s="45"/>
      <c r="U76" s="45"/>
      <c r="V76" s="45"/>
      <c r="W76" s="45"/>
      <c r="X76" s="45"/>
      <c r="Y76" s="45"/>
      <c r="Z76" s="45"/>
      <c r="AA76" s="45"/>
      <c r="AB76" s="45"/>
    </row>
    <row r="77" spans="1:28" s="136" customFormat="1" x14ac:dyDescent="0.35">
      <c r="D77" s="352"/>
      <c r="E77" s="352"/>
      <c r="F77" s="352"/>
      <c r="G77" s="352"/>
      <c r="H77" s="352"/>
      <c r="I77" s="352"/>
      <c r="J77" s="352"/>
      <c r="K77" s="352"/>
      <c r="L77" s="352"/>
      <c r="M77" s="76"/>
      <c r="Q77" s="45"/>
      <c r="R77" s="45"/>
      <c r="S77" s="45"/>
      <c r="T77" s="45"/>
      <c r="U77" s="45"/>
      <c r="V77" s="45"/>
      <c r="W77" s="45"/>
      <c r="X77" s="45"/>
      <c r="Y77" s="45"/>
      <c r="Z77" s="45"/>
      <c r="AA77" s="45"/>
      <c r="AB77" s="45"/>
    </row>
    <row r="78" spans="1:28" s="139" customFormat="1" ht="16.2" x14ac:dyDescent="0.35">
      <c r="A78" s="878" t="s">
        <v>1241</v>
      </c>
      <c r="B78" s="995"/>
      <c r="C78" s="995"/>
      <c r="D78" s="1098"/>
      <c r="E78" s="1098"/>
      <c r="F78" s="1098"/>
      <c r="G78" s="1098"/>
      <c r="H78" s="1098"/>
      <c r="I78" s="1098"/>
      <c r="J78" s="1098"/>
      <c r="K78" s="1098"/>
      <c r="L78" s="1099"/>
      <c r="M78" s="1573"/>
      <c r="Q78" s="45"/>
      <c r="R78" s="45"/>
      <c r="S78" s="45"/>
      <c r="T78" s="45"/>
      <c r="U78" s="45"/>
      <c r="V78" s="45"/>
      <c r="W78" s="45"/>
      <c r="X78" s="45"/>
      <c r="Y78" s="45"/>
      <c r="Z78" s="45"/>
      <c r="AA78" s="45"/>
      <c r="AB78" s="45"/>
    </row>
    <row r="79" spans="1:28" s="136" customFormat="1" x14ac:dyDescent="0.35">
      <c r="A79" s="147"/>
      <c r="B79" s="232" t="s">
        <v>126</v>
      </c>
      <c r="C79" s="232"/>
      <c r="D79" s="537" t="s">
        <v>127</v>
      </c>
      <c r="E79" s="534"/>
      <c r="F79" s="534"/>
      <c r="G79" s="534"/>
      <c r="H79" s="534"/>
      <c r="I79" s="534"/>
      <c r="J79" s="534"/>
      <c r="K79" s="534"/>
      <c r="L79" s="537"/>
      <c r="M79" s="76"/>
      <c r="Q79" s="45"/>
      <c r="R79" s="45"/>
      <c r="S79" s="45"/>
      <c r="T79" s="45"/>
      <c r="U79" s="45"/>
      <c r="V79" s="45"/>
      <c r="W79" s="45"/>
      <c r="X79" s="45"/>
      <c r="Y79" s="45"/>
      <c r="Z79" s="45"/>
      <c r="AA79" s="45"/>
      <c r="AB79" s="45"/>
    </row>
    <row r="80" spans="1:28" s="136" customFormat="1" x14ac:dyDescent="0.35">
      <c r="A80" s="135"/>
      <c r="B80" s="233" t="s">
        <v>128</v>
      </c>
      <c r="C80" s="233"/>
      <c r="D80" s="709" t="s">
        <v>129</v>
      </c>
      <c r="E80" s="352"/>
      <c r="F80" s="361"/>
      <c r="G80" s="314"/>
      <c r="H80" s="361"/>
      <c r="I80" s="361"/>
      <c r="J80" s="361"/>
      <c r="K80" s="361"/>
      <c r="L80" s="678"/>
      <c r="M80" s="76"/>
      <c r="Q80" s="45"/>
      <c r="R80" s="45"/>
      <c r="S80" s="45"/>
      <c r="T80" s="45"/>
      <c r="U80" s="45"/>
      <c r="V80" s="45"/>
      <c r="W80" s="45"/>
      <c r="X80" s="45"/>
      <c r="Y80" s="45"/>
      <c r="Z80" s="45"/>
      <c r="AA80" s="45"/>
      <c r="AB80" s="45"/>
    </row>
    <row r="81" spans="1:28" s="136" customFormat="1" x14ac:dyDescent="0.35">
      <c r="A81" s="135"/>
      <c r="B81" s="233" t="s">
        <v>45</v>
      </c>
      <c r="C81" s="233"/>
      <c r="D81" s="709" t="s">
        <v>130</v>
      </c>
      <c r="E81" s="352"/>
      <c r="F81" s="352"/>
      <c r="G81" s="352"/>
      <c r="H81" s="352"/>
      <c r="I81" s="352"/>
      <c r="J81" s="352"/>
      <c r="K81" s="352"/>
      <c r="L81" s="353"/>
      <c r="M81" s="76"/>
      <c r="Q81" s="45"/>
      <c r="R81" s="45"/>
      <c r="S81" s="45"/>
      <c r="T81" s="45"/>
      <c r="U81" s="45"/>
      <c r="V81" s="45"/>
      <c r="W81" s="45"/>
      <c r="X81" s="45"/>
      <c r="Y81" s="45"/>
      <c r="Z81" s="45"/>
      <c r="AA81" s="45"/>
      <c r="AB81" s="45"/>
    </row>
    <row r="82" spans="1:28" s="136" customFormat="1" x14ac:dyDescent="0.35">
      <c r="A82" s="135" t="s">
        <v>131</v>
      </c>
      <c r="B82" s="710">
        <v>0.33</v>
      </c>
      <c r="C82" s="1801"/>
      <c r="D82" s="332">
        <f>IF(B82=0,0,T26)</f>
        <v>10752.666666666666</v>
      </c>
      <c r="E82" s="352"/>
      <c r="F82" s="352">
        <f>IF(B82=0,0,U26)</f>
        <v>10752.666666666666</v>
      </c>
      <c r="G82" s="352"/>
      <c r="H82" s="352">
        <f>IF(B82=0,0,V26)</f>
        <v>0</v>
      </c>
      <c r="I82" s="352"/>
      <c r="J82" s="352">
        <f>IF(B82=0,0,W26)</f>
        <v>0</v>
      </c>
      <c r="K82" s="352"/>
      <c r="L82" s="332">
        <f>IF(B82=0,0,X26)</f>
        <v>0</v>
      </c>
      <c r="M82" s="76"/>
      <c r="Q82" s="45"/>
      <c r="R82" s="45"/>
      <c r="S82" s="45"/>
      <c r="T82" s="45"/>
      <c r="U82" s="45"/>
      <c r="V82" s="45"/>
      <c r="W82" s="45"/>
      <c r="X82" s="45"/>
      <c r="Y82" s="45"/>
      <c r="Z82" s="45"/>
      <c r="AA82" s="45"/>
      <c r="AB82" s="45"/>
    </row>
    <row r="83" spans="1:28" s="136" customFormat="1" x14ac:dyDescent="0.35">
      <c r="A83" s="135"/>
      <c r="B83" s="712"/>
      <c r="C83" s="711"/>
      <c r="D83" s="332"/>
      <c r="E83" s="352"/>
      <c r="F83" s="352"/>
      <c r="G83" s="352"/>
      <c r="H83" s="352"/>
      <c r="I83" s="352"/>
      <c r="J83" s="352"/>
      <c r="K83" s="352"/>
      <c r="L83" s="332"/>
      <c r="M83" s="76"/>
      <c r="Q83" s="45"/>
      <c r="R83" s="45"/>
      <c r="S83" s="45"/>
      <c r="T83" s="45"/>
      <c r="U83" s="45"/>
      <c r="V83" s="45"/>
      <c r="W83" s="45"/>
      <c r="X83" s="45"/>
      <c r="Y83" s="45"/>
      <c r="Z83" s="45"/>
      <c r="AA83" s="45"/>
      <c r="AB83" s="45"/>
    </row>
    <row r="84" spans="1:28" s="136" customFormat="1" x14ac:dyDescent="0.35">
      <c r="A84" s="135" t="s">
        <v>132</v>
      </c>
      <c r="B84" s="713"/>
      <c r="C84" s="348"/>
      <c r="D84" s="332"/>
      <c r="E84" s="352"/>
      <c r="F84" s="352"/>
      <c r="G84" s="352"/>
      <c r="H84" s="352"/>
      <c r="I84" s="352"/>
      <c r="J84" s="352"/>
      <c r="K84" s="352"/>
      <c r="L84" s="332"/>
      <c r="M84" s="76"/>
      <c r="Q84" s="45"/>
      <c r="R84" s="45"/>
      <c r="S84" s="45"/>
      <c r="T84" s="45"/>
      <c r="U84" s="45"/>
      <c r="V84" s="45"/>
      <c r="W84" s="45"/>
      <c r="X84" s="45"/>
      <c r="Y84" s="45"/>
      <c r="Z84" s="45"/>
      <c r="AA84" s="45"/>
      <c r="AB84" s="45"/>
    </row>
    <row r="85" spans="1:28" s="136" customFormat="1" x14ac:dyDescent="0.35">
      <c r="A85" s="656" t="s">
        <v>133</v>
      </c>
      <c r="B85" s="323"/>
      <c r="C85" s="365"/>
      <c r="D85" s="250">
        <v>0</v>
      </c>
      <c r="E85" s="469"/>
      <c r="F85" s="234">
        <v>0</v>
      </c>
      <c r="G85" s="469"/>
      <c r="H85" s="234">
        <v>0</v>
      </c>
      <c r="I85" s="469"/>
      <c r="J85" s="234">
        <v>0</v>
      </c>
      <c r="K85" s="469"/>
      <c r="L85" s="250">
        <v>0</v>
      </c>
      <c r="M85" s="76"/>
      <c r="Q85" s="45"/>
      <c r="R85" s="45"/>
      <c r="S85" s="45"/>
      <c r="T85" s="45"/>
      <c r="U85" s="45"/>
      <c r="V85" s="45"/>
      <c r="W85" s="45"/>
      <c r="X85" s="45"/>
      <c r="Y85" s="45"/>
      <c r="Z85" s="45"/>
      <c r="AA85" s="45"/>
      <c r="AB85" s="45"/>
    </row>
    <row r="86" spans="1:28" s="136" customFormat="1" x14ac:dyDescent="0.35">
      <c r="A86" s="656" t="s">
        <v>134</v>
      </c>
      <c r="B86" s="235">
        <v>0.05</v>
      </c>
      <c r="C86" s="1800"/>
      <c r="D86" s="332">
        <f t="shared" ref="D86:D92" si="20">IF(B86=0,0,T32)</f>
        <v>4000</v>
      </c>
      <c r="E86" s="352"/>
      <c r="F86" s="352">
        <f t="shared" ref="F86:F92" si="21">IF(B86=0,0,U32+U40)</f>
        <v>16000</v>
      </c>
      <c r="G86" s="352"/>
      <c r="H86" s="352">
        <f t="shared" ref="H86:H92" si="22">IF(B86=0,0,V32+V40+V48)</f>
        <v>16000</v>
      </c>
      <c r="I86" s="352"/>
      <c r="J86" s="352">
        <f t="shared" ref="J86:J92" si="23">IF(B86=0,0,W32+W40+W48+W57)</f>
        <v>16000</v>
      </c>
      <c r="K86" s="352"/>
      <c r="L86" s="332">
        <f t="shared" ref="L86:L92" si="24">IF(B86=0,0,X32+X40+X48+X57+X66)</f>
        <v>16000</v>
      </c>
      <c r="M86" s="76"/>
      <c r="Q86" s="45"/>
      <c r="R86" s="45"/>
      <c r="S86" s="45"/>
      <c r="T86" s="45"/>
      <c r="U86" s="45"/>
      <c r="V86" s="45"/>
      <c r="W86" s="45"/>
      <c r="X86" s="45"/>
      <c r="Y86" s="45"/>
      <c r="Z86" s="45"/>
      <c r="AA86" s="45"/>
      <c r="AB86" s="45"/>
    </row>
    <row r="87" spans="1:28" s="136" customFormat="1" x14ac:dyDescent="0.35">
      <c r="A87" s="656" t="s">
        <v>383</v>
      </c>
      <c r="B87" s="235">
        <v>0.33</v>
      </c>
      <c r="C87" s="1800"/>
      <c r="D87" s="332">
        <f t="shared" si="20"/>
        <v>13333.333333333334</v>
      </c>
      <c r="E87" s="352"/>
      <c r="F87" s="352">
        <f t="shared" si="21"/>
        <v>53333.333333333336</v>
      </c>
      <c r="G87" s="352"/>
      <c r="H87" s="352">
        <f t="shared" si="22"/>
        <v>53333.333333333336</v>
      </c>
      <c r="I87" s="352"/>
      <c r="J87" s="352">
        <f t="shared" si="23"/>
        <v>40000</v>
      </c>
      <c r="K87" s="352"/>
      <c r="L87" s="332">
        <f t="shared" si="24"/>
        <v>0</v>
      </c>
      <c r="M87" s="76"/>
      <c r="Q87" s="45"/>
      <c r="R87" s="45"/>
      <c r="S87" s="45"/>
      <c r="T87" s="45"/>
      <c r="U87" s="45"/>
      <c r="V87" s="45"/>
      <c r="W87" s="45"/>
      <c r="X87" s="45"/>
      <c r="Y87" s="45"/>
      <c r="Z87" s="45"/>
      <c r="AA87" s="45"/>
      <c r="AB87" s="45"/>
    </row>
    <row r="88" spans="1:28" s="136" customFormat="1" x14ac:dyDescent="0.35">
      <c r="A88" s="656" t="s">
        <v>136</v>
      </c>
      <c r="B88" s="235">
        <v>0.2</v>
      </c>
      <c r="C88" s="1800"/>
      <c r="D88" s="332">
        <f t="shared" si="20"/>
        <v>1800</v>
      </c>
      <c r="E88" s="352"/>
      <c r="F88" s="352">
        <f t="shared" si="21"/>
        <v>7200</v>
      </c>
      <c r="G88" s="352"/>
      <c r="H88" s="352">
        <f t="shared" si="22"/>
        <v>7200</v>
      </c>
      <c r="I88" s="352"/>
      <c r="J88" s="352">
        <f t="shared" si="23"/>
        <v>7200</v>
      </c>
      <c r="K88" s="352"/>
      <c r="L88" s="332">
        <f t="shared" si="24"/>
        <v>7200</v>
      </c>
      <c r="M88" s="76"/>
      <c r="Q88" s="45"/>
      <c r="R88" s="45"/>
      <c r="S88" s="45"/>
      <c r="T88" s="45"/>
      <c r="U88" s="45"/>
      <c r="V88" s="45"/>
      <c r="W88" s="45"/>
      <c r="X88" s="45"/>
      <c r="Y88" s="45"/>
      <c r="Z88" s="45"/>
      <c r="AA88" s="45"/>
      <c r="AB88" s="45"/>
    </row>
    <row r="89" spans="1:28" s="136" customFormat="1" x14ac:dyDescent="0.35">
      <c r="A89" s="656" t="s">
        <v>137</v>
      </c>
      <c r="B89" s="235">
        <v>0.2</v>
      </c>
      <c r="C89" s="1800"/>
      <c r="D89" s="332">
        <f t="shared" si="20"/>
        <v>1600</v>
      </c>
      <c r="E89" s="352"/>
      <c r="F89" s="352">
        <f t="shared" si="21"/>
        <v>6400</v>
      </c>
      <c r="G89" s="352"/>
      <c r="H89" s="352">
        <f t="shared" si="22"/>
        <v>6400</v>
      </c>
      <c r="I89" s="352"/>
      <c r="J89" s="352">
        <f t="shared" si="23"/>
        <v>6400</v>
      </c>
      <c r="K89" s="352"/>
      <c r="L89" s="332">
        <f t="shared" si="24"/>
        <v>6400</v>
      </c>
      <c r="M89" s="76"/>
      <c r="Q89" s="45"/>
      <c r="R89" s="45"/>
      <c r="S89" s="45"/>
      <c r="T89" s="45"/>
      <c r="U89" s="45"/>
      <c r="V89" s="45"/>
      <c r="W89" s="45"/>
      <c r="X89" s="45"/>
      <c r="Y89" s="45"/>
      <c r="Z89" s="45"/>
      <c r="AA89" s="45"/>
      <c r="AB89" s="45"/>
    </row>
    <row r="90" spans="1:28" s="136" customFormat="1" x14ac:dyDescent="0.35">
      <c r="A90" s="656" t="s">
        <v>229</v>
      </c>
      <c r="B90" s="235">
        <v>0.2</v>
      </c>
      <c r="C90" s="1800"/>
      <c r="D90" s="332">
        <f t="shared" si="20"/>
        <v>5200</v>
      </c>
      <c r="E90" s="352"/>
      <c r="F90" s="352">
        <f t="shared" si="21"/>
        <v>20800</v>
      </c>
      <c r="G90" s="352"/>
      <c r="H90" s="352">
        <f t="shared" si="22"/>
        <v>20800</v>
      </c>
      <c r="I90" s="352"/>
      <c r="J90" s="352">
        <f t="shared" si="23"/>
        <v>20800</v>
      </c>
      <c r="K90" s="352"/>
      <c r="L90" s="332">
        <f t="shared" si="24"/>
        <v>20800</v>
      </c>
      <c r="M90" s="76"/>
      <c r="Q90" s="45"/>
      <c r="R90" s="45"/>
      <c r="S90" s="45"/>
      <c r="T90" s="45"/>
      <c r="U90" s="45"/>
      <c r="V90" s="45"/>
      <c r="W90" s="45"/>
      <c r="X90" s="45"/>
      <c r="Y90" s="45"/>
      <c r="Z90" s="45"/>
      <c r="AA90" s="45"/>
      <c r="AB90" s="45"/>
    </row>
    <row r="91" spans="1:28" s="136" customFormat="1" x14ac:dyDescent="0.35">
      <c r="A91" s="135" t="s">
        <v>138</v>
      </c>
      <c r="B91" s="235">
        <v>0</v>
      </c>
      <c r="C91" s="1800"/>
      <c r="D91" s="332">
        <f t="shared" si="20"/>
        <v>0</v>
      </c>
      <c r="E91" s="352"/>
      <c r="F91" s="352">
        <f t="shared" si="21"/>
        <v>0</v>
      </c>
      <c r="G91" s="352"/>
      <c r="H91" s="352">
        <f t="shared" si="22"/>
        <v>0</v>
      </c>
      <c r="I91" s="352"/>
      <c r="J91" s="352">
        <f t="shared" si="23"/>
        <v>0</v>
      </c>
      <c r="K91" s="352"/>
      <c r="L91" s="332">
        <f t="shared" si="24"/>
        <v>0</v>
      </c>
      <c r="M91" s="76"/>
      <c r="Q91" s="45"/>
      <c r="R91" s="45"/>
      <c r="S91" s="45"/>
      <c r="T91" s="45"/>
      <c r="U91" s="45"/>
      <c r="V91" s="45"/>
      <c r="W91" s="45"/>
      <c r="X91" s="45"/>
      <c r="Y91" s="45"/>
      <c r="Z91" s="45"/>
      <c r="AA91" s="45"/>
      <c r="AB91" s="45"/>
    </row>
    <row r="92" spans="1:28" s="136" customFormat="1" x14ac:dyDescent="0.35">
      <c r="A92" s="135" t="s">
        <v>139</v>
      </c>
      <c r="B92" s="235">
        <v>0</v>
      </c>
      <c r="C92" s="1800"/>
      <c r="D92" s="332">
        <f t="shared" si="20"/>
        <v>0</v>
      </c>
      <c r="E92" s="352"/>
      <c r="F92" s="369">
        <f t="shared" si="21"/>
        <v>0</v>
      </c>
      <c r="G92" s="352"/>
      <c r="H92" s="369">
        <f t="shared" si="22"/>
        <v>0</v>
      </c>
      <c r="I92" s="352"/>
      <c r="J92" s="369">
        <f t="shared" si="23"/>
        <v>0</v>
      </c>
      <c r="K92" s="352"/>
      <c r="L92" s="333">
        <f t="shared" si="24"/>
        <v>0</v>
      </c>
      <c r="M92" s="76"/>
      <c r="Q92" s="45"/>
      <c r="R92" s="45"/>
      <c r="S92" s="45"/>
      <c r="T92" s="45"/>
      <c r="U92" s="45"/>
      <c r="V92" s="45"/>
      <c r="W92" s="45"/>
      <c r="X92" s="45"/>
      <c r="Y92" s="45"/>
      <c r="Z92" s="45"/>
      <c r="AA92" s="45"/>
      <c r="AB92" s="45"/>
    </row>
    <row r="93" spans="1:28" s="136" customFormat="1" x14ac:dyDescent="0.35">
      <c r="A93" s="656" t="s">
        <v>140</v>
      </c>
      <c r="B93" s="323"/>
      <c r="C93" s="365"/>
      <c r="D93" s="537">
        <f>SUM(D85:D92)</f>
        <v>25933.333333333336</v>
      </c>
      <c r="E93" s="352"/>
      <c r="F93" s="352">
        <f>SUM(F85:F92)</f>
        <v>103733.33333333334</v>
      </c>
      <c r="G93" s="352"/>
      <c r="H93" s="352">
        <f>SUM(H85:H92)</f>
        <v>103733.33333333334</v>
      </c>
      <c r="I93" s="352"/>
      <c r="J93" s="352">
        <f>SUM(J85:J92)</f>
        <v>90400</v>
      </c>
      <c r="K93" s="352"/>
      <c r="L93" s="353">
        <f>SUM(L85:L92)</f>
        <v>50400</v>
      </c>
      <c r="M93" s="76"/>
      <c r="Q93" s="45"/>
      <c r="R93" s="45"/>
      <c r="S93" s="45"/>
      <c r="T93" s="45"/>
      <c r="U93" s="45"/>
      <c r="V93" s="45"/>
      <c r="W93" s="45"/>
      <c r="X93" s="45"/>
      <c r="Y93" s="45"/>
      <c r="Z93" s="45"/>
      <c r="AA93" s="45"/>
      <c r="AB93" s="45"/>
    </row>
    <row r="94" spans="1:28" s="136" customFormat="1" x14ac:dyDescent="0.35">
      <c r="A94" s="656"/>
      <c r="B94" s="323"/>
      <c r="C94" s="365"/>
      <c r="D94" s="353"/>
      <c r="E94" s="352"/>
      <c r="F94" s="352"/>
      <c r="G94" s="352"/>
      <c r="H94" s="352"/>
      <c r="I94" s="352"/>
      <c r="J94" s="352"/>
      <c r="K94" s="352"/>
      <c r="L94" s="353"/>
      <c r="M94" s="76"/>
      <c r="Q94" s="45"/>
      <c r="R94" s="45"/>
      <c r="S94" s="45"/>
      <c r="T94" s="45"/>
      <c r="U94" s="45"/>
      <c r="V94" s="45"/>
      <c r="W94" s="45"/>
      <c r="X94" s="45"/>
      <c r="Y94" s="45"/>
      <c r="Z94" s="45"/>
      <c r="AA94" s="45"/>
      <c r="AB94" s="45"/>
    </row>
    <row r="95" spans="1:28" s="136" customFormat="1" x14ac:dyDescent="0.35">
      <c r="A95" s="135" t="s">
        <v>329</v>
      </c>
      <c r="B95" s="365"/>
      <c r="C95" s="365"/>
      <c r="D95" s="250">
        <v>0</v>
      </c>
      <c r="E95" s="469"/>
      <c r="F95" s="234">
        <v>0</v>
      </c>
      <c r="G95" s="469"/>
      <c r="H95" s="234">
        <v>0</v>
      </c>
      <c r="I95" s="469"/>
      <c r="J95" s="234">
        <v>0</v>
      </c>
      <c r="K95" s="469"/>
      <c r="L95" s="250">
        <v>0</v>
      </c>
      <c r="M95" s="76"/>
      <c r="Q95" s="45"/>
      <c r="R95" s="45"/>
      <c r="S95" s="45"/>
      <c r="T95" s="45"/>
      <c r="U95" s="45"/>
      <c r="V95" s="45"/>
      <c r="W95" s="45"/>
      <c r="X95" s="45"/>
      <c r="Y95" s="45"/>
      <c r="Z95" s="45"/>
      <c r="AA95" s="45"/>
      <c r="AB95" s="45"/>
    </row>
    <row r="96" spans="1:28" s="136" customFormat="1" x14ac:dyDescent="0.35">
      <c r="A96" s="145"/>
      <c r="B96" s="714"/>
      <c r="C96" s="714"/>
      <c r="D96" s="368"/>
      <c r="E96" s="369"/>
      <c r="F96" s="369"/>
      <c r="G96" s="369"/>
      <c r="H96" s="369"/>
      <c r="I96" s="369"/>
      <c r="J96" s="369"/>
      <c r="K96" s="369"/>
      <c r="L96" s="368"/>
      <c r="M96" s="76"/>
      <c r="Q96" s="45"/>
      <c r="R96" s="45"/>
      <c r="S96" s="45"/>
      <c r="T96" s="45"/>
      <c r="U96" s="45"/>
      <c r="V96" s="45"/>
      <c r="W96" s="45"/>
      <c r="X96" s="45"/>
      <c r="Y96" s="45"/>
      <c r="Z96" s="45"/>
      <c r="AA96" s="45"/>
      <c r="AB96" s="45"/>
    </row>
    <row r="97" spans="1:28" s="136" customFormat="1" ht="22.2" hidden="1" x14ac:dyDescent="0.45">
      <c r="A97" s="1442" t="s">
        <v>1173</v>
      </c>
      <c r="B97" s="1413"/>
      <c r="C97" s="1413"/>
      <c r="D97" s="1443"/>
      <c r="E97" s="1444"/>
      <c r="F97" s="1443"/>
      <c r="G97" s="1443"/>
      <c r="H97" s="1443"/>
      <c r="I97" s="1445"/>
      <c r="J97" s="1443"/>
      <c r="K97" s="1443"/>
      <c r="L97" s="1446" t="str">
        <f>L1</f>
        <v>7.4.3 Investments, Depreciations and Provisions</v>
      </c>
      <c r="M97" s="76"/>
      <c r="Q97" s="45"/>
      <c r="R97" s="45"/>
      <c r="S97" s="45"/>
      <c r="T97" s="45"/>
      <c r="U97" s="45"/>
      <c r="V97" s="45"/>
      <c r="W97" s="45"/>
      <c r="X97" s="45"/>
      <c r="Y97" s="45"/>
      <c r="Z97" s="45"/>
      <c r="AA97" s="45"/>
      <c r="AB97" s="45"/>
    </row>
    <row r="98" spans="1:28" s="136" customFormat="1" hidden="1" x14ac:dyDescent="0.35">
      <c r="A98" s="135"/>
      <c r="D98" s="352"/>
      <c r="E98" s="352"/>
      <c r="F98" s="352"/>
      <c r="G98" s="352"/>
      <c r="H98" s="352"/>
      <c r="I98" s="352"/>
      <c r="J98" s="352"/>
      <c r="K98" s="352"/>
      <c r="L98" s="366"/>
      <c r="M98" s="76"/>
      <c r="Q98" s="45"/>
      <c r="R98" s="45"/>
      <c r="S98" s="45"/>
      <c r="T98" s="45"/>
      <c r="U98" s="45"/>
      <c r="V98" s="45"/>
      <c r="W98" s="45"/>
      <c r="X98" s="45"/>
      <c r="Y98" s="45"/>
      <c r="Z98" s="45"/>
      <c r="AA98" s="45"/>
      <c r="AB98" s="45"/>
    </row>
    <row r="99" spans="1:28" s="136" customFormat="1" ht="16.2" hidden="1" x14ac:dyDescent="0.35">
      <c r="A99" s="138" t="s">
        <v>1035</v>
      </c>
      <c r="B99" s="281">
        <f>'Reference sheet'!C99</f>
        <v>0</v>
      </c>
      <c r="C99" s="240"/>
      <c r="D99" s="352"/>
      <c r="E99" s="352"/>
      <c r="F99" s="715" t="s">
        <v>1036</v>
      </c>
      <c r="G99" s="716">
        <f>'Reference sheet'!C15</f>
        <v>2</v>
      </c>
      <c r="H99" s="717" t="s">
        <v>1037</v>
      </c>
      <c r="I99" s="243" t="str">
        <f>'Reference sheet'!C17</f>
        <v>October</v>
      </c>
      <c r="J99" s="701"/>
      <c r="K99" s="701" t="s">
        <v>1175</v>
      </c>
      <c r="L99" s="718" t="str">
        <f>'7.1 Dealer area'!K3</f>
        <v>EUR</v>
      </c>
      <c r="M99" s="76"/>
      <c r="Q99" s="45"/>
      <c r="R99" s="45"/>
      <c r="S99" s="45"/>
      <c r="T99" s="45"/>
      <c r="U99" s="45"/>
      <c r="V99" s="45"/>
      <c r="W99" s="45"/>
      <c r="X99" s="45"/>
      <c r="Y99" s="45"/>
      <c r="Z99" s="45"/>
      <c r="AA99" s="45"/>
      <c r="AB99" s="45"/>
    </row>
    <row r="100" spans="1:28" s="136" customFormat="1" hidden="1" x14ac:dyDescent="0.35">
      <c r="A100" s="135"/>
      <c r="B100" s="275"/>
      <c r="C100" s="641"/>
      <c r="D100" s="352"/>
      <c r="E100" s="352"/>
      <c r="F100" s="352"/>
      <c r="G100" s="352"/>
      <c r="H100" s="719"/>
      <c r="I100" s="352"/>
      <c r="J100" s="352"/>
      <c r="K100" s="352"/>
      <c r="L100" s="720"/>
      <c r="M100" s="76"/>
      <c r="Q100" s="45"/>
      <c r="R100" s="45"/>
      <c r="S100" s="45"/>
      <c r="T100" s="45"/>
      <c r="U100" s="45"/>
      <c r="V100" s="45"/>
      <c r="W100" s="45"/>
      <c r="X100" s="45"/>
      <c r="Y100" s="45"/>
      <c r="Z100" s="45"/>
      <c r="AA100" s="45"/>
      <c r="AB100" s="45"/>
    </row>
    <row r="101" spans="1:28" s="136" customFormat="1" hidden="1" x14ac:dyDescent="0.35">
      <c r="A101" s="135"/>
      <c r="C101" s="641" t="s">
        <v>117</v>
      </c>
      <c r="D101" s="373"/>
      <c r="E101" s="352"/>
      <c r="F101" s="352"/>
      <c r="G101" s="352"/>
      <c r="H101" s="719"/>
      <c r="I101" s="352"/>
      <c r="J101" s="352"/>
      <c r="K101" s="352"/>
      <c r="L101" s="720"/>
      <c r="M101" s="76"/>
      <c r="Q101" s="45"/>
      <c r="R101" s="45"/>
      <c r="S101" s="45"/>
      <c r="T101" s="45"/>
      <c r="U101" s="45"/>
      <c r="V101" s="45"/>
      <c r="W101" s="45"/>
      <c r="X101" s="45"/>
      <c r="Y101" s="45"/>
      <c r="Z101" s="45"/>
      <c r="AA101" s="45"/>
      <c r="AB101" s="45"/>
    </row>
    <row r="102" spans="1:28" s="136" customFormat="1" hidden="1" x14ac:dyDescent="0.35">
      <c r="A102" s="135"/>
      <c r="C102" s="641" t="s">
        <v>118</v>
      </c>
      <c r="D102" s="797">
        <f>'Reference sheet'!C18</f>
        <v>2019</v>
      </c>
      <c r="E102" s="372"/>
      <c r="F102" s="797">
        <f>D102+1</f>
        <v>2020</v>
      </c>
      <c r="G102" s="374"/>
      <c r="H102" s="797">
        <f>F102+1</f>
        <v>2021</v>
      </c>
      <c r="I102" s="375"/>
      <c r="J102" s="797">
        <f>H102+1</f>
        <v>2022</v>
      </c>
      <c r="K102" s="375"/>
      <c r="L102" s="797">
        <f>J102+1</f>
        <v>2023</v>
      </c>
      <c r="M102" s="76"/>
      <c r="Q102" s="45"/>
      <c r="R102" s="45"/>
      <c r="S102" s="45"/>
      <c r="T102" s="45"/>
      <c r="U102" s="45"/>
      <c r="V102" s="45"/>
      <c r="W102" s="45"/>
      <c r="X102" s="45"/>
      <c r="Y102" s="45"/>
      <c r="Z102" s="45"/>
      <c r="AA102" s="45"/>
      <c r="AB102" s="45"/>
    </row>
    <row r="103" spans="1:28" s="141" customFormat="1" ht="16.2" hidden="1" x14ac:dyDescent="0.35">
      <c r="A103" s="878" t="s">
        <v>338</v>
      </c>
      <c r="B103" s="995"/>
      <c r="C103" s="995"/>
      <c r="D103" s="1098"/>
      <c r="E103" s="1098"/>
      <c r="F103" s="1098"/>
      <c r="G103" s="1098"/>
      <c r="H103" s="1098"/>
      <c r="I103" s="1098"/>
      <c r="J103" s="1098"/>
      <c r="K103" s="1098"/>
      <c r="L103" s="1099"/>
      <c r="M103" s="1582"/>
      <c r="Q103" s="45"/>
      <c r="R103" s="45"/>
      <c r="S103" s="45"/>
      <c r="T103" s="45"/>
      <c r="U103" s="45"/>
      <c r="V103" s="45"/>
      <c r="W103" s="45"/>
      <c r="X103" s="45"/>
      <c r="Y103" s="45"/>
      <c r="Z103" s="45"/>
      <c r="AA103" s="45"/>
      <c r="AB103" s="45"/>
    </row>
    <row r="104" spans="1:28" hidden="1" x14ac:dyDescent="0.35">
      <c r="A104" s="147"/>
      <c r="B104" s="721"/>
      <c r="C104" s="232"/>
      <c r="D104" s="537"/>
      <c r="E104" s="534"/>
      <c r="F104" s="534"/>
      <c r="G104" s="534"/>
      <c r="H104" s="534"/>
      <c r="I104" s="534"/>
      <c r="J104" s="534"/>
      <c r="K104" s="534"/>
      <c r="L104" s="537"/>
    </row>
    <row r="105" spans="1:28" hidden="1" x14ac:dyDescent="0.35">
      <c r="A105" s="135" t="s">
        <v>131</v>
      </c>
      <c r="B105" s="711"/>
      <c r="C105" s="711"/>
      <c r="D105" s="332">
        <f>D82</f>
        <v>10752.666666666666</v>
      </c>
      <c r="E105" s="352"/>
      <c r="F105" s="357">
        <f t="shared" ref="F105:L105" si="25">F82</f>
        <v>10752.666666666666</v>
      </c>
      <c r="G105" s="357"/>
      <c r="H105" s="357">
        <f t="shared" si="25"/>
        <v>0</v>
      </c>
      <c r="I105" s="352"/>
      <c r="J105" s="357">
        <f t="shared" si="25"/>
        <v>0</v>
      </c>
      <c r="K105" s="352"/>
      <c r="L105" s="332">
        <f t="shared" si="25"/>
        <v>0</v>
      </c>
      <c r="M105" s="76"/>
      <c r="N105" s="357"/>
    </row>
    <row r="106" spans="1:28" hidden="1" x14ac:dyDescent="0.35">
      <c r="A106" s="135"/>
      <c r="B106" s="711"/>
      <c r="C106" s="711"/>
      <c r="D106" s="332"/>
      <c r="E106" s="352"/>
      <c r="F106" s="357"/>
      <c r="G106" s="352"/>
      <c r="H106" s="357"/>
      <c r="I106" s="352"/>
      <c r="J106" s="357"/>
      <c r="K106" s="352"/>
      <c r="L106" s="332"/>
      <c r="M106" s="76"/>
      <c r="N106" s="357"/>
    </row>
    <row r="107" spans="1:28" hidden="1" x14ac:dyDescent="0.35">
      <c r="A107" s="135" t="s">
        <v>132</v>
      </c>
      <c r="B107" s="348"/>
      <c r="C107" s="348"/>
      <c r="D107" s="332"/>
      <c r="E107" s="352"/>
      <c r="F107" s="357"/>
      <c r="G107" s="352"/>
      <c r="H107" s="357"/>
      <c r="I107" s="352"/>
      <c r="J107" s="357"/>
      <c r="K107" s="352"/>
      <c r="L107" s="332"/>
      <c r="M107" s="76"/>
    </row>
    <row r="108" spans="1:28" hidden="1" x14ac:dyDescent="0.35">
      <c r="A108" s="656" t="s">
        <v>133</v>
      </c>
      <c r="B108" s="365"/>
      <c r="C108" s="365"/>
      <c r="D108" s="332">
        <f t="shared" ref="D108:L108" si="26">D85</f>
        <v>0</v>
      </c>
      <c r="E108" s="352"/>
      <c r="F108" s="357">
        <f t="shared" si="26"/>
        <v>0</v>
      </c>
      <c r="G108" s="352"/>
      <c r="H108" s="357">
        <f t="shared" si="26"/>
        <v>0</v>
      </c>
      <c r="I108" s="352"/>
      <c r="J108" s="357">
        <f t="shared" si="26"/>
        <v>0</v>
      </c>
      <c r="K108" s="352"/>
      <c r="L108" s="332">
        <f t="shared" si="26"/>
        <v>0</v>
      </c>
      <c r="M108" s="1584"/>
    </row>
    <row r="109" spans="1:28" hidden="1" x14ac:dyDescent="0.35">
      <c r="A109" s="656" t="s">
        <v>134</v>
      </c>
      <c r="B109" s="365"/>
      <c r="C109" s="365"/>
      <c r="D109" s="332">
        <f t="shared" ref="D109:L109" si="27">D86</f>
        <v>4000</v>
      </c>
      <c r="E109" s="352"/>
      <c r="F109" s="357">
        <f t="shared" si="27"/>
        <v>16000</v>
      </c>
      <c r="G109" s="352"/>
      <c r="H109" s="357">
        <f t="shared" si="27"/>
        <v>16000</v>
      </c>
      <c r="I109" s="352"/>
      <c r="J109" s="357">
        <f t="shared" si="27"/>
        <v>16000</v>
      </c>
      <c r="K109" s="352"/>
      <c r="L109" s="332">
        <f t="shared" si="27"/>
        <v>16000</v>
      </c>
      <c r="M109" s="1584"/>
    </row>
    <row r="110" spans="1:28" hidden="1" x14ac:dyDescent="0.35">
      <c r="A110" s="656" t="s">
        <v>383</v>
      </c>
      <c r="B110" s="365"/>
      <c r="C110" s="365"/>
      <c r="D110" s="332">
        <f t="shared" ref="D110:L110" si="28">D87</f>
        <v>13333.333333333334</v>
      </c>
      <c r="E110" s="352"/>
      <c r="F110" s="357">
        <f t="shared" si="28"/>
        <v>53333.333333333336</v>
      </c>
      <c r="G110" s="352"/>
      <c r="H110" s="357">
        <f t="shared" si="28"/>
        <v>53333.333333333336</v>
      </c>
      <c r="I110" s="352"/>
      <c r="J110" s="357">
        <f t="shared" si="28"/>
        <v>40000</v>
      </c>
      <c r="K110" s="352"/>
      <c r="L110" s="332">
        <f t="shared" si="28"/>
        <v>0</v>
      </c>
      <c r="M110" s="1584"/>
    </row>
    <row r="111" spans="1:28" hidden="1" x14ac:dyDescent="0.35">
      <c r="A111" s="656" t="s">
        <v>136</v>
      </c>
      <c r="B111" s="365"/>
      <c r="C111" s="365"/>
      <c r="D111" s="332">
        <f t="shared" ref="D111:L111" si="29">D88</f>
        <v>1800</v>
      </c>
      <c r="E111" s="352"/>
      <c r="F111" s="357">
        <f t="shared" si="29"/>
        <v>7200</v>
      </c>
      <c r="G111" s="352"/>
      <c r="H111" s="357">
        <f t="shared" si="29"/>
        <v>7200</v>
      </c>
      <c r="I111" s="352"/>
      <c r="J111" s="357">
        <f t="shared" si="29"/>
        <v>7200</v>
      </c>
      <c r="K111" s="352"/>
      <c r="L111" s="332">
        <f t="shared" si="29"/>
        <v>7200</v>
      </c>
      <c r="M111" s="1584"/>
    </row>
    <row r="112" spans="1:28" hidden="1" x14ac:dyDescent="0.35">
      <c r="A112" s="656" t="s">
        <v>137</v>
      </c>
      <c r="B112" s="365"/>
      <c r="C112" s="365"/>
      <c r="D112" s="332">
        <f t="shared" ref="D112:L112" si="30">D89</f>
        <v>1600</v>
      </c>
      <c r="E112" s="352"/>
      <c r="F112" s="357">
        <f t="shared" si="30"/>
        <v>6400</v>
      </c>
      <c r="G112" s="352"/>
      <c r="H112" s="357">
        <f t="shared" si="30"/>
        <v>6400</v>
      </c>
      <c r="I112" s="352"/>
      <c r="J112" s="357">
        <f t="shared" si="30"/>
        <v>6400</v>
      </c>
      <c r="K112" s="352"/>
      <c r="L112" s="332">
        <f t="shared" si="30"/>
        <v>6400</v>
      </c>
      <c r="M112" s="1584"/>
    </row>
    <row r="113" spans="1:13" hidden="1" x14ac:dyDescent="0.35">
      <c r="A113" s="656" t="s">
        <v>229</v>
      </c>
      <c r="B113" s="365"/>
      <c r="C113" s="365"/>
      <c r="D113" s="332">
        <f t="shared" ref="D113:L113" si="31">D90</f>
        <v>5200</v>
      </c>
      <c r="E113" s="352"/>
      <c r="F113" s="357">
        <f t="shared" si="31"/>
        <v>20800</v>
      </c>
      <c r="G113" s="352"/>
      <c r="H113" s="357">
        <f t="shared" si="31"/>
        <v>20800</v>
      </c>
      <c r="I113" s="352"/>
      <c r="J113" s="357">
        <f t="shared" si="31"/>
        <v>20800</v>
      </c>
      <c r="K113" s="352"/>
      <c r="L113" s="332">
        <f t="shared" si="31"/>
        <v>20800</v>
      </c>
      <c r="M113" s="1584"/>
    </row>
    <row r="114" spans="1:13" hidden="1" x14ac:dyDescent="0.35">
      <c r="A114" s="135" t="s">
        <v>138</v>
      </c>
      <c r="B114" s="365"/>
      <c r="C114" s="365"/>
      <c r="D114" s="332">
        <f t="shared" ref="D114:L114" si="32">D91</f>
        <v>0</v>
      </c>
      <c r="E114" s="352"/>
      <c r="F114" s="357">
        <f t="shared" si="32"/>
        <v>0</v>
      </c>
      <c r="G114" s="352"/>
      <c r="H114" s="357">
        <f t="shared" si="32"/>
        <v>0</v>
      </c>
      <c r="I114" s="352"/>
      <c r="J114" s="357">
        <f t="shared" si="32"/>
        <v>0</v>
      </c>
      <c r="K114" s="352"/>
      <c r="L114" s="332">
        <f t="shared" si="32"/>
        <v>0</v>
      </c>
      <c r="M114" s="1584"/>
    </row>
    <row r="115" spans="1:13" hidden="1" x14ac:dyDescent="0.35">
      <c r="A115" s="135" t="s">
        <v>139</v>
      </c>
      <c r="B115" s="365"/>
      <c r="C115" s="365"/>
      <c r="D115" s="333">
        <f t="shared" ref="D115:L115" si="33">D92</f>
        <v>0</v>
      </c>
      <c r="E115" s="352"/>
      <c r="F115" s="407">
        <f t="shared" si="33"/>
        <v>0</v>
      </c>
      <c r="G115" s="352"/>
      <c r="H115" s="407">
        <f t="shared" si="33"/>
        <v>0</v>
      </c>
      <c r="I115" s="352"/>
      <c r="J115" s="407">
        <f t="shared" si="33"/>
        <v>0</v>
      </c>
      <c r="K115" s="352"/>
      <c r="L115" s="333">
        <f t="shared" si="33"/>
        <v>0</v>
      </c>
      <c r="M115" s="1584"/>
    </row>
    <row r="116" spans="1:13" hidden="1" x14ac:dyDescent="0.35">
      <c r="A116" s="656" t="s">
        <v>140</v>
      </c>
      <c r="B116" s="365"/>
      <c r="C116" s="365"/>
      <c r="D116" s="537">
        <f>SUM(D108:D115)</f>
        <v>25933.333333333336</v>
      </c>
      <c r="E116" s="352"/>
      <c r="F116" s="352">
        <f>SUM(F108:F115)</f>
        <v>103733.33333333334</v>
      </c>
      <c r="G116" s="352"/>
      <c r="H116" s="352">
        <f>SUM(H108:H115)</f>
        <v>103733.33333333334</v>
      </c>
      <c r="I116" s="352"/>
      <c r="J116" s="352">
        <f>SUM(J108:J115)</f>
        <v>90400</v>
      </c>
      <c r="K116" s="352"/>
      <c r="L116" s="537">
        <f>SUM(L108:L115)</f>
        <v>50400</v>
      </c>
    </row>
    <row r="117" spans="1:13" hidden="1" x14ac:dyDescent="0.35">
      <c r="A117" s="135"/>
      <c r="B117" s="136"/>
      <c r="C117" s="136"/>
      <c r="D117" s="353"/>
      <c r="E117" s="352"/>
      <c r="F117" s="352"/>
      <c r="G117" s="352"/>
      <c r="H117" s="352"/>
      <c r="I117" s="352"/>
      <c r="J117" s="352"/>
      <c r="K117" s="352"/>
      <c r="L117" s="353"/>
    </row>
    <row r="118" spans="1:13" hidden="1" x14ac:dyDescent="0.35">
      <c r="A118" s="135" t="s">
        <v>329</v>
      </c>
      <c r="B118" s="136"/>
      <c r="C118" s="136"/>
      <c r="D118" s="353">
        <f>D43+D95</f>
        <v>0</v>
      </c>
      <c r="E118" s="352"/>
      <c r="F118" s="352">
        <f>F43+F95</f>
        <v>0</v>
      </c>
      <c r="G118" s="352"/>
      <c r="H118" s="352">
        <f>H43+H95</f>
        <v>0</v>
      </c>
      <c r="I118" s="352"/>
      <c r="J118" s="352">
        <f>J43+J95</f>
        <v>0</v>
      </c>
      <c r="K118" s="352"/>
      <c r="L118" s="353">
        <f>L43+L95</f>
        <v>0</v>
      </c>
    </row>
    <row r="119" spans="1:13" hidden="1" x14ac:dyDescent="0.35">
      <c r="A119" s="145"/>
      <c r="B119" s="581"/>
      <c r="C119" s="581"/>
      <c r="D119" s="333"/>
      <c r="E119" s="407"/>
      <c r="F119" s="407"/>
      <c r="G119" s="407"/>
      <c r="H119" s="407"/>
      <c r="I119" s="407"/>
      <c r="J119" s="407"/>
      <c r="K119" s="407"/>
      <c r="L119" s="333"/>
    </row>
    <row r="120" spans="1:13" hidden="1" x14ac:dyDescent="0.35">
      <c r="A120" s="221"/>
      <c r="B120" s="365"/>
      <c r="C120" s="365"/>
      <c r="D120" s="332"/>
      <c r="E120" s="357"/>
      <c r="F120" s="357"/>
      <c r="G120" s="357"/>
      <c r="H120" s="357"/>
      <c r="I120" s="357"/>
      <c r="J120" s="357"/>
      <c r="K120" s="357"/>
      <c r="L120" s="332"/>
    </row>
    <row r="121" spans="1:13" hidden="1" x14ac:dyDescent="0.35">
      <c r="A121" s="410" t="s">
        <v>141</v>
      </c>
      <c r="B121" s="171"/>
      <c r="C121" s="171"/>
      <c r="D121" s="411">
        <f>D105+D116+D118</f>
        <v>36686</v>
      </c>
      <c r="E121" s="352"/>
      <c r="F121" s="357">
        <f>F105+F116+F118</f>
        <v>114486.00000000001</v>
      </c>
      <c r="G121" s="352"/>
      <c r="H121" s="357">
        <f>H105+H116+H118</f>
        <v>103733.33333333334</v>
      </c>
      <c r="I121" s="352"/>
      <c r="J121" s="357">
        <f>J105+J116+J118</f>
        <v>90400</v>
      </c>
      <c r="K121" s="352"/>
      <c r="L121" s="332">
        <f>L105+L116+L118</f>
        <v>50400</v>
      </c>
      <c r="M121" s="1584"/>
    </row>
    <row r="122" spans="1:13" x14ac:dyDescent="0.35">
      <c r="A122" s="223"/>
      <c r="B122" s="224"/>
      <c r="C122" s="224"/>
      <c r="D122" s="333"/>
      <c r="E122" s="407"/>
      <c r="F122" s="407"/>
      <c r="G122" s="407"/>
      <c r="H122" s="407"/>
      <c r="I122" s="407"/>
      <c r="J122" s="407"/>
      <c r="K122" s="407"/>
      <c r="L122" s="333"/>
    </row>
    <row r="123" spans="1:13" s="141" customFormat="1" ht="16.2" x14ac:dyDescent="0.35">
      <c r="A123" s="878" t="s">
        <v>1242</v>
      </c>
      <c r="B123" s="995"/>
      <c r="C123" s="995"/>
      <c r="D123" s="1098"/>
      <c r="E123" s="1098"/>
      <c r="F123" s="1098"/>
      <c r="G123" s="1098"/>
      <c r="H123" s="1098"/>
      <c r="I123" s="1098"/>
      <c r="J123" s="1098"/>
      <c r="K123" s="1098"/>
      <c r="L123" s="1099"/>
      <c r="M123" s="1582"/>
    </row>
    <row r="124" spans="1:13" x14ac:dyDescent="0.35">
      <c r="A124" s="267"/>
      <c r="B124" s="171"/>
      <c r="C124" s="171"/>
      <c r="D124" s="722"/>
      <c r="E124" s="357"/>
      <c r="F124" s="357"/>
      <c r="G124" s="357"/>
      <c r="H124" s="357"/>
      <c r="I124" s="357"/>
      <c r="J124" s="357"/>
      <c r="K124" s="357"/>
      <c r="L124" s="722"/>
    </row>
    <row r="125" spans="1:13" x14ac:dyDescent="0.35">
      <c r="A125" s="135" t="s">
        <v>792</v>
      </c>
      <c r="B125" s="136"/>
      <c r="C125" s="136"/>
      <c r="D125" s="353"/>
      <c r="E125" s="352"/>
      <c r="F125" s="352"/>
      <c r="G125" s="352"/>
      <c r="H125" s="352"/>
      <c r="I125" s="352"/>
      <c r="J125" s="352"/>
      <c r="K125" s="469"/>
      <c r="L125" s="353"/>
    </row>
    <row r="126" spans="1:13" x14ac:dyDescent="0.35">
      <c r="A126" s="135" t="s">
        <v>794</v>
      </c>
      <c r="B126" s="136"/>
      <c r="C126" s="136"/>
      <c r="D126" s="250">
        <v>0</v>
      </c>
      <c r="E126" s="488"/>
      <c r="F126" s="234">
        <v>0</v>
      </c>
      <c r="G126" s="488"/>
      <c r="H126" s="234">
        <v>0</v>
      </c>
      <c r="I126" s="488"/>
      <c r="J126" s="234">
        <v>0</v>
      </c>
      <c r="K126" s="488"/>
      <c r="L126" s="250">
        <v>0</v>
      </c>
    </row>
    <row r="127" spans="1:13" x14ac:dyDescent="0.35">
      <c r="A127" s="135" t="s">
        <v>382</v>
      </c>
      <c r="B127" s="365"/>
      <c r="C127" s="365"/>
      <c r="D127" s="250">
        <v>0</v>
      </c>
      <c r="E127" s="488"/>
      <c r="F127" s="234">
        <v>0</v>
      </c>
      <c r="G127" s="488"/>
      <c r="H127" s="234">
        <v>0</v>
      </c>
      <c r="I127" s="488"/>
      <c r="J127" s="234">
        <v>0</v>
      </c>
      <c r="K127" s="488"/>
      <c r="L127" s="250">
        <v>0</v>
      </c>
    </row>
    <row r="128" spans="1:13" x14ac:dyDescent="0.35">
      <c r="A128" s="135" t="s">
        <v>703</v>
      </c>
      <c r="B128" s="365"/>
      <c r="C128" s="365"/>
      <c r="D128" s="250">
        <v>0</v>
      </c>
      <c r="E128" s="488"/>
      <c r="F128" s="234">
        <v>0</v>
      </c>
      <c r="G128" s="488"/>
      <c r="H128" s="234">
        <v>0</v>
      </c>
      <c r="I128" s="488"/>
      <c r="J128" s="234">
        <v>0</v>
      </c>
      <c r="K128" s="488"/>
      <c r="L128" s="250">
        <v>0</v>
      </c>
    </row>
    <row r="129" spans="1:13" x14ac:dyDescent="0.35">
      <c r="A129" s="135" t="s">
        <v>381</v>
      </c>
      <c r="B129" s="365"/>
      <c r="C129" s="365"/>
      <c r="D129" s="250">
        <v>16129</v>
      </c>
      <c r="E129" s="488"/>
      <c r="F129" s="234">
        <v>0</v>
      </c>
      <c r="G129" s="488"/>
      <c r="H129" s="234">
        <v>0</v>
      </c>
      <c r="I129" s="488"/>
      <c r="J129" s="234">
        <v>0</v>
      </c>
      <c r="K129" s="488"/>
      <c r="L129" s="250">
        <v>0</v>
      </c>
    </row>
    <row r="130" spans="1:13" x14ac:dyDescent="0.35">
      <c r="A130" s="135" t="s">
        <v>932</v>
      </c>
      <c r="B130" s="365"/>
      <c r="C130" s="365"/>
      <c r="D130" s="250">
        <v>0</v>
      </c>
      <c r="E130" s="488"/>
      <c r="F130" s="234">
        <v>0</v>
      </c>
      <c r="G130" s="488"/>
      <c r="H130" s="234">
        <v>0</v>
      </c>
      <c r="I130" s="488"/>
      <c r="J130" s="234">
        <v>0</v>
      </c>
      <c r="K130" s="488"/>
      <c r="L130" s="250">
        <v>0</v>
      </c>
    </row>
    <row r="131" spans="1:13" x14ac:dyDescent="0.35">
      <c r="A131" s="221" t="s">
        <v>1056</v>
      </c>
      <c r="B131" s="365"/>
      <c r="C131" s="365"/>
      <c r="D131" s="355">
        <f>SUM(D126:D130)</f>
        <v>16129</v>
      </c>
      <c r="E131" s="488"/>
      <c r="F131" s="723">
        <f>SUM(F126:F130)</f>
        <v>0</v>
      </c>
      <c r="G131" s="488"/>
      <c r="H131" s="723">
        <f>SUM(H126:H130)</f>
        <v>0</v>
      </c>
      <c r="I131" s="488"/>
      <c r="J131" s="723">
        <f>SUM(J126:J130)</f>
        <v>0</v>
      </c>
      <c r="K131" s="488"/>
      <c r="L131" s="1631">
        <f>SUM(L126:L130)</f>
        <v>0</v>
      </c>
    </row>
    <row r="132" spans="1:13" x14ac:dyDescent="0.35">
      <c r="A132" s="135" t="s">
        <v>222</v>
      </c>
      <c r="B132" s="365"/>
      <c r="C132" s="365"/>
      <c r="D132" s="250">
        <v>0</v>
      </c>
      <c r="E132" s="488"/>
      <c r="F132" s="234">
        <v>0</v>
      </c>
      <c r="G132" s="488"/>
      <c r="H132" s="234">
        <v>0</v>
      </c>
      <c r="I132" s="488"/>
      <c r="J132" s="234">
        <v>0</v>
      </c>
      <c r="K132" s="488"/>
      <c r="L132" s="250">
        <v>0</v>
      </c>
    </row>
    <row r="133" spans="1:13" x14ac:dyDescent="0.35">
      <c r="A133" s="145"/>
      <c r="D133" s="353"/>
      <c r="E133" s="1677"/>
      <c r="F133" s="684"/>
      <c r="G133" s="1677"/>
      <c r="H133" s="684"/>
      <c r="I133" s="1677"/>
      <c r="J133" s="684"/>
      <c r="K133" s="1677"/>
      <c r="L133" s="368"/>
    </row>
    <row r="134" spans="1:13" s="277" customFormat="1" x14ac:dyDescent="0.35">
      <c r="A134" s="724"/>
      <c r="D134" s="539"/>
      <c r="E134" s="1794"/>
      <c r="F134" s="403"/>
      <c r="G134" s="1794"/>
      <c r="H134" s="403"/>
      <c r="I134" s="1794"/>
      <c r="J134" s="403"/>
      <c r="K134" s="1794"/>
      <c r="L134" s="539"/>
      <c r="M134" s="1585"/>
    </row>
    <row r="135" spans="1:13" x14ac:dyDescent="0.35">
      <c r="A135" s="263" t="s">
        <v>1056</v>
      </c>
      <c r="B135" s="136"/>
      <c r="C135" s="136"/>
      <c r="D135" s="353">
        <f>D129+D127+D128+D130+D126</f>
        <v>16129</v>
      </c>
      <c r="E135" s="488"/>
      <c r="F135" s="234">
        <f>F129+F127+F128+F130+F126</f>
        <v>0</v>
      </c>
      <c r="G135" s="488"/>
      <c r="H135" s="234">
        <f>H129+H127+H128+H130+H126</f>
        <v>0</v>
      </c>
      <c r="I135" s="488"/>
      <c r="J135" s="234">
        <f>J129+J127+J128+J130+J126</f>
        <v>0</v>
      </c>
      <c r="K135" s="488"/>
      <c r="L135" s="250">
        <f>L129+L127+L128+L130+L126</f>
        <v>0</v>
      </c>
    </row>
    <row r="136" spans="1:13" x14ac:dyDescent="0.35">
      <c r="A136" s="263"/>
      <c r="B136" s="136"/>
      <c r="C136" s="136"/>
      <c r="D136" s="353"/>
      <c r="E136" s="469"/>
      <c r="F136" s="352"/>
      <c r="G136" s="469"/>
      <c r="H136" s="352"/>
      <c r="I136" s="469"/>
      <c r="J136" s="352"/>
      <c r="K136" s="469"/>
      <c r="L136" s="353"/>
    </row>
    <row r="137" spans="1:13" x14ac:dyDescent="0.35">
      <c r="A137" s="145"/>
      <c r="B137" s="146"/>
      <c r="C137" s="146"/>
      <c r="D137" s="368"/>
      <c r="E137" s="369"/>
      <c r="F137" s="369"/>
      <c r="G137" s="369"/>
      <c r="H137" s="369"/>
      <c r="I137" s="369"/>
      <c r="J137" s="369"/>
      <c r="K137" s="369"/>
      <c r="L137" s="368"/>
    </row>
    <row r="138" spans="1:13" hidden="1" x14ac:dyDescent="0.35"/>
    <row r="139" spans="1:13" hidden="1" x14ac:dyDescent="0.35"/>
    <row r="140" spans="1:13" hidden="1" x14ac:dyDescent="0.35">
      <c r="A140" s="136"/>
      <c r="B140" s="136"/>
      <c r="C140" s="136"/>
      <c r="D140" s="136"/>
      <c r="E140" s="136"/>
      <c r="F140" s="136"/>
      <c r="G140" s="136"/>
      <c r="H140" s="136"/>
      <c r="I140" s="136"/>
      <c r="J140" s="136"/>
      <c r="K140" s="136"/>
      <c r="L140" s="136"/>
    </row>
    <row r="141" spans="1:13" hidden="1" x14ac:dyDescent="0.35">
      <c r="A141" s="136"/>
      <c r="B141" s="136"/>
      <c r="C141" s="136"/>
      <c r="D141" s="136"/>
      <c r="E141" s="136"/>
      <c r="F141" s="136"/>
      <c r="G141" s="136"/>
      <c r="H141" s="136"/>
      <c r="I141" s="136"/>
      <c r="J141" s="136"/>
      <c r="K141" s="136"/>
      <c r="L141" s="136"/>
    </row>
    <row r="142" spans="1:13" hidden="1" x14ac:dyDescent="0.35">
      <c r="A142" s="136"/>
      <c r="B142" s="136"/>
      <c r="C142" s="136"/>
      <c r="D142" s="136"/>
      <c r="E142" s="136"/>
      <c r="F142" s="136"/>
      <c r="G142" s="136"/>
      <c r="H142" s="136"/>
      <c r="I142" s="136"/>
      <c r="J142" s="136"/>
      <c r="K142" s="136"/>
      <c r="L142" s="136"/>
    </row>
    <row r="143" spans="1:13" hidden="1" x14ac:dyDescent="0.35">
      <c r="A143" s="136"/>
      <c r="B143" s="136"/>
      <c r="C143" s="136"/>
      <c r="D143" s="136"/>
      <c r="E143" s="136"/>
      <c r="F143" s="136"/>
      <c r="G143" s="136"/>
      <c r="H143" s="136"/>
      <c r="I143" s="136"/>
      <c r="J143" s="136"/>
      <c r="K143" s="136"/>
      <c r="L143" s="136"/>
    </row>
    <row r="144" spans="1:13" hidden="1" x14ac:dyDescent="0.35">
      <c r="A144" s="136"/>
      <c r="B144" s="136"/>
      <c r="C144" s="136"/>
      <c r="D144" s="136"/>
      <c r="E144" s="136"/>
      <c r="F144" s="136"/>
      <c r="G144" s="136"/>
      <c r="H144" s="136"/>
      <c r="I144" s="136"/>
      <c r="J144" s="136"/>
      <c r="K144" s="136"/>
      <c r="L144" s="136"/>
    </row>
    <row r="145" spans="1:12" hidden="1" x14ac:dyDescent="0.35">
      <c r="A145" s="136"/>
      <c r="B145" s="136"/>
      <c r="C145" s="136"/>
      <c r="D145" s="136"/>
      <c r="E145" s="136"/>
      <c r="F145" s="136"/>
      <c r="G145" s="136"/>
      <c r="H145" s="136"/>
      <c r="I145" s="136"/>
      <c r="J145" s="136"/>
      <c r="K145" s="136"/>
      <c r="L145" s="136"/>
    </row>
    <row r="146" spans="1:12" hidden="1" x14ac:dyDescent="0.35">
      <c r="A146" s="136"/>
      <c r="B146" s="136"/>
      <c r="C146" s="136"/>
      <c r="D146" s="136"/>
      <c r="E146" s="136"/>
      <c r="F146" s="136"/>
      <c r="G146" s="136"/>
      <c r="H146" s="136"/>
      <c r="I146" s="136"/>
      <c r="J146" s="136"/>
      <c r="K146" s="136"/>
      <c r="L146" s="136"/>
    </row>
    <row r="147" spans="1:12" hidden="1" x14ac:dyDescent="0.35">
      <c r="A147" s="136"/>
      <c r="B147" s="136"/>
      <c r="C147" s="136"/>
      <c r="D147" s="136"/>
      <c r="E147" s="136"/>
      <c r="F147" s="136"/>
      <c r="G147" s="136"/>
      <c r="H147" s="136"/>
      <c r="I147" s="136"/>
      <c r="J147" s="136"/>
      <c r="K147" s="136"/>
      <c r="L147" s="136"/>
    </row>
    <row r="148" spans="1:12" hidden="1" x14ac:dyDescent="0.35">
      <c r="A148" s="136"/>
      <c r="B148" s="136"/>
      <c r="C148" s="136"/>
      <c r="D148" s="136"/>
      <c r="E148" s="136"/>
      <c r="F148" s="136"/>
      <c r="G148" s="136"/>
      <c r="H148" s="136"/>
      <c r="I148" s="136"/>
      <c r="J148" s="136"/>
      <c r="K148" s="136"/>
      <c r="L148" s="136"/>
    </row>
    <row r="149" spans="1:12" hidden="1" x14ac:dyDescent="0.35">
      <c r="A149" s="136"/>
      <c r="B149" s="136"/>
      <c r="C149" s="136"/>
      <c r="D149" s="136"/>
      <c r="E149" s="136"/>
      <c r="F149" s="136"/>
      <c r="G149" s="136"/>
      <c r="H149" s="136"/>
      <c r="I149" s="136"/>
      <c r="J149" s="136"/>
      <c r="K149" s="136"/>
      <c r="L149" s="136"/>
    </row>
    <row r="150" spans="1:12" hidden="1" x14ac:dyDescent="0.35">
      <c r="A150" s="136"/>
      <c r="B150" s="136"/>
      <c r="C150" s="136"/>
      <c r="D150" s="136"/>
      <c r="E150" s="136"/>
      <c r="F150" s="136"/>
      <c r="G150" s="136"/>
      <c r="H150" s="136"/>
      <c r="I150" s="136"/>
      <c r="J150" s="136"/>
      <c r="K150" s="136"/>
      <c r="L150" s="136"/>
    </row>
    <row r="151" spans="1:12" hidden="1" x14ac:dyDescent="0.35">
      <c r="A151" s="136"/>
      <c r="B151" s="136"/>
      <c r="C151" s="136"/>
      <c r="D151" s="136"/>
      <c r="E151" s="136"/>
      <c r="F151" s="136"/>
      <c r="G151" s="136"/>
      <c r="H151" s="136"/>
      <c r="I151" s="136"/>
      <c r="J151" s="136"/>
      <c r="K151" s="136"/>
      <c r="L151" s="136"/>
    </row>
    <row r="152" spans="1:12" hidden="1" x14ac:dyDescent="0.35">
      <c r="A152" s="136"/>
      <c r="B152" s="136"/>
      <c r="C152" s="136"/>
      <c r="D152" s="136"/>
      <c r="E152" s="136"/>
      <c r="F152" s="136"/>
      <c r="G152" s="136"/>
      <c r="H152" s="136"/>
      <c r="I152" s="136"/>
      <c r="J152" s="136"/>
      <c r="K152" s="136"/>
      <c r="L152" s="136"/>
    </row>
    <row r="153" spans="1:12" hidden="1" x14ac:dyDescent="0.35"/>
    <row r="154" spans="1:12" hidden="1" x14ac:dyDescent="0.35"/>
    <row r="155" spans="1:12" hidden="1" x14ac:dyDescent="0.35"/>
    <row r="156" spans="1:12" hidden="1" x14ac:dyDescent="0.35"/>
    <row r="157" spans="1:12" hidden="1" x14ac:dyDescent="0.35"/>
    <row r="158" spans="1:12" hidden="1" x14ac:dyDescent="0.35"/>
    <row r="159" spans="1:12" hidden="1" x14ac:dyDescent="0.35"/>
    <row r="160" spans="1:12" hidden="1" x14ac:dyDescent="0.35"/>
    <row r="161" hidden="1" x14ac:dyDescent="0.35"/>
    <row r="162" hidden="1" x14ac:dyDescent="0.35"/>
    <row r="163" hidden="1" x14ac:dyDescent="0.35"/>
    <row r="164" hidden="1" x14ac:dyDescent="0.35"/>
    <row r="165" hidden="1" x14ac:dyDescent="0.35"/>
    <row r="166" hidden="1" x14ac:dyDescent="0.35"/>
    <row r="167" hidden="1" x14ac:dyDescent="0.35"/>
    <row r="168" hidden="1" x14ac:dyDescent="0.35"/>
    <row r="169" hidden="1" x14ac:dyDescent="0.35"/>
    <row r="170" hidden="1" x14ac:dyDescent="0.35"/>
    <row r="171" hidden="1" x14ac:dyDescent="0.35"/>
    <row r="172" hidden="1" x14ac:dyDescent="0.35"/>
    <row r="173" hidden="1" x14ac:dyDescent="0.35"/>
    <row r="174" hidden="1" x14ac:dyDescent="0.35"/>
    <row r="175" hidden="1" x14ac:dyDescent="0.35"/>
    <row r="176" hidden="1" x14ac:dyDescent="0.35"/>
    <row r="177" hidden="1" x14ac:dyDescent="0.35"/>
    <row r="178" hidden="1" x14ac:dyDescent="0.35"/>
    <row r="179" hidden="1" x14ac:dyDescent="0.35"/>
    <row r="180" hidden="1" x14ac:dyDescent="0.35"/>
    <row r="181" hidden="1" x14ac:dyDescent="0.35"/>
    <row r="182" hidden="1" x14ac:dyDescent="0.35"/>
    <row r="183" hidden="1" x14ac:dyDescent="0.35"/>
    <row r="184" hidden="1" x14ac:dyDescent="0.35"/>
    <row r="185" hidden="1" x14ac:dyDescent="0.35"/>
    <row r="186" hidden="1" x14ac:dyDescent="0.35"/>
    <row r="187" hidden="1" x14ac:dyDescent="0.35"/>
    <row r="188" hidden="1" x14ac:dyDescent="0.35"/>
    <row r="189" hidden="1" x14ac:dyDescent="0.35"/>
    <row r="190" hidden="1" x14ac:dyDescent="0.35"/>
    <row r="191" hidden="1" x14ac:dyDescent="0.35"/>
    <row r="192" hidden="1" x14ac:dyDescent="0.35"/>
    <row r="193" hidden="1" x14ac:dyDescent="0.35"/>
    <row r="194" hidden="1" x14ac:dyDescent="0.35"/>
    <row r="195" hidden="1" x14ac:dyDescent="0.35"/>
    <row r="196" hidden="1" x14ac:dyDescent="0.35"/>
    <row r="197" hidden="1" x14ac:dyDescent="0.35"/>
    <row r="198" hidden="1" x14ac:dyDescent="0.35"/>
    <row r="199" hidden="1" x14ac:dyDescent="0.35"/>
    <row r="200" hidden="1" x14ac:dyDescent="0.35"/>
    <row r="201" hidden="1" x14ac:dyDescent="0.35"/>
    <row r="202" hidden="1" x14ac:dyDescent="0.35"/>
    <row r="203" hidden="1" x14ac:dyDescent="0.35"/>
    <row r="204" hidden="1" x14ac:dyDescent="0.35"/>
    <row r="205" hidden="1" x14ac:dyDescent="0.35"/>
    <row r="206" hidden="1" x14ac:dyDescent="0.35"/>
    <row r="207" hidden="1" x14ac:dyDescent="0.35"/>
    <row r="208" hidden="1" x14ac:dyDescent="0.35"/>
    <row r="209" hidden="1" x14ac:dyDescent="0.35"/>
    <row r="210" hidden="1" x14ac:dyDescent="0.35"/>
    <row r="211" hidden="1" x14ac:dyDescent="0.35"/>
    <row r="212" hidden="1" x14ac:dyDescent="0.35"/>
    <row r="213" hidden="1" x14ac:dyDescent="0.35"/>
    <row r="214" hidden="1" x14ac:dyDescent="0.35"/>
    <row r="215" hidden="1" x14ac:dyDescent="0.35"/>
    <row r="216" hidden="1" x14ac:dyDescent="0.35"/>
    <row r="217" hidden="1" x14ac:dyDescent="0.35"/>
    <row r="218" hidden="1" x14ac:dyDescent="0.35"/>
    <row r="219" hidden="1" x14ac:dyDescent="0.35"/>
    <row r="220" hidden="1" x14ac:dyDescent="0.35"/>
    <row r="221" hidden="1" x14ac:dyDescent="0.35"/>
    <row r="222" hidden="1" x14ac:dyDescent="0.35"/>
    <row r="223" hidden="1" x14ac:dyDescent="0.35"/>
    <row r="224" hidden="1" x14ac:dyDescent="0.35"/>
  </sheetData>
  <sheetProtection password="813F" sheet="1" objects="1" scenarios="1" selectLockedCells="1"/>
  <scenarios current="0" show="0" sqref="D32:D39">
    <scenario name="Omzet daling" locked="1" count="1" user="marco eijkens" comment="Gemaakt door marco eijkens op 21-7-2008">
      <inputCells r="F121" val="0"/>
    </scenario>
  </scenarios>
  <customSheetViews>
    <customSheetView guid="{51165254-F18A-4CD1-9981-8F2DE14CC76C}" showGridLines="0" hiddenRows="1" hiddenColumns="1" showRuler="0">
      <pane ySplit="6" topLeftCell="A73" activePane="bottomLeft" state="frozen"/>
      <selection pane="bottomLeft" activeCell="F129" sqref="F129"/>
      <rowBreaks count="1" manualBreakCount="1">
        <brk id="96" max="11" man="1"/>
      </rowBreaks>
      <pageMargins left="0.78740157480314965" right="0.78740157480314965" top="0.98425196850393704" bottom="0.98425196850393704" header="0.51181102362204722" footer="0.51181102362204722"/>
      <printOptions horizontalCentered="1" verticalCentered="1"/>
      <pageSetup paperSize="9" scale="49" fitToHeight="2"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4" orientation="portrait" r:id="rId2"/>
  <headerFooter alignWithMargins="0">
    <oddHeader>&amp;L&amp;F</oddHeader>
    <oddFooter xml:space="preserve">&amp;LDAF Dealer Business Plan - Version January 2011&amp;CPrint date: &amp;D&amp;R&amp;P/&amp;N | DAF Trucks NV    </oddFooter>
  </headerFooter>
  <rowBreaks count="1" manualBreakCount="1">
    <brk id="96" max="12" man="1"/>
  </rowBreaks>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4">
    <tabColor indexed="22"/>
    <pageSetUpPr fitToPage="1"/>
  </sheetPr>
  <dimension ref="A1:L85"/>
  <sheetViews>
    <sheetView showGridLines="0" topLeftCell="A17" zoomScaleNormal="110" workbookViewId="0">
      <selection activeCell="I38" sqref="I38"/>
    </sheetView>
  </sheetViews>
  <sheetFormatPr baseColWidth="10" defaultColWidth="0" defaultRowHeight="13.2" zeroHeight="1" x14ac:dyDescent="0.25"/>
  <cols>
    <col min="1" max="1" width="26.44140625" customWidth="1"/>
    <col min="2" max="12" width="12.33203125" customWidth="1"/>
    <col min="13" max="13" width="3" customWidth="1"/>
  </cols>
  <sheetData>
    <row r="1" spans="1:12" ht="28.8" x14ac:dyDescent="0.55000000000000004">
      <c r="A1" s="200" t="s">
        <v>1173</v>
      </c>
      <c r="B1" s="201"/>
      <c r="C1" s="201"/>
      <c r="D1" s="201"/>
      <c r="E1" s="201"/>
      <c r="F1" s="201"/>
      <c r="G1" s="201"/>
      <c r="H1" s="201"/>
      <c r="I1" s="201"/>
      <c r="J1" s="201"/>
      <c r="K1" s="202"/>
      <c r="L1" s="824" t="s">
        <v>909</v>
      </c>
    </row>
    <row r="2" spans="1:12" ht="14.4" x14ac:dyDescent="0.35">
      <c r="A2" s="1879"/>
      <c r="B2" s="1880"/>
      <c r="C2" s="1880"/>
      <c r="D2" s="1880"/>
      <c r="E2" s="1880"/>
      <c r="F2" s="1881"/>
      <c r="G2" s="1880"/>
      <c r="H2" s="1880"/>
      <c r="I2" s="1880"/>
      <c r="J2" s="1880"/>
      <c r="K2" s="1880"/>
      <c r="L2" s="1882"/>
    </row>
    <row r="3" spans="1:12" ht="16.2" x14ac:dyDescent="0.35">
      <c r="A3" s="1883" t="s">
        <v>1035</v>
      </c>
      <c r="B3" s="1884" t="str">
        <f>'Reference sheet'!C12</f>
        <v>TRUCK INTERNATIONAL MOBILITY SA</v>
      </c>
      <c r="C3" s="1885"/>
      <c r="D3" s="1880"/>
      <c r="E3" s="1880"/>
      <c r="F3" s="1886" t="s">
        <v>1036</v>
      </c>
      <c r="G3" s="1887">
        <f>'Reference sheet'!C15</f>
        <v>2</v>
      </c>
      <c r="H3" s="1888" t="s">
        <v>1037</v>
      </c>
      <c r="I3" s="1889" t="str">
        <f>'Reference sheet'!C17</f>
        <v>October</v>
      </c>
      <c r="J3" s="1889">
        <f>'Reference sheet'!D17</f>
        <v>2018</v>
      </c>
      <c r="K3" s="1890" t="s">
        <v>1175</v>
      </c>
      <c r="L3" s="1891" t="str">
        <f>'Reference sheet'!C21</f>
        <v>EUR</v>
      </c>
    </row>
    <row r="4" spans="1:12" ht="14.4" x14ac:dyDescent="0.35">
      <c r="A4" s="1879"/>
      <c r="B4" s="1892"/>
      <c r="C4" s="1893"/>
      <c r="D4" s="1880"/>
      <c r="E4" s="1880"/>
      <c r="F4" s="1880"/>
      <c r="G4" s="1880"/>
      <c r="H4" s="1894"/>
      <c r="I4" s="1880"/>
      <c r="J4" s="1880"/>
      <c r="K4" s="1880"/>
      <c r="L4" s="1895"/>
    </row>
    <row r="5" spans="1:12" ht="14.4" x14ac:dyDescent="0.35">
      <c r="A5" s="1896"/>
      <c r="B5" s="1897"/>
      <c r="C5" s="1898" t="s">
        <v>117</v>
      </c>
      <c r="D5" s="1899"/>
      <c r="E5" s="1897"/>
      <c r="F5" s="1897"/>
      <c r="G5" s="1897"/>
      <c r="H5" s="1900"/>
      <c r="I5" s="1897"/>
      <c r="J5" s="1897"/>
      <c r="K5" s="1897"/>
      <c r="L5" s="1901"/>
    </row>
    <row r="6" spans="1:12" ht="14.4" x14ac:dyDescent="0.35">
      <c r="A6" s="1896"/>
      <c r="B6" s="1902"/>
      <c r="C6" s="1898" t="s">
        <v>118</v>
      </c>
      <c r="D6" s="1903">
        <f>+'7.1 Dealer area'!C5</f>
        <v>2019</v>
      </c>
      <c r="E6" s="2236">
        <f>+'7.1 Dealer area'!E5</f>
        <v>2020</v>
      </c>
      <c r="F6" s="2237"/>
      <c r="G6" s="2236">
        <f>+'7.1 Dealer area'!G5</f>
        <v>2021</v>
      </c>
      <c r="H6" s="2237"/>
      <c r="I6" s="2236">
        <f>+'7.1 Dealer area'!I5</f>
        <v>2022</v>
      </c>
      <c r="J6" s="2237"/>
      <c r="K6" s="2236">
        <f>+'7.1 Dealer area'!K5</f>
        <v>2023</v>
      </c>
      <c r="L6" s="2237"/>
    </row>
    <row r="7" spans="1:12" ht="18" x14ac:dyDescent="0.35">
      <c r="A7" s="1904" t="s">
        <v>158</v>
      </c>
      <c r="B7" s="1905"/>
      <c r="C7" s="1906"/>
      <c r="D7" s="1907"/>
      <c r="E7" s="1907"/>
      <c r="F7" s="1907"/>
      <c r="G7" s="1907"/>
      <c r="H7" s="1908"/>
      <c r="I7" s="1907"/>
      <c r="J7" s="1907"/>
      <c r="K7" s="1907"/>
      <c r="L7" s="1909"/>
    </row>
    <row r="8" spans="1:12" ht="14.4" x14ac:dyDescent="0.35">
      <c r="A8" s="1910"/>
      <c r="B8" s="1911"/>
      <c r="C8" s="1911"/>
      <c r="D8" s="1912"/>
      <c r="E8" s="1913"/>
      <c r="F8" s="1913"/>
      <c r="G8" s="1913"/>
      <c r="H8" s="1914"/>
      <c r="I8" s="1913"/>
      <c r="J8" s="1913"/>
      <c r="K8" s="1913"/>
      <c r="L8" s="1915"/>
    </row>
    <row r="9" spans="1:12" ht="14.4" x14ac:dyDescent="0.35">
      <c r="A9" s="1879" t="s">
        <v>159</v>
      </c>
      <c r="B9" s="1916"/>
      <c r="C9" s="1917">
        <f>'7.4.3 Inv. &amp; Depr.'!C54</f>
        <v>0</v>
      </c>
      <c r="D9" s="1918">
        <f>C9+'7.4.3 Inv. &amp; Depr.'!C11+'7.4.3 Inv. &amp; Depr.'!D11+'7.4.3 Inv. &amp; Depr.'!D54-'7.4.3 Inv. &amp; Depr.'!D105</f>
        <v>21505.333333333336</v>
      </c>
      <c r="E9" s="1919"/>
      <c r="F9" s="1920">
        <f>D9+'7.4.3 Inv. &amp; Depr.'!F11+'7.4.3 Inv. &amp; Depr.'!F54-'7.4.3 Inv. &amp; Depr.'!F105</f>
        <v>10752.66666666667</v>
      </c>
      <c r="G9" s="1919"/>
      <c r="H9" s="1920">
        <f>F9+'7.4.3 Inv. &amp; Depr.'!H11+'7.4.3 Inv. &amp; Depr.'!H54-'7.4.3 Inv. &amp; Depr.'!H105</f>
        <v>10752.66666666667</v>
      </c>
      <c r="I9" s="1919"/>
      <c r="J9" s="1920">
        <f>H9+'7.4.3 Inv. &amp; Depr.'!J11+'7.4.3 Inv. &amp; Depr.'!J54-'7.4.3 Inv. &amp; Depr.'!J105</f>
        <v>10752.66666666667</v>
      </c>
      <c r="K9" s="1919"/>
      <c r="L9" s="1917">
        <f>J9+'7.4.3 Inv. &amp; Depr.'!L11+'7.4.3 Inv. &amp; Depr.'!L54-'7.4.3 Inv. &amp; Depr.'!L105</f>
        <v>10752.66666666667</v>
      </c>
    </row>
    <row r="10" spans="1:12" ht="14.4" x14ac:dyDescent="0.35">
      <c r="A10" s="1879" t="s">
        <v>160</v>
      </c>
      <c r="B10" s="1921"/>
      <c r="C10" s="1922">
        <f>'7.4.3 Inv. &amp; Depr.'!C65</f>
        <v>0</v>
      </c>
      <c r="D10" s="1922">
        <f>C10+'7.4.3 Inv. &amp; Depr.'!C22+'7.4.3 Inv. &amp; Depr.'!D22+'7.4.3 Inv. &amp; Depr.'!D65-'7.4.3 Inv. &amp; Depr.'!D116</f>
        <v>137066.66666666666</v>
      </c>
      <c r="E10" s="1880"/>
      <c r="F10" s="1923">
        <f>D10+'7.4.3 Inv. &amp; Depr.'!F22+'7.4.3 Inv. &amp; Depr.'!F65-'7.4.3 Inv. &amp; Depr.'!F116</f>
        <v>522333.33333333326</v>
      </c>
      <c r="G10" s="1880"/>
      <c r="H10" s="1923">
        <f>F10+'7.4.3 Inv. &amp; Depr.'!H22+'7.4.3 Inv. &amp; Depr.'!H65-'7.4.3 Inv. &amp; Depr.'!H116</f>
        <v>418599.99999999988</v>
      </c>
      <c r="I10" s="1880"/>
      <c r="J10" s="1923">
        <f>H10+'7.4.3 Inv. &amp; Depr.'!J22+'7.4.3 Inv. &amp; Depr.'!J65-'7.4.3 Inv. &amp; Depr.'!J116</f>
        <v>328199.99999999988</v>
      </c>
      <c r="K10" s="1880"/>
      <c r="L10" s="1922">
        <f>J10+'7.4.3 Inv. &amp; Depr.'!L22+'7.4.3 Inv. &amp; Depr.'!L65-'7.4.3 Inv. &amp; Depr.'!L116</f>
        <v>277799.99999999988</v>
      </c>
    </row>
    <row r="11" spans="1:12" ht="14.4" x14ac:dyDescent="0.35">
      <c r="A11" s="1879" t="s">
        <v>161</v>
      </c>
      <c r="B11" s="1921"/>
      <c r="C11" s="1922">
        <f>'7.4.3 Inv. &amp; Depr.'!C68</f>
        <v>0</v>
      </c>
      <c r="D11" s="1922">
        <f>C11+'7.4.3 Inv. &amp; Depr.'!C24+'7.4.3 Inv. &amp; Depr.'!D24+'7.4.3 Inv. &amp; Depr.'!D68-'7.4.3 Inv. &amp; Depr.'!D95</f>
        <v>0</v>
      </c>
      <c r="E11" s="1880"/>
      <c r="F11" s="1923">
        <f>D11+'7.4.3 Inv. &amp; Depr.'!F24+'7.4.3 Inv. &amp; Depr.'!F68-'7.4.3 Inv. &amp; Depr.'!F95</f>
        <v>0</v>
      </c>
      <c r="G11" s="1880"/>
      <c r="H11" s="1923">
        <f>F11+'7.4.3 Inv. &amp; Depr.'!H24+'7.4.3 Inv. &amp; Depr.'!H68-'7.4.3 Inv. &amp; Depr.'!H95</f>
        <v>0</v>
      </c>
      <c r="I11" s="1880"/>
      <c r="J11" s="1923">
        <f>H11+'7.4.3 Inv. &amp; Depr.'!J24+'7.4.3 Inv. &amp; Depr.'!J68-'7.4.3 Inv. &amp; Depr.'!J95</f>
        <v>0</v>
      </c>
      <c r="K11" s="1880"/>
      <c r="L11" s="1922">
        <f>J11+'7.4.3 Inv. &amp; Depr.'!L24+'7.4.3 Inv. &amp; Depr.'!L68-'7.4.3 Inv. &amp; Depr.'!L95</f>
        <v>0</v>
      </c>
    </row>
    <row r="12" spans="1:12" ht="14.4" x14ac:dyDescent="0.35">
      <c r="A12" s="1879" t="s">
        <v>162</v>
      </c>
      <c r="B12" s="1921"/>
      <c r="C12" s="1922">
        <f>IF('7.5.2 Fin. Income &amp; Expenses '!D18=0,0,'7.2.2 Turnover Parts'!C71)</f>
        <v>0</v>
      </c>
      <c r="D12" s="1922">
        <f>'7.2.2 Turnover Parts'!C71</f>
        <v>50000</v>
      </c>
      <c r="E12" s="1880"/>
      <c r="F12" s="1923">
        <f>'7.2.2 Turnover Parts'!E71</f>
        <v>73523.964062023777</v>
      </c>
      <c r="G12" s="1880"/>
      <c r="H12" s="1923">
        <f ca="1">'7.2.2 Turnover Parts'!G71</f>
        <v>201460.32154912403</v>
      </c>
      <c r="I12" s="1880"/>
      <c r="J12" s="1923">
        <f ca="1">'7.2.2 Turnover Parts'!I71</f>
        <v>276585.05217823834</v>
      </c>
      <c r="K12" s="1880"/>
      <c r="L12" s="1922">
        <f ca="1">'7.2.2 Turnover Parts'!K71</f>
        <v>383068.11267802591</v>
      </c>
    </row>
    <row r="13" spans="1:12" ht="14.4" x14ac:dyDescent="0.35">
      <c r="A13" s="1879" t="s">
        <v>163</v>
      </c>
      <c r="B13" s="1921"/>
      <c r="C13" s="1924">
        <f>IF('7.5.2 Fin. Income &amp; Expenses '!D18=0,0,'7.2.1 Turnover Vehicles'!C53)</f>
        <v>0</v>
      </c>
      <c r="D13" s="1924">
        <f>'7.2.1 Turnover Vehicles'!C53</f>
        <v>0</v>
      </c>
      <c r="E13" s="1880"/>
      <c r="F13" s="1925">
        <f>'7.2.1 Turnover Vehicles'!E53</f>
        <v>0</v>
      </c>
      <c r="G13" s="1880"/>
      <c r="H13" s="1925">
        <f>'7.2.1 Turnover Vehicles'!G53</f>
        <v>0</v>
      </c>
      <c r="I13" s="1880"/>
      <c r="J13" s="1925">
        <f>'7.2.1 Turnover Vehicles'!I53</f>
        <v>0</v>
      </c>
      <c r="K13" s="1880"/>
      <c r="L13" s="1924">
        <f>'7.2.1 Turnover Vehicles'!K53</f>
        <v>0</v>
      </c>
    </row>
    <row r="14" spans="1:12" ht="14.4" x14ac:dyDescent="0.35">
      <c r="A14" s="1926" t="s">
        <v>1056</v>
      </c>
      <c r="B14" s="1921"/>
      <c r="C14" s="1927">
        <f>SUM(C9:C13)</f>
        <v>0</v>
      </c>
      <c r="D14" s="1928">
        <f>SUM(D9:D13)</f>
        <v>208572</v>
      </c>
      <c r="E14" s="1929"/>
      <c r="F14" s="1930">
        <f>SUM(F9:F13)</f>
        <v>606609.96406202368</v>
      </c>
      <c r="G14" s="1929"/>
      <c r="H14" s="1930">
        <f ca="1">SUM(H9:H13)</f>
        <v>630812.9882157906</v>
      </c>
      <c r="I14" s="1929"/>
      <c r="J14" s="1930">
        <f ca="1">SUM(J9:J13)</f>
        <v>615537.71884490491</v>
      </c>
      <c r="K14" s="1929"/>
      <c r="L14" s="1927">
        <f ca="1">SUM(L9:L13)</f>
        <v>671620.77934469248</v>
      </c>
    </row>
    <row r="15" spans="1:12" ht="14.4" x14ac:dyDescent="0.35">
      <c r="A15" s="1931"/>
      <c r="B15" s="1897"/>
      <c r="C15" s="1897"/>
      <c r="D15" s="1924"/>
      <c r="E15" s="1897"/>
      <c r="F15" s="1925"/>
      <c r="G15" s="1897"/>
      <c r="H15" s="1925"/>
      <c r="I15" s="1897"/>
      <c r="J15" s="1925"/>
      <c r="K15" s="1897"/>
      <c r="L15" s="1924"/>
    </row>
    <row r="16" spans="1:12" ht="14.4" x14ac:dyDescent="0.35">
      <c r="A16" s="1929"/>
      <c r="B16" s="1880"/>
      <c r="C16" s="1880"/>
      <c r="D16" s="1923"/>
      <c r="E16" s="1880"/>
      <c r="F16" s="1923"/>
      <c r="G16" s="1880"/>
      <c r="H16" s="1923"/>
      <c r="I16" s="1880"/>
      <c r="J16" s="1923"/>
      <c r="K16" s="1880"/>
      <c r="L16" s="1923"/>
    </row>
    <row r="17" spans="1:12" ht="14.4" x14ac:dyDescent="0.35">
      <c r="A17" s="1929"/>
      <c r="B17" s="1880"/>
      <c r="C17" s="1880"/>
      <c r="D17" s="1923"/>
      <c r="E17" s="1880"/>
      <c r="F17" s="1923"/>
      <c r="G17" s="1880"/>
      <c r="H17" s="1923"/>
      <c r="I17" s="1880"/>
      <c r="J17" s="1923"/>
      <c r="K17" s="1880"/>
      <c r="L17" s="1923"/>
    </row>
    <row r="18" spans="1:12" ht="18" x14ac:dyDescent="0.35">
      <c r="A18" s="1904" t="s">
        <v>164</v>
      </c>
      <c r="B18" s="1905"/>
      <c r="C18" s="1905"/>
      <c r="D18" s="1932"/>
      <c r="E18" s="1932"/>
      <c r="F18" s="1932"/>
      <c r="G18" s="1932"/>
      <c r="H18" s="1933"/>
      <c r="I18" s="1932"/>
      <c r="J18" s="1932"/>
      <c r="K18" s="1932"/>
      <c r="L18" s="1934"/>
    </row>
    <row r="19" spans="1:12" ht="18" x14ac:dyDescent="0.35">
      <c r="A19" s="1904" t="s">
        <v>165</v>
      </c>
      <c r="B19" s="1932"/>
      <c r="C19" s="1932"/>
      <c r="D19" s="1932"/>
      <c r="E19" s="1932"/>
      <c r="F19" s="1932"/>
      <c r="G19" s="1932"/>
      <c r="H19" s="1932"/>
      <c r="I19" s="1932"/>
      <c r="J19" s="1932"/>
      <c r="K19" s="1932"/>
      <c r="L19" s="1935"/>
    </row>
    <row r="20" spans="1:12" ht="14.4" x14ac:dyDescent="0.35">
      <c r="A20" s="1910"/>
      <c r="B20" s="1913"/>
      <c r="C20" s="1913"/>
      <c r="D20" s="1912"/>
      <c r="E20" s="1913"/>
      <c r="F20" s="1913"/>
      <c r="G20" s="1913"/>
      <c r="H20" s="1913"/>
      <c r="I20" s="1913"/>
      <c r="J20" s="1913"/>
      <c r="K20" s="1913"/>
      <c r="L20" s="1912"/>
    </row>
    <row r="21" spans="1:12" ht="14.4" x14ac:dyDescent="0.35">
      <c r="A21" s="1926"/>
      <c r="B21" s="1936" t="s">
        <v>166</v>
      </c>
      <c r="C21" s="1936"/>
      <c r="D21" s="1937"/>
      <c r="E21" s="1880"/>
      <c r="F21" s="1880"/>
      <c r="G21" s="1880"/>
      <c r="H21" s="1880"/>
      <c r="I21" s="1880"/>
      <c r="J21" s="1880"/>
      <c r="K21" s="1880"/>
      <c r="L21" s="1938"/>
    </row>
    <row r="22" spans="1:12" ht="14.4" x14ac:dyDescent="0.35">
      <c r="A22" s="1879"/>
      <c r="B22" s="1936" t="s">
        <v>167</v>
      </c>
      <c r="C22" s="1936"/>
      <c r="D22" s="1939"/>
      <c r="E22" s="1936" t="s">
        <v>490</v>
      </c>
      <c r="F22" s="1880"/>
      <c r="G22" s="1936" t="s">
        <v>490</v>
      </c>
      <c r="H22" s="1880"/>
      <c r="I22" s="1936" t="s">
        <v>490</v>
      </c>
      <c r="J22" s="1880"/>
      <c r="K22" s="1936" t="s">
        <v>490</v>
      </c>
      <c r="L22" s="1938"/>
    </row>
    <row r="23" spans="1:12" ht="14.4" x14ac:dyDescent="0.35">
      <c r="A23" s="135" t="s">
        <v>371</v>
      </c>
      <c r="B23" s="1871">
        <v>120</v>
      </c>
      <c r="C23" s="348"/>
      <c r="D23" s="730">
        <f>'7.2.1 Turnover Vehicles'!C36*(1+'7.5.3 VAT'!$C$8)*'7.5.1 Financial Requirements'!$B$23/360</f>
        <v>736438.6399999999</v>
      </c>
      <c r="E23" s="1872">
        <f t="shared" ref="E23:E31" si="0">B23</f>
        <v>120</v>
      </c>
      <c r="F23" s="352">
        <f>'7.2.1 Turnover Vehicles'!E36*(1+'7.5.3 VAT'!$C$8)*'7.5.1 Financial Requirements'!E23/360</f>
        <v>1853198.3049999999</v>
      </c>
      <c r="G23" s="1872">
        <f t="shared" ref="G23:G31" si="1">E23</f>
        <v>120</v>
      </c>
      <c r="H23" s="352">
        <f>'7.2.1 Turnover Vehicles'!G36*(1+'7.5.3 VAT'!$C$8)*'7.5.1 Financial Requirements'!G23/360</f>
        <v>3172565.585</v>
      </c>
      <c r="I23" s="1872">
        <f t="shared" ref="I23:I31" si="2">G23</f>
        <v>120</v>
      </c>
      <c r="J23" s="352">
        <f>'7.2.1 Turnover Vehicles'!I36*(1+'7.5.3 VAT'!$C$8)*'7.5.1 Financial Requirements'!I23/360</f>
        <v>3986479.6985999993</v>
      </c>
      <c r="K23" s="1872">
        <f t="shared" ref="K23:K31" si="3">I23</f>
        <v>120</v>
      </c>
      <c r="L23" s="353">
        <f>'7.2.1 Turnover Vehicles'!K36*(1+'7.5.3 VAT'!$C$8)*'7.5.1 Financial Requirements'!K23/360</f>
        <v>4763039.2004999993</v>
      </c>
    </row>
    <row r="24" spans="1:12" ht="14.4" x14ac:dyDescent="0.35">
      <c r="A24" s="135" t="s">
        <v>372</v>
      </c>
      <c r="B24" s="1871">
        <v>0</v>
      </c>
      <c r="C24" s="348"/>
      <c r="D24" s="737">
        <f>'7.2.1 Turnover Vehicles'!C48*(1+'7.5.3 VAT'!$C$8)*'7.5.1 Financial Requirements'!$B$24/360</f>
        <v>0</v>
      </c>
      <c r="E24" s="1872">
        <f t="shared" si="0"/>
        <v>0</v>
      </c>
      <c r="F24" s="357">
        <f>'7.2.1 Turnover Vehicles'!E48*(1+'7.5.3 VAT'!$C$8)*'7.5.1 Financial Requirements'!E24/360</f>
        <v>0</v>
      </c>
      <c r="G24" s="1872">
        <f t="shared" si="1"/>
        <v>0</v>
      </c>
      <c r="H24" s="357">
        <f>'7.2.1 Turnover Vehicles'!G48*(1+'7.5.3 VAT'!$C$8)*'7.5.1 Financial Requirements'!G24/360</f>
        <v>0</v>
      </c>
      <c r="I24" s="1872">
        <f t="shared" si="2"/>
        <v>0</v>
      </c>
      <c r="J24" s="357">
        <f>'7.2.1 Turnover Vehicles'!I48*(1+'7.5.3 VAT'!$C$8)*'7.5.1 Financial Requirements'!I24/360</f>
        <v>0</v>
      </c>
      <c r="K24" s="1872">
        <f t="shared" si="3"/>
        <v>0</v>
      </c>
      <c r="L24" s="332">
        <f>'7.2.1 Turnover Vehicles'!K48*(1+'7.5.3 VAT'!$C$8)*'7.5.1 Financial Requirements'!K24/360</f>
        <v>0</v>
      </c>
    </row>
    <row r="25" spans="1:12" ht="14.4" x14ac:dyDescent="0.35">
      <c r="A25" s="135" t="s">
        <v>368</v>
      </c>
      <c r="B25" s="1871">
        <v>0</v>
      </c>
      <c r="C25" s="348"/>
      <c r="D25" s="635">
        <f>'7.2.1 Turnover Vehicles'!C72*(1+'7.5.3 VAT'!$C$8)*'7.5.1 Financial Requirements'!$B$25/360</f>
        <v>0</v>
      </c>
      <c r="E25" s="1872">
        <f t="shared" si="0"/>
        <v>0</v>
      </c>
      <c r="F25" s="352">
        <f>'7.2.1 Turnover Vehicles'!E72*(1+'7.5.3 VAT'!$C$8)*'7.5.1 Financial Requirements'!E25/360</f>
        <v>0</v>
      </c>
      <c r="G25" s="1872">
        <f t="shared" si="1"/>
        <v>0</v>
      </c>
      <c r="H25" s="352">
        <f>'7.2.1 Turnover Vehicles'!G72*(1+'7.5.3 VAT'!$C$8)*'7.5.1 Financial Requirements'!G25/360</f>
        <v>0</v>
      </c>
      <c r="I25" s="1872">
        <f t="shared" si="2"/>
        <v>0</v>
      </c>
      <c r="J25" s="352">
        <f>'7.2.1 Turnover Vehicles'!I72*(1+'7.5.3 VAT'!$C$8)*'7.5.1 Financial Requirements'!I25/360</f>
        <v>0</v>
      </c>
      <c r="K25" s="1872">
        <f t="shared" si="3"/>
        <v>0</v>
      </c>
      <c r="L25" s="353">
        <f>'7.2.1 Turnover Vehicles'!K72*(1+'7.5.3 VAT'!$C$8)*'7.5.1 Financial Requirements'!K25/360</f>
        <v>0</v>
      </c>
    </row>
    <row r="26" spans="1:12" ht="14.4" x14ac:dyDescent="0.35">
      <c r="A26" s="135" t="s">
        <v>168</v>
      </c>
      <c r="B26" s="1871">
        <v>0</v>
      </c>
      <c r="C26" s="348"/>
      <c r="D26" s="635">
        <f>('7.2.3 Turnover Service &amp; Body'!C38+'7.2.2 Turnover Parts'!C36)*(1+'7.5.3 VAT'!$C$8)*'7.5.1 Financial Requirements'!$B$26/360</f>
        <v>0</v>
      </c>
      <c r="E26" s="1872">
        <f t="shared" si="0"/>
        <v>0</v>
      </c>
      <c r="F26" s="352">
        <f ca="1">('7.2.3 Turnover Service &amp; Body'!E38+'7.2.2 Turnover Parts'!E36)*(1+'7.5.3 VAT'!$C$8)*'7.5.1 Financial Requirements'!E26/360</f>
        <v>0</v>
      </c>
      <c r="G26" s="1872">
        <f t="shared" si="1"/>
        <v>0</v>
      </c>
      <c r="H26" s="352">
        <f ca="1">('7.2.3 Turnover Service &amp; Body'!G38+'7.2.2 Turnover Parts'!G36)*(1+'7.5.3 VAT'!$C$8)*'7.5.1 Financial Requirements'!G26/360</f>
        <v>0</v>
      </c>
      <c r="I26" s="1872">
        <f t="shared" si="2"/>
        <v>0</v>
      </c>
      <c r="J26" s="352">
        <f ca="1">('7.2.3 Turnover Service &amp; Body'!I38+'7.2.2 Turnover Parts'!I36)*(1+'7.5.3 VAT'!$C$8)*'7.5.1 Financial Requirements'!I26/360</f>
        <v>0</v>
      </c>
      <c r="K26" s="1872">
        <f t="shared" si="3"/>
        <v>0</v>
      </c>
      <c r="L26" s="353">
        <f ca="1">('7.2.3 Turnover Service &amp; Body'!K38+'7.2.2 Turnover Parts'!K36)*(1+'7.5.3 VAT'!$C$8)*'7.5.1 Financial Requirements'!K26/360</f>
        <v>0</v>
      </c>
    </row>
    <row r="27" spans="1:12" ht="14.4" x14ac:dyDescent="0.35">
      <c r="A27" s="135" t="s">
        <v>1213</v>
      </c>
      <c r="B27" s="1871">
        <v>0</v>
      </c>
      <c r="C27" s="348"/>
      <c r="D27" s="635">
        <f>('7.2.3 Turnover Service &amp; Body'!C41+'7.2.2 Turnover Parts'!C37)*(1+'7.5.3 VAT'!$C$8)*'7.5.1 Financial Requirements'!$B$27/360</f>
        <v>0</v>
      </c>
      <c r="E27" s="1872">
        <f t="shared" si="0"/>
        <v>0</v>
      </c>
      <c r="F27" s="352">
        <f>('7.2.3 Turnover Service &amp; Body'!E41+'7.2.2 Turnover Parts'!E37)*(1+'7.5.3 VAT'!$C$8)*'7.5.1 Financial Requirements'!E27/360</f>
        <v>0</v>
      </c>
      <c r="G27" s="1872">
        <f t="shared" si="1"/>
        <v>0</v>
      </c>
      <c r="H27" s="352">
        <f>('7.2.3 Turnover Service &amp; Body'!G41+'7.2.2 Turnover Parts'!G37)*(1+'7.5.3 VAT'!$C$8)*'7.5.1 Financial Requirements'!G27/360</f>
        <v>0</v>
      </c>
      <c r="I27" s="1872">
        <f t="shared" si="2"/>
        <v>0</v>
      </c>
      <c r="J27" s="352">
        <f>('7.2.3 Turnover Service &amp; Body'!I41+'7.2.2 Turnover Parts'!I37)*(1+'7.5.3 VAT'!$C$8)*'7.5.1 Financial Requirements'!I27/360</f>
        <v>0</v>
      </c>
      <c r="K27" s="1872">
        <f t="shared" si="3"/>
        <v>0</v>
      </c>
      <c r="L27" s="353">
        <f>('7.2.3 Turnover Service &amp; Body'!K41+'7.2.2 Turnover Parts'!K37)*(1+'7.5.3 VAT'!$C$8)*'7.5.1 Financial Requirements'!K27/360</f>
        <v>0</v>
      </c>
    </row>
    <row r="28" spans="1:12" ht="14.4" x14ac:dyDescent="0.35">
      <c r="A28" s="135" t="s">
        <v>373</v>
      </c>
      <c r="B28" s="1871">
        <v>60</v>
      </c>
      <c r="C28" s="348"/>
      <c r="D28" s="635">
        <f>('7.2.2 Turnover Parts'!C41+'7.2.2 Turnover Parts'!C42)*(1+'7.5.3 VAT'!$C$8)*'7.5.1 Financial Requirements'!B28/360</f>
        <v>19337.5</v>
      </c>
      <c r="E28" s="1872">
        <f t="shared" si="0"/>
        <v>60</v>
      </c>
      <c r="F28" s="352">
        <f ca="1">('7.2.2 Turnover Parts'!E41+'7.2.2 Turnover Parts'!E42)*(1+'7.5.3 VAT'!$C$8)*'7.5.1 Financial Requirements'!E28/360</f>
        <v>41431.037191828058</v>
      </c>
      <c r="G28" s="1872">
        <f t="shared" si="1"/>
        <v>60</v>
      </c>
      <c r="H28" s="352">
        <f ca="1">('7.2.2 Turnover Parts'!G41+'7.2.2 Turnover Parts'!G42)*(1+'7.5.3 VAT'!$C$8)*'7.5.1 Financial Requirements'!G28/360</f>
        <v>45626.385178008226</v>
      </c>
      <c r="I28" s="1872">
        <f t="shared" si="2"/>
        <v>60</v>
      </c>
      <c r="J28" s="352">
        <f ca="1">('7.2.2 Turnover Parts'!I41+'7.2.2 Turnover Parts'!I42)*(1+'7.5.3 VAT'!$C$8)*'7.5.1 Financial Requirements'!I28/360</f>
        <v>50827.137929608318</v>
      </c>
      <c r="K28" s="1872">
        <f t="shared" si="3"/>
        <v>60</v>
      </c>
      <c r="L28" s="353">
        <f ca="1">('7.2.2 Turnover Parts'!K41+'7.2.2 Turnover Parts'!K42)*(1+'7.5.3 VAT'!$C$8)*'7.5.1 Financial Requirements'!K28/360</f>
        <v>52808.069557860057</v>
      </c>
    </row>
    <row r="29" spans="1:12" ht="14.4" x14ac:dyDescent="0.35">
      <c r="A29" s="135" t="s">
        <v>374</v>
      </c>
      <c r="B29" s="1871">
        <v>0</v>
      </c>
      <c r="C29" s="348"/>
      <c r="D29" s="635">
        <f>'7.2.2 Turnover Parts'!C43*(1+'7.5.3 VAT'!$C$8)*'7.5.1 Financial Requirements'!$B$29/360</f>
        <v>0</v>
      </c>
      <c r="E29" s="1872">
        <f t="shared" si="0"/>
        <v>0</v>
      </c>
      <c r="F29" s="352">
        <f>'7.2.2 Turnover Parts'!E43*(1+'7.5.3 VAT'!$C$8)*'7.5.1 Financial Requirements'!E29/360</f>
        <v>0</v>
      </c>
      <c r="G29" s="1872">
        <f t="shared" si="1"/>
        <v>0</v>
      </c>
      <c r="H29" s="352">
        <f>'7.2.2 Turnover Parts'!G43*(1+'7.5.3 VAT'!$C$8)*'7.5.1 Financial Requirements'!G29/360</f>
        <v>0</v>
      </c>
      <c r="I29" s="1872">
        <f t="shared" si="2"/>
        <v>0</v>
      </c>
      <c r="J29" s="352">
        <f>'7.2.2 Turnover Parts'!I43*(1+'7.5.3 VAT'!$C$8)*'7.5.1 Financial Requirements'!I29/360</f>
        <v>0</v>
      </c>
      <c r="K29" s="1872">
        <f t="shared" si="3"/>
        <v>0</v>
      </c>
      <c r="L29" s="353">
        <f>'7.2.2 Turnover Parts'!K43*(1+'7.5.3 VAT'!$C$8)*'7.5.1 Financial Requirements'!K29/360</f>
        <v>0</v>
      </c>
    </row>
    <row r="30" spans="1:12" ht="14.4" x14ac:dyDescent="0.35">
      <c r="A30" s="135" t="s">
        <v>1146</v>
      </c>
      <c r="B30" s="1871">
        <v>0</v>
      </c>
      <c r="C30" s="348"/>
      <c r="D30" s="737">
        <f>'7.2.2 Turnover Parts'!C19*(1+'7.5.3 VAT'!$C$8)*'7.5.1 Financial Requirements'!$B$30/360</f>
        <v>0</v>
      </c>
      <c r="E30" s="1872">
        <f t="shared" si="0"/>
        <v>0</v>
      </c>
      <c r="F30" s="357">
        <f>'7.2.2 Turnover Parts'!E19*(1+'7.5.3 VAT'!$C$8)*'7.5.1 Financial Requirements'!E30/360</f>
        <v>0</v>
      </c>
      <c r="G30" s="1872">
        <f t="shared" si="1"/>
        <v>0</v>
      </c>
      <c r="H30" s="357">
        <f>'7.2.2 Turnover Parts'!G19*(1+'7.5.3 VAT'!$C$8)*'7.5.1 Financial Requirements'!G30/360</f>
        <v>0</v>
      </c>
      <c r="I30" s="1872">
        <f t="shared" si="2"/>
        <v>0</v>
      </c>
      <c r="J30" s="357">
        <f>'7.2.2 Turnover Parts'!I19*(1+'7.5.3 VAT'!$C$8)*'7.5.1 Financial Requirements'!I30/360</f>
        <v>0</v>
      </c>
      <c r="K30" s="1872">
        <f t="shared" si="3"/>
        <v>0</v>
      </c>
      <c r="L30" s="332">
        <f>'7.2.2 Turnover Parts'!K19*(1+'7.5.3 VAT'!$C$8)*'7.5.1 Financial Requirements'!K30/360</f>
        <v>0</v>
      </c>
    </row>
    <row r="31" spans="1:12" ht="14.4" x14ac:dyDescent="0.35">
      <c r="A31" s="135" t="s">
        <v>151</v>
      </c>
      <c r="B31" s="1871">
        <v>60</v>
      </c>
      <c r="C31" s="348"/>
      <c r="D31" s="635">
        <f>'7.2.2 Turnover Parts'!C20*(1+'7.5.3 VAT'!$C$8)*'7.5.1 Financial Requirements'!$B$31/360</f>
        <v>2748.6232872086862</v>
      </c>
      <c r="E31" s="1872">
        <f t="shared" si="0"/>
        <v>60</v>
      </c>
      <c r="F31" s="352">
        <f>'7.2.2 Turnover Parts'!E20*(1+'7.5.3 VAT'!$C$8)*'7.5.1 Financial Requirements'!E31/360</f>
        <v>7187.0428412171041</v>
      </c>
      <c r="G31" s="1872">
        <f t="shared" si="1"/>
        <v>60</v>
      </c>
      <c r="H31" s="352">
        <f>'7.2.2 Turnover Parts'!G20*(1+'7.5.3 VAT'!$C$8)*'7.5.1 Financial Requirements'!G31/360</f>
        <v>10879.294467286187</v>
      </c>
      <c r="I31" s="1872">
        <f t="shared" si="2"/>
        <v>60</v>
      </c>
      <c r="J31" s="352">
        <f>'7.2.2 Turnover Parts'!I20*(1+'7.5.3 VAT'!$C$8)*'7.5.1 Financial Requirements'!I31/360</f>
        <v>15446.466450394733</v>
      </c>
      <c r="K31" s="1872">
        <f t="shared" si="3"/>
        <v>60</v>
      </c>
      <c r="L31" s="353">
        <f>'7.2.2 Turnover Parts'!K20*(1+'7.5.3 VAT'!$C$8)*'7.5.1 Financial Requirements'!K31/360</f>
        <v>20396.627892582233</v>
      </c>
    </row>
    <row r="32" spans="1:12" ht="14.4" x14ac:dyDescent="0.35">
      <c r="A32" s="1879" t="s">
        <v>563</v>
      </c>
      <c r="B32" s="1940"/>
      <c r="C32" s="1940"/>
      <c r="D32" s="1941">
        <f>-'7.4.3 Inv. &amp; Depr.'!D130</f>
        <v>0</v>
      </c>
      <c r="E32" s="1919"/>
      <c r="F32" s="1942">
        <f>-'7.4.3 Inv. &amp; Depr.'!F130</f>
        <v>0</v>
      </c>
      <c r="G32" s="1919"/>
      <c r="H32" s="1942">
        <f>-'7.4.3 Inv. &amp; Depr.'!H130</f>
        <v>0</v>
      </c>
      <c r="I32" s="1919"/>
      <c r="J32" s="1942">
        <f>-'7.4.3 Inv. &amp; Depr.'!J130</f>
        <v>0</v>
      </c>
      <c r="K32" s="1943"/>
      <c r="L32" s="1944">
        <f>-'7.4.3 Inv. &amp; Depr.'!L130</f>
        <v>0</v>
      </c>
    </row>
    <row r="33" spans="1:12" ht="14.4" x14ac:dyDescent="0.35">
      <c r="A33" s="1926" t="s">
        <v>44</v>
      </c>
      <c r="B33" s="1929"/>
      <c r="C33" s="1929"/>
      <c r="D33" s="1945">
        <f>SUM(D23:D32)</f>
        <v>758524.76328720863</v>
      </c>
      <c r="E33" s="1929"/>
      <c r="F33" s="1946">
        <f ca="1">SUM(F23:F32)</f>
        <v>1901816.385033045</v>
      </c>
      <c r="G33" s="1947"/>
      <c r="H33" s="1946">
        <f ca="1">SUM(H23:H32)</f>
        <v>3229071.2646452943</v>
      </c>
      <c r="I33" s="1947"/>
      <c r="J33" s="1946">
        <f ca="1">SUM(J23:J32)</f>
        <v>4052753.302980002</v>
      </c>
      <c r="K33" s="1947"/>
      <c r="L33" s="1948">
        <f ca="1">SUM(L23:L32)</f>
        <v>4836243.8979504425</v>
      </c>
    </row>
    <row r="34" spans="1:12" ht="14.4" x14ac:dyDescent="0.35">
      <c r="A34" s="1926"/>
      <c r="B34" s="1929"/>
      <c r="C34" s="1929"/>
      <c r="D34" s="1948"/>
      <c r="E34" s="1929"/>
      <c r="F34" s="1946"/>
      <c r="G34" s="1947"/>
      <c r="H34" s="1946"/>
      <c r="I34" s="1947"/>
      <c r="J34" s="1946"/>
      <c r="K34" s="1947"/>
      <c r="L34" s="1948"/>
    </row>
    <row r="35" spans="1:12" ht="18" x14ac:dyDescent="0.35">
      <c r="A35" s="1904" t="s">
        <v>169</v>
      </c>
      <c r="B35" s="1932"/>
      <c r="C35" s="1932"/>
      <c r="D35" s="1932"/>
      <c r="E35" s="1932"/>
      <c r="F35" s="1932"/>
      <c r="G35" s="1932"/>
      <c r="H35" s="1932"/>
      <c r="I35" s="1932"/>
      <c r="J35" s="1932"/>
      <c r="K35" s="1932"/>
      <c r="L35" s="1935"/>
    </row>
    <row r="36" spans="1:12" ht="14.4" x14ac:dyDescent="0.35">
      <c r="A36" s="1879"/>
      <c r="B36" s="1880"/>
      <c r="C36" s="1880"/>
      <c r="D36" s="1912"/>
      <c r="E36" s="1880"/>
      <c r="F36" s="1880"/>
      <c r="G36" s="1880"/>
      <c r="H36" s="1880"/>
      <c r="I36" s="1880"/>
      <c r="J36" s="1880"/>
      <c r="K36" s="1880"/>
      <c r="L36" s="1938"/>
    </row>
    <row r="37" spans="1:12" ht="14.4" x14ac:dyDescent="0.35">
      <c r="A37" s="1879"/>
      <c r="B37" s="1949" t="s">
        <v>170</v>
      </c>
      <c r="C37" s="1949"/>
      <c r="D37" s="1939"/>
      <c r="E37" s="1936" t="s">
        <v>491</v>
      </c>
      <c r="F37" s="1880"/>
      <c r="G37" s="1936" t="s">
        <v>491</v>
      </c>
      <c r="H37" s="1880"/>
      <c r="I37" s="1936" t="s">
        <v>491</v>
      </c>
      <c r="J37" s="1880"/>
      <c r="K37" s="1936" t="s">
        <v>491</v>
      </c>
      <c r="L37" s="1938"/>
    </row>
    <row r="38" spans="1:12" ht="14.4" x14ac:dyDescent="0.35">
      <c r="A38" s="135" t="s">
        <v>375</v>
      </c>
      <c r="B38" s="1874">
        <v>120</v>
      </c>
      <c r="C38" s="1873"/>
      <c r="D38" s="730">
        <f>('7.3 Cost of sales'!C58+'7.3 Cost of sales'!C59)*('7.5.1 Financial Requirements'!$B$38/360)-'7.4.3 Inv. &amp; Depr.'!D126</f>
        <v>542881.05333333323</v>
      </c>
      <c r="E38" s="1875">
        <v>120</v>
      </c>
      <c r="F38" s="352">
        <f>('7.3 Cost of sales'!E58+'7.3 Cost of sales'!E59)*('7.5.1 Financial Requirements'!E38/360)-'7.4.3 Inv. &amp; Depr.'!F126</f>
        <v>1365941.9316666666</v>
      </c>
      <c r="G38" s="1875">
        <v>120</v>
      </c>
      <c r="H38" s="352">
        <f>('7.3 Cost of sales'!G58+'7.3 Cost of sales'!G59)*('7.5.1 Financial Requirements'!G38/360)-'7.4.3 Inv. &amp; Depr.'!H126</f>
        <v>2338192.0383333331</v>
      </c>
      <c r="I38" s="1875">
        <f>G38</f>
        <v>120</v>
      </c>
      <c r="J38" s="352">
        <f>('7.3 Cost of sales'!I58+'7.3 Cost of sales'!I59)*('7.5.1 Financial Requirements'!I38/360)-'7.4.3 Inv. &amp; Depr.'!J126</f>
        <v>2937964.2244666666</v>
      </c>
      <c r="K38" s="1875">
        <f>I38</f>
        <v>120</v>
      </c>
      <c r="L38" s="353">
        <f>('7.3 Cost of sales'!K58+'7.3 Cost of sales'!K59)*('7.5.1 Financial Requirements'!K38/360)-'7.4.3 Inv. &amp; Depr.'!L126</f>
        <v>3510266.3031666661</v>
      </c>
    </row>
    <row r="39" spans="1:12" ht="14.4" x14ac:dyDescent="0.35">
      <c r="A39" s="135" t="s">
        <v>926</v>
      </c>
      <c r="B39" s="1874">
        <v>0</v>
      </c>
      <c r="C39" s="1873"/>
      <c r="D39" s="737">
        <f>'7.3 Cost of sales'!C61*('7.5.1 Financial Requirements'!$B$39/360)-'7.4.3 Inv. &amp; Depr.'!D128</f>
        <v>0</v>
      </c>
      <c r="E39" s="1875">
        <f>B39</f>
        <v>0</v>
      </c>
      <c r="F39" s="357">
        <f>'7.3 Cost of sales'!E61*('7.5.1 Financial Requirements'!E39/360)-'7.4.3 Inv. &amp; Depr.'!F128</f>
        <v>0</v>
      </c>
      <c r="G39" s="1875">
        <f>E39</f>
        <v>0</v>
      </c>
      <c r="H39" s="357">
        <f>'7.3 Cost of sales'!G61*('7.5.1 Financial Requirements'!G39/360)-'7.4.3 Inv. &amp; Depr.'!H128</f>
        <v>0</v>
      </c>
      <c r="I39" s="1875">
        <f>G39</f>
        <v>0</v>
      </c>
      <c r="J39" s="357">
        <f>'7.3 Cost of sales'!I61*('7.5.1 Financial Requirements'!I39/360)-'7.4.3 Inv. &amp; Depr.'!J128</f>
        <v>0</v>
      </c>
      <c r="K39" s="1875">
        <f>I39</f>
        <v>0</v>
      </c>
      <c r="L39" s="332">
        <f>'7.3 Cost of sales'!K61*('7.5.1 Financial Requirements'!K39/360)-'7.4.3 Inv. &amp; Depr.'!L128</f>
        <v>0</v>
      </c>
    </row>
    <row r="40" spans="1:12" ht="14.4" x14ac:dyDescent="0.35">
      <c r="A40" s="1879" t="s">
        <v>171</v>
      </c>
      <c r="B40" s="1916"/>
      <c r="C40" s="1920"/>
      <c r="D40" s="1950">
        <f>'7.2.2 Turnover Parts'!C73-'7.4.3 Inv. &amp; Depr.'!D129</f>
        <v>7394.9640620237769</v>
      </c>
      <c r="E40" s="1880"/>
      <c r="F40" s="1920">
        <f ca="1">'7.2.2 Turnover Parts'!E73-'7.4.3 Inv. &amp; Depr.'!F129</f>
        <v>127936.35748710025</v>
      </c>
      <c r="G40" s="1880"/>
      <c r="H40" s="1920">
        <f ca="1">'7.2.2 Turnover Parts'!G73-'7.4.3 Inv. &amp; Depr.'!H129</f>
        <v>75124.730629114318</v>
      </c>
      <c r="I40" s="1880"/>
      <c r="J40" s="1920">
        <f ca="1">'7.2.2 Turnover Parts'!I73-'7.4.3 Inv. &amp; Depr.'!J129</f>
        <v>106483.06049978756</v>
      </c>
      <c r="K40" s="1880"/>
      <c r="L40" s="1917">
        <f ca="1">'7.2.2 Turnover Parts'!K73-'7.4.3 Inv. &amp; Depr.'!L129</f>
        <v>132152.88059815165</v>
      </c>
    </row>
    <row r="41" spans="1:12" ht="14.4" x14ac:dyDescent="0.35">
      <c r="A41" s="1879" t="s">
        <v>172</v>
      </c>
      <c r="B41" s="1916"/>
      <c r="C41" s="1920"/>
      <c r="D41" s="1950">
        <f>'7.2.1 Turnover Vehicles'!C55-'7.4.3 Inv. &amp; Depr.'!D127</f>
        <v>0</v>
      </c>
      <c r="E41" s="1902"/>
      <c r="F41" s="1951">
        <f>'7.2.1 Turnover Vehicles'!E55-'7.4.3 Inv. &amp; Depr.'!F127</f>
        <v>0</v>
      </c>
      <c r="G41" s="1902"/>
      <c r="H41" s="1951">
        <f>'7.2.1 Turnover Vehicles'!G55-'7.4.3 Inv. &amp; Depr.'!H127</f>
        <v>0</v>
      </c>
      <c r="I41" s="1902"/>
      <c r="J41" s="1951">
        <f>'7.2.1 Turnover Vehicles'!I55-'7.4.3 Inv. &amp; Depr.'!J127</f>
        <v>0</v>
      </c>
      <c r="K41" s="1902"/>
      <c r="L41" s="1917">
        <f>'7.2.1 Turnover Vehicles'!K55-'7.4.3 Inv. &amp; Depr.'!L127</f>
        <v>0</v>
      </c>
    </row>
    <row r="42" spans="1:12" ht="14.4" x14ac:dyDescent="0.35">
      <c r="A42" s="1926" t="s">
        <v>44</v>
      </c>
      <c r="B42" s="1952"/>
      <c r="C42" s="1952"/>
      <c r="D42" s="1953">
        <f>SUM(D38:D41)</f>
        <v>550276.01739535702</v>
      </c>
      <c r="E42" s="1930"/>
      <c r="F42" s="1930">
        <f ca="1">SUM(F38:F41)</f>
        <v>1493878.2891537668</v>
      </c>
      <c r="G42" s="1930"/>
      <c r="H42" s="1930">
        <f ca="1">SUM(H38:H41)</f>
        <v>2413316.7689624475</v>
      </c>
      <c r="I42" s="1930"/>
      <c r="J42" s="1930">
        <f ca="1">SUM(J38:J41)</f>
        <v>3044447.2849664539</v>
      </c>
      <c r="K42" s="1930"/>
      <c r="L42" s="1927">
        <f ca="1">SUM(L38:L41)</f>
        <v>3642419.1837648177</v>
      </c>
    </row>
    <row r="43" spans="1:12" ht="14.4" x14ac:dyDescent="0.35">
      <c r="A43" s="1896"/>
      <c r="B43" s="1954"/>
      <c r="C43" s="1954"/>
      <c r="D43" s="1955"/>
      <c r="E43" s="1897"/>
      <c r="F43" s="1897"/>
      <c r="G43" s="1897"/>
      <c r="H43" s="1956"/>
      <c r="I43" s="1897"/>
      <c r="J43" s="1897"/>
      <c r="K43" s="1897"/>
      <c r="L43" s="1957"/>
    </row>
    <row r="44" spans="1:12" ht="18" x14ac:dyDescent="0.35">
      <c r="A44" s="1904" t="s">
        <v>173</v>
      </c>
      <c r="B44" s="1932"/>
      <c r="C44" s="1932"/>
      <c r="D44" s="1958"/>
      <c r="E44" s="1959"/>
      <c r="F44" s="1958"/>
      <c r="G44" s="1959"/>
      <c r="H44" s="1958"/>
      <c r="I44" s="1959"/>
      <c r="J44" s="1958"/>
      <c r="K44" s="1959"/>
      <c r="L44" s="1960"/>
    </row>
    <row r="45" spans="1:12" ht="14.4" x14ac:dyDescent="0.35">
      <c r="A45" s="1910"/>
      <c r="B45" s="1961"/>
      <c r="C45" s="1961"/>
      <c r="D45" s="1962"/>
      <c r="E45" s="1913"/>
      <c r="F45" s="1963"/>
      <c r="G45" s="1913"/>
      <c r="H45" s="1963"/>
      <c r="I45" s="1913"/>
      <c r="J45" s="1963"/>
      <c r="K45" s="1913"/>
      <c r="L45" s="1962"/>
    </row>
    <row r="46" spans="1:12" ht="14.4" x14ac:dyDescent="0.35">
      <c r="A46" s="1879"/>
      <c r="B46" s="1919" t="s">
        <v>174</v>
      </c>
      <c r="C46" s="1919"/>
      <c r="D46" s="1937"/>
      <c r="E46" s="1880"/>
      <c r="F46" s="1923"/>
      <c r="G46" s="1880"/>
      <c r="H46" s="1923"/>
      <c r="I46" s="1880"/>
      <c r="J46" s="1923"/>
      <c r="K46" s="1880"/>
      <c r="L46" s="1922"/>
    </row>
    <row r="47" spans="1:12" ht="14.4" x14ac:dyDescent="0.35">
      <c r="A47" s="1879"/>
      <c r="B47" s="1936" t="s">
        <v>167</v>
      </c>
      <c r="C47" s="1936"/>
      <c r="D47" s="1939"/>
      <c r="E47" s="1936" t="s">
        <v>492</v>
      </c>
      <c r="F47" s="1923"/>
      <c r="G47" s="1936" t="s">
        <v>492</v>
      </c>
      <c r="H47" s="1923"/>
      <c r="I47" s="1936" t="s">
        <v>492</v>
      </c>
      <c r="J47" s="1923"/>
      <c r="K47" s="1936" t="s">
        <v>492</v>
      </c>
      <c r="L47" s="1922"/>
    </row>
    <row r="48" spans="1:12" ht="14.4" x14ac:dyDescent="0.35">
      <c r="A48" s="135" t="s">
        <v>371</v>
      </c>
      <c r="B48" s="1871">
        <v>180</v>
      </c>
      <c r="C48" s="348"/>
      <c r="D48" s="730">
        <f>(('7.3 Cost of sales'!C58+'7.3 Cost of sales'!C59)*(1+'7.5.3 VAT'!$C$8)*'7.5.1 Financial Requirements'!$B$48)/360</f>
        <v>969042.68019999994</v>
      </c>
      <c r="E48" s="1871">
        <f t="shared" ref="E48:E53" si="4">B48</f>
        <v>180</v>
      </c>
      <c r="F48" s="352">
        <f>(('7.3 Cost of sales'!E58+'7.3 Cost of sales'!E59)*(1+'7.5.3 VAT'!$C$8)*'7.5.1 Financial Requirements'!E48)/360</f>
        <v>2438206.3480249997</v>
      </c>
      <c r="G48" s="1871">
        <f t="shared" ref="G48:G53" si="5">E48</f>
        <v>180</v>
      </c>
      <c r="H48" s="352">
        <f>(('7.3 Cost of sales'!G58+'7.3 Cost of sales'!G59)*(1+'7.5.3 VAT'!$C$8)*'7.5.1 Financial Requirements'!G48)/360</f>
        <v>4173672.7884249999</v>
      </c>
      <c r="I48" s="1871">
        <f t="shared" ref="I48:I53" si="6">G48</f>
        <v>180</v>
      </c>
      <c r="J48" s="352">
        <f>(('7.3 Cost of sales'!I58+'7.3 Cost of sales'!I59)*(1+'7.5.3 VAT'!$C$8)*'7.5.1 Financial Requirements'!I48)/360</f>
        <v>5244266.1406729994</v>
      </c>
      <c r="K48" s="1871">
        <f t="shared" ref="K48:K53" si="7">I48</f>
        <v>180</v>
      </c>
      <c r="L48" s="353">
        <f>(('7.3 Cost of sales'!K58+'7.3 Cost of sales'!K59)*(1+'7.5.3 VAT'!$C$8)*'7.5.1 Financial Requirements'!K48)/360</f>
        <v>6265825.3511524992</v>
      </c>
    </row>
    <row r="49" spans="1:12" ht="14.4" x14ac:dyDescent="0.35">
      <c r="A49" s="135" t="s">
        <v>372</v>
      </c>
      <c r="B49" s="1871">
        <v>0</v>
      </c>
      <c r="C49" s="348"/>
      <c r="D49" s="635">
        <f>'7.3 Cost of sales'!C60*(1+'7.5.3 VAT'!$C$8)*'7.5.1 Financial Requirements'!$B$49/360</f>
        <v>0</v>
      </c>
      <c r="E49" s="1871">
        <f t="shared" si="4"/>
        <v>0</v>
      </c>
      <c r="F49" s="352">
        <f>'7.3 Cost of sales'!E60*(1+'7.5.3 VAT'!$C$8)*'7.5.1 Financial Requirements'!E49/360</f>
        <v>0</v>
      </c>
      <c r="G49" s="1871">
        <f t="shared" si="5"/>
        <v>0</v>
      </c>
      <c r="H49" s="352">
        <f>'7.3 Cost of sales'!G60*(1+'7.5.3 VAT'!$C$8)*'7.5.1 Financial Requirements'!G49/360</f>
        <v>0</v>
      </c>
      <c r="I49" s="1871">
        <f t="shared" si="6"/>
        <v>0</v>
      </c>
      <c r="J49" s="352">
        <f>'7.3 Cost of sales'!I60*(1+'7.5.3 VAT'!$C$8)*'7.5.1 Financial Requirements'!I49/360</f>
        <v>0</v>
      </c>
      <c r="K49" s="1871">
        <f t="shared" si="7"/>
        <v>0</v>
      </c>
      <c r="L49" s="353">
        <f>'7.3 Cost of sales'!K60*(1+'7.5.3 VAT'!$C$8)*'7.5.1 Financial Requirements'!K49/360</f>
        <v>0</v>
      </c>
    </row>
    <row r="50" spans="1:12" ht="14.4" x14ac:dyDescent="0.35">
      <c r="A50" s="135" t="s">
        <v>368</v>
      </c>
      <c r="B50" s="1871">
        <v>0</v>
      </c>
      <c r="C50" s="348"/>
      <c r="D50" s="635">
        <f>'7.3 Cost of sales'!C61*(1+'7.5.3 VAT'!$C$8)*'7.5.1 Financial Requirements'!$B$50/360</f>
        <v>0</v>
      </c>
      <c r="E50" s="1871">
        <f t="shared" si="4"/>
        <v>0</v>
      </c>
      <c r="F50" s="352">
        <f>'7.3 Cost of sales'!E61*(1+'7.5.3 VAT'!$C$8)*'7.5.1 Financial Requirements'!E50/360</f>
        <v>0</v>
      </c>
      <c r="G50" s="1871">
        <f t="shared" si="5"/>
        <v>0</v>
      </c>
      <c r="H50" s="352">
        <f>'7.3 Cost of sales'!G61*(1+'7.5.3 VAT'!$C$8)*'7.5.1 Financial Requirements'!G50/360</f>
        <v>0</v>
      </c>
      <c r="I50" s="1871">
        <f t="shared" si="6"/>
        <v>0</v>
      </c>
      <c r="J50" s="352">
        <f>'7.3 Cost of sales'!I61*(1+'7.5.3 VAT'!$C$8)*'7.5.1 Financial Requirements'!I50/360</f>
        <v>0</v>
      </c>
      <c r="K50" s="1871">
        <f t="shared" si="7"/>
        <v>0</v>
      </c>
      <c r="L50" s="353">
        <f>'7.3 Cost of sales'!K61*(1+'7.5.3 VAT'!$C$8)*'7.5.1 Financial Requirements'!K50/360</f>
        <v>0</v>
      </c>
    </row>
    <row r="51" spans="1:12" ht="14.4" x14ac:dyDescent="0.35">
      <c r="A51" s="135" t="s">
        <v>1138</v>
      </c>
      <c r="B51" s="1871">
        <v>30</v>
      </c>
      <c r="C51" s="348"/>
      <c r="D51" s="635">
        <f>'7.2.2 Turnover Parts'!C77*(1+'7.5.3 VAT'!$C$8)*'7.5.1 Financial Requirements'!$B$51/360</f>
        <v>17970.976088979962</v>
      </c>
      <c r="E51" s="1871">
        <f t="shared" si="4"/>
        <v>30</v>
      </c>
      <c r="F51" s="352">
        <f ca="1">IF(E51=0,0,'7.2.2 Turnover Parts'!E77*(1+'7.5.3 VAT'!$C$8)*'7.5.1 Financial Requirements'!E51/360)</f>
        <v>48643.278568606576</v>
      </c>
      <c r="G51" s="1871">
        <f t="shared" si="5"/>
        <v>30</v>
      </c>
      <c r="H51" s="352">
        <f ca="1">IF(G51=0,0,'7.2.2 Turnover Parts'!G77*(1+'7.5.3 VAT'!$C$8)*'7.5.1 Financial Requirements'!G51/360)</f>
        <v>57386.563289395242</v>
      </c>
      <c r="I51" s="1871">
        <f t="shared" si="6"/>
        <v>30</v>
      </c>
      <c r="J51" s="352">
        <f ca="1">IF(I51=0,0,'7.2.2 Turnover Parts'!I77*(1+'7.5.3 VAT'!$C$8)*'7.5.1 Financial Requirements'!I51/360)</f>
        <v>79530.065008181104</v>
      </c>
      <c r="K51" s="1871">
        <f t="shared" si="7"/>
        <v>30</v>
      </c>
      <c r="L51" s="353">
        <f ca="1">IF(K51=0,0,'7.2.2 Turnover Parts'!K77*(1+'7.5.3 VAT'!$C$8)*'7.5.1 Financial Requirements'!K51/360)</f>
        <v>105747.58610564827</v>
      </c>
    </row>
    <row r="52" spans="1:12" ht="14.4" x14ac:dyDescent="0.35">
      <c r="A52" s="135" t="s">
        <v>1146</v>
      </c>
      <c r="B52" s="1871">
        <v>0</v>
      </c>
      <c r="C52" s="348"/>
      <c r="D52" s="737">
        <f>'7.3 Cost of sales'!C83*(1+'7.5.3 VAT'!$C$8)*'7.5.1 Financial Requirements'!B52/360</f>
        <v>0</v>
      </c>
      <c r="E52" s="1871">
        <f t="shared" si="4"/>
        <v>0</v>
      </c>
      <c r="F52" s="357">
        <f>'7.3 Cost of sales'!E83*(1+'7.5.3 VAT'!$C$8)*'7.5.1 Financial Requirements'!E52/360</f>
        <v>0</v>
      </c>
      <c r="G52" s="1871">
        <f t="shared" si="5"/>
        <v>0</v>
      </c>
      <c r="H52" s="357">
        <f>'7.3 Cost of sales'!G83*(1+'7.5.3 VAT'!$C$8)*'7.5.1 Financial Requirements'!G52/360</f>
        <v>0</v>
      </c>
      <c r="I52" s="1871">
        <f t="shared" si="6"/>
        <v>0</v>
      </c>
      <c r="J52" s="357">
        <f>'7.3 Cost of sales'!I83*(1+'7.5.3 VAT'!$C$8)*'7.5.1 Financial Requirements'!I52/360</f>
        <v>0</v>
      </c>
      <c r="K52" s="1871">
        <f t="shared" si="7"/>
        <v>0</v>
      </c>
      <c r="L52" s="332">
        <f>'7.3 Cost of sales'!K83*(1+'7.5.3 VAT'!$C$8)*'7.5.1 Financial Requirements'!K52/360</f>
        <v>0</v>
      </c>
    </row>
    <row r="53" spans="1:12" ht="14.4" x14ac:dyDescent="0.35">
      <c r="A53" s="135" t="s">
        <v>151</v>
      </c>
      <c r="B53" s="1871">
        <v>30</v>
      </c>
      <c r="C53" s="348"/>
      <c r="D53" s="706">
        <f>'7.3 Cost of sales'!C84*(1+'7.5.3 VAT'!$C$8)*'7.5.1 Financial Requirements'!$B$53/360</f>
        <v>824.58698616260597</v>
      </c>
      <c r="E53" s="1871">
        <f t="shared" si="4"/>
        <v>30</v>
      </c>
      <c r="F53" s="369">
        <f>'7.3 Cost of sales'!E84*(1+'7.5.3 VAT'!$C$8)*'7.5.1 Financial Requirements'!E53/360</f>
        <v>2156.1128523651314</v>
      </c>
      <c r="G53" s="1871">
        <f t="shared" si="5"/>
        <v>30</v>
      </c>
      <c r="H53" s="369">
        <f>'7.3 Cost of sales'!G84*(1+'7.5.3 VAT'!$C$8)*'7.5.1 Financial Requirements'!G53/360</f>
        <v>3263.7883401858562</v>
      </c>
      <c r="I53" s="1871">
        <f t="shared" si="6"/>
        <v>30</v>
      </c>
      <c r="J53" s="369">
        <f>'7.3 Cost of sales'!I84*(1+'7.5.3 VAT'!$C$8)*'7.5.1 Financial Requirements'!I53/360</f>
        <v>4633.9399351184202</v>
      </c>
      <c r="K53" s="1871">
        <f t="shared" si="7"/>
        <v>30</v>
      </c>
      <c r="L53" s="368">
        <f>'7.3 Cost of sales'!K84*(1+'7.5.3 VAT'!$C$8)*'7.5.1 Financial Requirements'!K53/360</f>
        <v>6118.9883677746684</v>
      </c>
    </row>
    <row r="54" spans="1:12" ht="14.4" x14ac:dyDescent="0.35">
      <c r="A54" s="1926" t="s">
        <v>44</v>
      </c>
      <c r="B54" s="1964"/>
      <c r="C54" s="1964"/>
      <c r="D54" s="1965">
        <f>SUM(D48:D53)</f>
        <v>987838.24327514251</v>
      </c>
      <c r="E54" s="1966"/>
      <c r="F54" s="1946">
        <f ca="1">SUM(F48:F53)</f>
        <v>2489005.7394459713</v>
      </c>
      <c r="G54" s="1966"/>
      <c r="H54" s="1946">
        <f ca="1">SUM(H48:H53)</f>
        <v>4234323.1400545808</v>
      </c>
      <c r="I54" s="1966"/>
      <c r="J54" s="1946">
        <f ca="1">SUM(J48:J53)</f>
        <v>5328430.1456162985</v>
      </c>
      <c r="K54" s="1966"/>
      <c r="L54" s="1948">
        <f ca="1">SUM(L48:L53)</f>
        <v>6377691.9256259222</v>
      </c>
    </row>
    <row r="55" spans="1:12" ht="14.4" x14ac:dyDescent="0.35">
      <c r="A55" s="1879"/>
      <c r="B55" s="1940"/>
      <c r="C55" s="1940"/>
      <c r="D55" s="1967"/>
      <c r="E55" s="1936"/>
      <c r="F55" s="1920"/>
      <c r="G55" s="1936"/>
      <c r="H55" s="1920"/>
      <c r="I55" s="1936"/>
      <c r="J55" s="1920"/>
      <c r="K55" s="1936"/>
      <c r="L55" s="1917"/>
    </row>
    <row r="56" spans="1:12" ht="14.4" x14ac:dyDescent="0.35">
      <c r="A56" s="135" t="s">
        <v>175</v>
      </c>
      <c r="B56" s="1871">
        <v>0</v>
      </c>
      <c r="C56" s="348"/>
      <c r="D56" s="635">
        <f>'7.4.2 Selling &amp; Oper. expenses'!C57*(1+'7.5.3 VAT'!$C$8)*'7.5.1 Financial Requirements'!$B$56/360</f>
        <v>0</v>
      </c>
      <c r="E56" s="1871">
        <f>B56</f>
        <v>0</v>
      </c>
      <c r="F56" s="352">
        <f>'7.4.2 Selling &amp; Oper. expenses'!E57*(1+'7.5.3 VAT'!$C$8)*'7.5.1 Financial Requirements'!E56/360</f>
        <v>0</v>
      </c>
      <c r="G56" s="1871">
        <f>E56</f>
        <v>0</v>
      </c>
      <c r="H56" s="352">
        <f>'7.4.2 Selling &amp; Oper. expenses'!G57*(1+'7.5.3 VAT'!$C$8)*'7.5.1 Financial Requirements'!G56/360</f>
        <v>0</v>
      </c>
      <c r="I56" s="1871">
        <f>G56</f>
        <v>0</v>
      </c>
      <c r="J56" s="352">
        <f>'7.4.2 Selling &amp; Oper. expenses'!I57*(1+'7.5.3 VAT'!$C$8)*'7.5.1 Financial Requirements'!I56/360</f>
        <v>0</v>
      </c>
      <c r="K56" s="1871">
        <f>I56</f>
        <v>0</v>
      </c>
      <c r="L56" s="353">
        <f>'7.4.2 Selling &amp; Oper. expenses'!K57*(1+'7.5.3 VAT'!$C$8)*'7.5.1 Financial Requirements'!K56/360</f>
        <v>0</v>
      </c>
    </row>
    <row r="57" spans="1:12" ht="14.4" x14ac:dyDescent="0.35">
      <c r="A57" s="1879"/>
      <c r="B57" s="1919"/>
      <c r="C57" s="1919"/>
      <c r="D57" s="1967"/>
      <c r="E57" s="1880"/>
      <c r="F57" s="1880"/>
      <c r="G57" s="1880"/>
      <c r="H57" s="1880"/>
      <c r="I57" s="1880"/>
      <c r="J57" s="1880"/>
      <c r="K57" s="1880"/>
      <c r="L57" s="1938"/>
    </row>
    <row r="58" spans="1:12" ht="14.4" x14ac:dyDescent="0.35">
      <c r="A58" s="1926" t="s">
        <v>176</v>
      </c>
      <c r="B58" s="1919"/>
      <c r="C58" s="1919"/>
      <c r="D58" s="1968">
        <f>+D54+D56</f>
        <v>987838.24327514251</v>
      </c>
      <c r="E58" s="1929"/>
      <c r="F58" s="1968">
        <f ca="1">+F54+F56</f>
        <v>2489005.7394459713</v>
      </c>
      <c r="G58" s="1929"/>
      <c r="H58" s="1968">
        <f ca="1">+H54+H56</f>
        <v>4234323.1400545808</v>
      </c>
      <c r="I58" s="1929"/>
      <c r="J58" s="1968">
        <f ca="1">+J54+J56</f>
        <v>5328430.1456162985</v>
      </c>
      <c r="K58" s="1929"/>
      <c r="L58" s="1968">
        <f ca="1">+L54+L56</f>
        <v>6377691.9256259222</v>
      </c>
    </row>
    <row r="59" spans="1:12" ht="14.4" x14ac:dyDescent="0.35">
      <c r="A59" s="1896"/>
      <c r="B59" s="1969"/>
      <c r="C59" s="1969"/>
      <c r="D59" s="1955"/>
      <c r="E59" s="1897"/>
      <c r="F59" s="1897"/>
      <c r="G59" s="1897"/>
      <c r="H59" s="1897"/>
      <c r="I59" s="1897"/>
      <c r="J59" s="1897"/>
      <c r="K59" s="1897"/>
      <c r="L59" s="1955"/>
    </row>
    <row r="60" spans="1:12" ht="18" x14ac:dyDescent="0.35">
      <c r="A60" s="1904" t="s">
        <v>347</v>
      </c>
      <c r="B60" s="1959"/>
      <c r="C60" s="1959"/>
      <c r="D60" s="1959"/>
      <c r="E60" s="1959"/>
      <c r="F60" s="1959"/>
      <c r="G60" s="1959"/>
      <c r="H60" s="1959"/>
      <c r="I60" s="1959"/>
      <c r="J60" s="1959"/>
      <c r="K60" s="1959"/>
      <c r="L60" s="1970"/>
    </row>
    <row r="61" spans="1:12" ht="14.4" x14ac:dyDescent="0.35">
      <c r="A61" s="1879"/>
      <c r="B61" s="1919"/>
      <c r="C61" s="1919"/>
      <c r="D61" s="1912"/>
      <c r="E61" s="1880"/>
      <c r="F61" s="1880"/>
      <c r="G61" s="1880"/>
      <c r="H61" s="1880"/>
      <c r="I61" s="1880"/>
      <c r="J61" s="1880"/>
      <c r="K61" s="1880"/>
      <c r="L61" s="1938"/>
    </row>
    <row r="62" spans="1:12" ht="14.4" x14ac:dyDescent="0.35">
      <c r="A62" s="1879"/>
      <c r="B62" s="1940" t="s">
        <v>285</v>
      </c>
      <c r="C62" s="1919"/>
      <c r="D62" s="1938"/>
      <c r="E62" s="1936" t="s">
        <v>493</v>
      </c>
      <c r="F62" s="1880"/>
      <c r="G62" s="1936" t="s">
        <v>493</v>
      </c>
      <c r="H62" s="1880"/>
      <c r="I62" s="1936" t="s">
        <v>493</v>
      </c>
      <c r="J62" s="1880"/>
      <c r="K62" s="1936" t="s">
        <v>493</v>
      </c>
      <c r="L62" s="1938"/>
    </row>
    <row r="63" spans="1:12" ht="14.4" x14ac:dyDescent="0.35">
      <c r="A63" s="135" t="s">
        <v>286</v>
      </c>
      <c r="B63" s="1871">
        <v>30</v>
      </c>
      <c r="C63" s="171"/>
      <c r="D63" s="79">
        <f>'7.4.3 Inv. &amp; Depr.'!D65*'7.5.3 VAT'!$C$8*$B$63/360</f>
        <v>2580.8333333333335</v>
      </c>
      <c r="E63" s="1871">
        <f>B63</f>
        <v>30</v>
      </c>
      <c r="F63" s="136">
        <f>'7.4.3 Inv. &amp; Depr.'!F65*'7.5.3 VAT'!$C$8*E63/360</f>
        <v>7742.5</v>
      </c>
      <c r="G63" s="1871">
        <f>E63</f>
        <v>30</v>
      </c>
      <c r="H63" s="136">
        <f>'7.4.3 Inv. &amp; Depr.'!H65*'7.5.3 VAT'!$C$8*G63/360</f>
        <v>0</v>
      </c>
      <c r="I63" s="1871">
        <f>G63</f>
        <v>30</v>
      </c>
      <c r="J63" s="136">
        <f>'7.4.3 Inv. &amp; Depr.'!J65*'7.5.3 VAT'!$C$8*I63/360</f>
        <v>0</v>
      </c>
      <c r="K63" s="1871">
        <f>I63</f>
        <v>30</v>
      </c>
      <c r="L63" s="79">
        <f>'7.4.3 Inv. &amp; Depr.'!L65*'7.5.3 VAT'!$C$8*K63/360</f>
        <v>0</v>
      </c>
    </row>
    <row r="64" spans="1:12" ht="14.4" x14ac:dyDescent="0.35">
      <c r="A64" s="1879"/>
      <c r="B64" s="1919"/>
      <c r="C64" s="1919"/>
      <c r="D64" s="1955"/>
      <c r="E64" s="1880"/>
      <c r="F64" s="1880"/>
      <c r="G64" s="1880"/>
      <c r="H64" s="1880"/>
      <c r="I64" s="1880"/>
      <c r="J64" s="1880"/>
      <c r="K64" s="1971"/>
      <c r="L64" s="1938"/>
    </row>
    <row r="65" spans="1:12" ht="18" x14ac:dyDescent="0.35">
      <c r="A65" s="1904" t="s">
        <v>325</v>
      </c>
      <c r="B65" s="1932"/>
      <c r="C65" s="1932"/>
      <c r="D65" s="1932"/>
      <c r="E65" s="1932"/>
      <c r="F65" s="1932"/>
      <c r="G65" s="1932"/>
      <c r="H65" s="1932"/>
      <c r="I65" s="1932"/>
      <c r="J65" s="1932"/>
      <c r="K65" s="1932"/>
      <c r="L65" s="1935"/>
    </row>
    <row r="66" spans="1:12" ht="14.4" x14ac:dyDescent="0.35">
      <c r="A66" s="1879"/>
      <c r="B66" s="1880"/>
      <c r="C66" s="1880"/>
      <c r="D66" s="1972"/>
      <c r="E66" s="1880"/>
      <c r="F66" s="1880"/>
      <c r="G66" s="1880"/>
      <c r="H66" s="1880"/>
      <c r="I66" s="1880"/>
      <c r="J66" s="1880"/>
      <c r="K66" s="1880"/>
      <c r="L66" s="1938"/>
    </row>
    <row r="67" spans="1:12" ht="14.4" x14ac:dyDescent="0.35">
      <c r="A67" s="1879" t="s">
        <v>565</v>
      </c>
      <c r="B67" s="1880"/>
      <c r="C67" s="1880"/>
      <c r="D67" s="1973">
        <f>D42</f>
        <v>550276.01739535702</v>
      </c>
      <c r="E67" s="1880"/>
      <c r="F67" s="1920">
        <f ca="1">F42</f>
        <v>1493878.2891537668</v>
      </c>
      <c r="G67" s="1880"/>
      <c r="H67" s="1920">
        <f ca="1">H42</f>
        <v>2413316.7689624475</v>
      </c>
      <c r="I67" s="1880"/>
      <c r="J67" s="1920">
        <f ca="1">J42</f>
        <v>3044447.2849664539</v>
      </c>
      <c r="K67" s="1880"/>
      <c r="L67" s="1917">
        <f ca="1">L42</f>
        <v>3642419.1837648177</v>
      </c>
    </row>
    <row r="68" spans="1:12" ht="14.4" x14ac:dyDescent="0.35">
      <c r="A68" s="1879" t="s">
        <v>177</v>
      </c>
      <c r="B68" s="1880"/>
      <c r="C68" s="1880"/>
      <c r="D68" s="1950">
        <f>D33</f>
        <v>758524.76328720863</v>
      </c>
      <c r="E68" s="1920"/>
      <c r="F68" s="1920">
        <f ca="1">F33</f>
        <v>1901816.385033045</v>
      </c>
      <c r="G68" s="1920"/>
      <c r="H68" s="1920">
        <f ca="1">H33</f>
        <v>3229071.2646452943</v>
      </c>
      <c r="I68" s="1920"/>
      <c r="J68" s="1920">
        <f ca="1">J33</f>
        <v>4052753.302980002</v>
      </c>
      <c r="K68" s="1920"/>
      <c r="L68" s="1917">
        <f ca="1">L33</f>
        <v>4836243.8979504425</v>
      </c>
    </row>
    <row r="69" spans="1:12" ht="14.4" x14ac:dyDescent="0.35">
      <c r="A69" s="1879" t="s">
        <v>178</v>
      </c>
      <c r="B69" s="1880"/>
      <c r="C69" s="1880"/>
      <c r="D69" s="1950">
        <f>+D58</f>
        <v>987838.24327514251</v>
      </c>
      <c r="E69" s="1920"/>
      <c r="F69" s="1920">
        <f ca="1">+F58</f>
        <v>2489005.7394459713</v>
      </c>
      <c r="G69" s="1920"/>
      <c r="H69" s="1920">
        <f ca="1">+H58</f>
        <v>4234323.1400545808</v>
      </c>
      <c r="I69" s="1920"/>
      <c r="J69" s="1920">
        <f ca="1">+J58</f>
        <v>5328430.1456162985</v>
      </c>
      <c r="K69" s="1920"/>
      <c r="L69" s="1917">
        <f ca="1">+L58</f>
        <v>6377691.9256259222</v>
      </c>
    </row>
    <row r="70" spans="1:12" ht="14.4" x14ac:dyDescent="0.35">
      <c r="A70" s="1879" t="s">
        <v>328</v>
      </c>
      <c r="B70" s="1880"/>
      <c r="C70" s="1880"/>
      <c r="D70" s="1950">
        <f>D63</f>
        <v>2580.8333333333335</v>
      </c>
      <c r="E70" s="1920"/>
      <c r="F70" s="1920">
        <f>F63</f>
        <v>7742.5</v>
      </c>
      <c r="G70" s="1920"/>
      <c r="H70" s="1920">
        <f>H63</f>
        <v>0</v>
      </c>
      <c r="I70" s="1920"/>
      <c r="J70" s="1920">
        <f>J63</f>
        <v>0</v>
      </c>
      <c r="K70" s="1920"/>
      <c r="L70" s="1917">
        <f>L63</f>
        <v>0</v>
      </c>
    </row>
    <row r="71" spans="1:12" ht="14.4" x14ac:dyDescent="0.35">
      <c r="A71" s="1879" t="s">
        <v>327</v>
      </c>
      <c r="B71" s="1880"/>
      <c r="C71" s="1880"/>
      <c r="D71" s="1950">
        <f>'7.5.3 VAT'!C62</f>
        <v>-478.84840291193905</v>
      </c>
      <c r="E71" s="1920"/>
      <c r="F71" s="1920">
        <f ca="1">'7.5.3 VAT'!E62</f>
        <v>-869.50478231178568</v>
      </c>
      <c r="G71" s="1920"/>
      <c r="H71" s="1920">
        <f ca="1">'7.5.3 VAT'!G62</f>
        <v>-8913.5065710267299</v>
      </c>
      <c r="I71" s="1920"/>
      <c r="J71" s="1920">
        <f ca="1">'7.5.3 VAT'!I62</f>
        <v>-11816.822264703631</v>
      </c>
      <c r="K71" s="1920"/>
      <c r="L71" s="1917">
        <f ca="1">'7.5.3 VAT'!K62</f>
        <v>-14769.303732398403</v>
      </c>
    </row>
    <row r="72" spans="1:12" ht="14.4" x14ac:dyDescent="0.35">
      <c r="A72" s="1879"/>
      <c r="B72" s="1880"/>
      <c r="C72" s="1880"/>
      <c r="D72" s="1950"/>
      <c r="E72" s="1920"/>
      <c r="F72" s="1920"/>
      <c r="G72" s="1920"/>
      <c r="H72" s="1920"/>
      <c r="I72" s="1920"/>
      <c r="J72" s="1920"/>
      <c r="K72" s="1920"/>
      <c r="L72" s="1917"/>
    </row>
    <row r="73" spans="1:12" ht="14.4" x14ac:dyDescent="0.35">
      <c r="A73" s="135" t="s">
        <v>179</v>
      </c>
      <c r="B73" s="136"/>
      <c r="C73" s="357"/>
      <c r="D73" s="249">
        <v>0</v>
      </c>
      <c r="E73" s="399"/>
      <c r="F73" s="234">
        <v>0</v>
      </c>
      <c r="G73" s="399"/>
      <c r="H73" s="234">
        <v>0</v>
      </c>
      <c r="I73" s="399"/>
      <c r="J73" s="234">
        <v>0</v>
      </c>
      <c r="K73" s="399"/>
      <c r="L73" s="250">
        <v>0</v>
      </c>
    </row>
    <row r="74" spans="1:12" ht="14.4" x14ac:dyDescent="0.35">
      <c r="A74" s="1879"/>
      <c r="B74" s="1880"/>
      <c r="C74" s="1880"/>
      <c r="D74" s="1950"/>
      <c r="E74" s="1920"/>
      <c r="F74" s="1920"/>
      <c r="G74" s="1920"/>
      <c r="H74" s="1920"/>
      <c r="I74" s="1920"/>
      <c r="J74" s="1920"/>
      <c r="K74" s="1920"/>
      <c r="L74" s="1917"/>
    </row>
    <row r="75" spans="1:12" ht="14.4" x14ac:dyDescent="0.35">
      <c r="A75" s="1879" t="s">
        <v>180</v>
      </c>
      <c r="B75" s="1880"/>
      <c r="C75" s="1880"/>
      <c r="D75" s="1950">
        <f>'7.7 P&amp;L'!C49</f>
        <v>0</v>
      </c>
      <c r="E75" s="1920"/>
      <c r="F75" s="1920">
        <f>'7.7 P&amp;L'!E49</f>
        <v>0</v>
      </c>
      <c r="G75" s="1920"/>
      <c r="H75" s="1920">
        <f>'7.7 P&amp;L'!G49</f>
        <v>0</v>
      </c>
      <c r="I75" s="1920"/>
      <c r="J75" s="1920">
        <f>'7.7 P&amp;L'!I49</f>
        <v>0</v>
      </c>
      <c r="K75" s="1920"/>
      <c r="L75" s="1917">
        <f>'7.7 P&amp;L'!K49</f>
        <v>0</v>
      </c>
    </row>
    <row r="76" spans="1:12" ht="14.4" x14ac:dyDescent="0.35">
      <c r="A76" s="1879"/>
      <c r="B76" s="1880"/>
      <c r="C76" s="1880"/>
      <c r="D76" s="1950"/>
      <c r="E76" s="1920"/>
      <c r="F76" s="1920"/>
      <c r="G76" s="1920"/>
      <c r="H76" s="1920"/>
      <c r="I76" s="1920"/>
      <c r="J76" s="1920"/>
      <c r="K76" s="1920"/>
      <c r="L76" s="1917"/>
    </row>
    <row r="77" spans="1:12" ht="14.4" x14ac:dyDescent="0.35">
      <c r="A77" s="1926" t="s">
        <v>376</v>
      </c>
      <c r="B77" s="1929"/>
      <c r="C77" s="1929"/>
      <c r="D77" s="1945">
        <f>IF(D67+D68-D69-D70+D71+D73+D75&gt;=0,D67+D68-D69-D70+D71+D73+D75,0)</f>
        <v>317902.85567117791</v>
      </c>
      <c r="E77" s="1946"/>
      <c r="F77" s="1946">
        <f ca="1">IF(F67+F68-F69-F70+F71+F73+F75&gt;=0,F67+F68-F69-F70+F71+F73+F75,0)</f>
        <v>898076.92995852872</v>
      </c>
      <c r="G77" s="1946"/>
      <c r="H77" s="1946">
        <f ca="1">IF(H67+H68-H69-H70+H71+H73+H75&gt;=0,H67+H68-H69-H70+H71+H73+H75,0)</f>
        <v>1399151.3869821343</v>
      </c>
      <c r="I77" s="1946"/>
      <c r="J77" s="1946">
        <f ca="1">IF(J67+J68-J69-J70+J71+J73+J75&gt;=0,J67+J68-J69-J70+J71+J73+J75,0)</f>
        <v>1756953.6200654537</v>
      </c>
      <c r="K77" s="1946"/>
      <c r="L77" s="1948">
        <f ca="1">IF(L67+L68-L69-L70+L71+L73+L75&gt;=0,L67+L68-L69-L70+L71+L73+L75,0)</f>
        <v>2086201.8523569391</v>
      </c>
    </row>
    <row r="78" spans="1:12" ht="14.4" x14ac:dyDescent="0.35">
      <c r="A78" s="1879"/>
      <c r="B78" s="1880"/>
      <c r="C78" s="1880"/>
      <c r="D78" s="1917"/>
      <c r="E78" s="1920"/>
      <c r="F78" s="1920"/>
      <c r="G78" s="1920"/>
      <c r="H78" s="1920"/>
      <c r="I78" s="1920"/>
      <c r="J78" s="1920"/>
      <c r="K78" s="1920"/>
      <c r="L78" s="1917"/>
    </row>
    <row r="79" spans="1:12" ht="14.4" x14ac:dyDescent="0.35">
      <c r="A79" s="1879" t="s">
        <v>377</v>
      </c>
      <c r="B79" s="1880"/>
      <c r="C79" s="1880"/>
      <c r="D79" s="1917">
        <f>IF(D67+D68-D69-D70+D71+D73+D75&gt;0,0,(D67+D68-D69-D70+D71+D73+D75)*-1)</f>
        <v>0</v>
      </c>
      <c r="E79" s="1920"/>
      <c r="F79" s="1920">
        <f ca="1">IF(F67+F68-F69-F70+F71+F73+F75&gt;0,0,(F67+F68-F69-F70+F71+F73+F75)*-1)</f>
        <v>0</v>
      </c>
      <c r="G79" s="1920"/>
      <c r="H79" s="1920">
        <f ca="1">IF(H67+H68-H69-H70+H71+H73+H75&gt;0,0,(H67+H68-H69-H70+H71+H73+H75)*-1)</f>
        <v>0</v>
      </c>
      <c r="I79" s="1920"/>
      <c r="J79" s="1920">
        <f ca="1">IF(J67+J68-J69-J70+J71+J73+J75&gt;0,0,(J67+J68-J69-J70+J71+J73+J75)*-1)</f>
        <v>0</v>
      </c>
      <c r="K79" s="1920"/>
      <c r="L79" s="1917">
        <f ca="1">IF(L67+L68-L69-L70+L71+L73+L75&gt;0,0,(L67+L68-L69-L70+L71+L73+L75)*-1)</f>
        <v>0</v>
      </c>
    </row>
    <row r="80" spans="1:12" ht="14.4" x14ac:dyDescent="0.35">
      <c r="A80" s="1896"/>
      <c r="B80" s="1897"/>
      <c r="C80" s="1897"/>
      <c r="D80" s="1924"/>
      <c r="E80" s="1897"/>
      <c r="F80" s="1925"/>
      <c r="G80" s="1897"/>
      <c r="H80" s="1925"/>
      <c r="I80" s="1897"/>
      <c r="J80" s="1925"/>
      <c r="K80" s="1897"/>
      <c r="L80" s="1924"/>
    </row>
    <row r="81" spans="1:12" ht="15" thickBot="1" x14ac:dyDescent="0.4">
      <c r="A81" s="1902"/>
      <c r="B81" s="1902"/>
      <c r="C81" s="1902"/>
      <c r="D81" s="1902"/>
      <c r="E81" s="1902"/>
      <c r="F81" s="1902"/>
      <c r="G81" s="1902"/>
      <c r="H81" s="1902"/>
      <c r="I81" s="1902"/>
      <c r="J81" s="1902"/>
      <c r="K81" s="1902"/>
      <c r="L81" s="1902"/>
    </row>
    <row r="82" spans="1:12" ht="14.4" x14ac:dyDescent="0.35">
      <c r="A82" s="1974"/>
      <c r="B82" s="1975"/>
      <c r="C82" s="1975"/>
      <c r="D82" s="1976"/>
      <c r="E82" s="1975"/>
      <c r="F82" s="1975"/>
      <c r="G82" s="1975"/>
      <c r="H82" s="1975"/>
      <c r="I82" s="1975"/>
      <c r="J82" s="1975"/>
      <c r="K82" s="1975"/>
      <c r="L82" s="1977"/>
    </row>
    <row r="83" spans="1:12" ht="14.4" x14ac:dyDescent="0.35">
      <c r="A83" s="1978" t="s">
        <v>181</v>
      </c>
      <c r="B83" s="1979"/>
      <c r="C83" s="1980">
        <f>C14</f>
        <v>0</v>
      </c>
      <c r="D83" s="1981">
        <f>IF(D77=0,D14-D79,D14+D77)</f>
        <v>526474.85567117785</v>
      </c>
      <c r="E83" s="1980"/>
      <c r="F83" s="1980">
        <f ca="1">IF(F77=0,F14-F79,F14+F77)</f>
        <v>1504686.8940205523</v>
      </c>
      <c r="G83" s="1980"/>
      <c r="H83" s="1980">
        <f ca="1">IF(H77=0,H14-H79,H14+H77)</f>
        <v>2029964.3751979249</v>
      </c>
      <c r="I83" s="1980"/>
      <c r="J83" s="1980">
        <f ca="1">IF(J77=0,J14-J79,J14+J77)</f>
        <v>2372491.3389103585</v>
      </c>
      <c r="K83" s="1980"/>
      <c r="L83" s="1982">
        <f ca="1">IF(L77=0,L14-L79,L14+L77)</f>
        <v>2757822.6317016315</v>
      </c>
    </row>
    <row r="84" spans="1:12" ht="15" thickBot="1" x14ac:dyDescent="0.4">
      <c r="A84" s="1983"/>
      <c r="B84" s="1984"/>
      <c r="C84" s="1984"/>
      <c r="D84" s="1985"/>
      <c r="E84" s="1984"/>
      <c r="F84" s="1984"/>
      <c r="G84" s="1984"/>
      <c r="H84" s="1984"/>
      <c r="I84" s="1984"/>
      <c r="J84" s="1984"/>
      <c r="K84" s="1984"/>
      <c r="L84" s="1986"/>
    </row>
    <row r="85" spans="1:12" x14ac:dyDescent="0.25">
      <c r="A85" s="1987"/>
      <c r="B85" s="1987"/>
      <c r="C85" s="1987"/>
      <c r="D85" s="1987"/>
      <c r="E85" s="1987"/>
      <c r="F85" s="1987"/>
      <c r="G85" s="1987"/>
      <c r="H85" s="1987"/>
      <c r="I85" s="1987"/>
      <c r="J85" s="1987"/>
      <c r="K85" s="1987"/>
      <c r="L85" s="1987"/>
    </row>
  </sheetData>
  <sheetProtection password="813F" sheet="1" objects="1" scenarios="1" selectLockedCells="1"/>
  <mergeCells count="4">
    <mergeCell ref="E6:F6"/>
    <mergeCell ref="G6:H6"/>
    <mergeCell ref="I6:J6"/>
    <mergeCell ref="K6:L6"/>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52" orientation="portrait" r:id="rId1"/>
  <headerFooter alignWithMargins="0">
    <oddHeader>&amp;L&amp;F</oddHeader>
    <oddFooter xml:space="preserve">&amp;LDAF Dealer Business Plan - Version January 2011&amp;CPrint date: &amp;D&amp;R&amp;P/&amp;N | DAF Trucks NV    </oddFooter>
  </headerFooter>
  <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36">
    <tabColor indexed="22"/>
    <pageSetUpPr fitToPage="1"/>
  </sheetPr>
  <dimension ref="A1:U87"/>
  <sheetViews>
    <sheetView showGridLines="0" zoomScale="96" zoomScaleNormal="90" workbookViewId="0">
      <selection activeCell="I31" sqref="I31"/>
    </sheetView>
  </sheetViews>
  <sheetFormatPr baseColWidth="10" defaultColWidth="0" defaultRowHeight="14.4" zeroHeight="1" x14ac:dyDescent="0.35"/>
  <cols>
    <col min="1" max="1" width="24.44140625" style="45" customWidth="1"/>
    <col min="2" max="2" width="9.33203125" style="45" customWidth="1"/>
    <col min="3" max="3" width="17.44140625" style="45" customWidth="1"/>
    <col min="4" max="4" width="14.77734375" style="45" customWidth="1"/>
    <col min="5" max="5" width="13.77734375" style="45" customWidth="1"/>
    <col min="6" max="6" width="8" style="45" customWidth="1"/>
    <col min="7" max="7" width="14.6640625" style="45" customWidth="1"/>
    <col min="8" max="8" width="8" style="45" customWidth="1"/>
    <col min="9" max="9" width="14" style="45" customWidth="1"/>
    <col min="10" max="10" width="8" style="45" customWidth="1"/>
    <col min="11" max="11" width="15.44140625" style="45" customWidth="1"/>
    <col min="12" max="12" width="8" style="45" customWidth="1"/>
    <col min="13" max="13" width="14.109375" style="45" customWidth="1"/>
    <col min="14" max="14" width="1.44140625" style="44" customWidth="1"/>
    <col min="15" max="15" width="11.33203125" style="45" hidden="1" customWidth="1"/>
    <col min="16" max="16" width="9.109375" style="45" hidden="1" customWidth="1"/>
    <col min="17" max="17" width="19.44140625" style="45" hidden="1" customWidth="1"/>
    <col min="18" max="18" width="5.44140625" style="45" hidden="1" customWidth="1"/>
    <col min="19" max="19" width="14" style="45" hidden="1" customWidth="1"/>
    <col min="20" max="20" width="9.109375" style="45" hidden="1" customWidth="1"/>
    <col min="21" max="21" width="14.109375" style="45" hidden="1" customWidth="1"/>
    <col min="22" max="16384" width="9.109375" style="45" hidden="1"/>
  </cols>
  <sheetData>
    <row r="1" spans="1:14" ht="28.8" x14ac:dyDescent="0.55000000000000004">
      <c r="A1" s="200" t="s">
        <v>1173</v>
      </c>
      <c r="B1" s="201"/>
      <c r="C1" s="201"/>
      <c r="D1" s="201"/>
      <c r="E1" s="201"/>
      <c r="F1" s="201"/>
      <c r="G1" s="201"/>
      <c r="H1" s="201"/>
      <c r="I1" s="201"/>
      <c r="J1" s="201"/>
      <c r="K1" s="202"/>
      <c r="L1" s="200"/>
      <c r="M1" s="819" t="s">
        <v>910</v>
      </c>
    </row>
    <row r="2" spans="1:14" x14ac:dyDescent="0.35">
      <c r="A2" s="135"/>
      <c r="B2" s="136"/>
      <c r="C2" s="136"/>
      <c r="D2" s="136"/>
      <c r="E2" s="136"/>
      <c r="F2" s="136"/>
      <c r="G2" s="280"/>
      <c r="H2" s="136"/>
      <c r="I2" s="136"/>
      <c r="J2" s="136"/>
      <c r="K2" s="136"/>
      <c r="L2" s="136"/>
      <c r="M2" s="137"/>
    </row>
    <row r="3" spans="1:14" ht="16.2" x14ac:dyDescent="0.35">
      <c r="A3" s="138" t="s">
        <v>1035</v>
      </c>
      <c r="B3" s="281" t="str">
        <f>'Reference sheet'!C12</f>
        <v>TRUCK INTERNATIONAL MOBILITY SA</v>
      </c>
      <c r="C3" s="240"/>
      <c r="D3" s="136"/>
      <c r="E3" s="136"/>
      <c r="F3" s="136"/>
      <c r="G3" s="242" t="s">
        <v>1036</v>
      </c>
      <c r="H3" s="282">
        <f>'Reference sheet'!C15</f>
        <v>2</v>
      </c>
      <c r="I3" s="283" t="s">
        <v>1037</v>
      </c>
      <c r="J3" s="243" t="str">
        <f>'Reference sheet'!C17</f>
        <v>October</v>
      </c>
      <c r="K3" s="982">
        <f>'Reference sheet'!D17</f>
        <v>2018</v>
      </c>
      <c r="L3" s="143" t="s">
        <v>1175</v>
      </c>
      <c r="M3" s="284" t="str">
        <f>'Reference sheet'!C21</f>
        <v>EUR</v>
      </c>
    </row>
    <row r="4" spans="1:14" x14ac:dyDescent="0.35">
      <c r="A4" s="135"/>
      <c r="B4" s="136"/>
      <c r="C4" s="181"/>
      <c r="D4" s="641" t="s">
        <v>116</v>
      </c>
      <c r="E4" s="136"/>
      <c r="F4" s="136"/>
      <c r="G4" s="136"/>
      <c r="H4" s="136"/>
      <c r="I4" s="182"/>
      <c r="J4" s="136"/>
      <c r="K4" s="136"/>
      <c r="L4" s="136"/>
      <c r="M4" s="340"/>
    </row>
    <row r="5" spans="1:14" x14ac:dyDescent="0.35">
      <c r="A5" s="135"/>
      <c r="B5" s="136"/>
      <c r="C5" s="136"/>
      <c r="D5" s="641" t="s">
        <v>117</v>
      </c>
      <c r="E5" s="642"/>
      <c r="F5" s="136"/>
      <c r="G5" s="136"/>
      <c r="H5" s="136"/>
      <c r="I5" s="182"/>
      <c r="J5" s="136"/>
      <c r="K5" s="136"/>
      <c r="L5" s="136"/>
      <c r="M5" s="340"/>
    </row>
    <row r="6" spans="1:14" x14ac:dyDescent="0.35">
      <c r="A6" s="145"/>
      <c r="B6" s="146"/>
      <c r="C6" s="146"/>
      <c r="D6" s="725" t="s">
        <v>118</v>
      </c>
      <c r="E6" s="288">
        <f>+'7.1 Dealer area'!C5</f>
        <v>2019</v>
      </c>
      <c r="F6" s="342"/>
      <c r="G6" s="288">
        <f>+'7.1 Dealer area'!E5</f>
        <v>2020</v>
      </c>
      <c r="H6" s="343"/>
      <c r="I6" s="288">
        <f>+'7.1 Dealer area'!G5</f>
        <v>2021</v>
      </c>
      <c r="J6" s="344"/>
      <c r="K6" s="288">
        <f>+'7.1 Dealer area'!I5</f>
        <v>2022</v>
      </c>
      <c r="L6" s="344"/>
      <c r="M6" s="288">
        <f>+'7.1 Dealer area'!K5</f>
        <v>2023</v>
      </c>
    </row>
    <row r="7" spans="1:14" ht="18" x14ac:dyDescent="0.35">
      <c r="A7" s="1042" t="s">
        <v>359</v>
      </c>
      <c r="B7" s="1100"/>
      <c r="C7" s="1101"/>
      <c r="D7" s="1101"/>
      <c r="E7" s="833"/>
      <c r="F7" s="833"/>
      <c r="G7" s="833"/>
      <c r="H7" s="833"/>
      <c r="I7" s="1102"/>
      <c r="J7" s="833"/>
      <c r="K7" s="833"/>
      <c r="L7" s="833"/>
      <c r="M7" s="1103"/>
    </row>
    <row r="8" spans="1:14" x14ac:dyDescent="0.35">
      <c r="A8" s="135"/>
      <c r="B8" s="136"/>
      <c r="C8" s="726"/>
      <c r="D8" s="726"/>
      <c r="E8" s="78"/>
      <c r="F8" s="136"/>
      <c r="G8" s="136"/>
      <c r="H8" s="136"/>
      <c r="I8" s="727"/>
      <c r="J8" s="136"/>
      <c r="K8" s="136"/>
      <c r="L8" s="136"/>
      <c r="M8" s="728"/>
    </row>
    <row r="9" spans="1:14" x14ac:dyDescent="0.35">
      <c r="A9" s="135" t="s">
        <v>182</v>
      </c>
      <c r="B9" s="136"/>
      <c r="C9" s="729"/>
      <c r="D9" s="373">
        <f>'7.5.1 Financial Requirements'!C83</f>
        <v>0</v>
      </c>
      <c r="E9" s="730">
        <f>'7.5.1 Financial Requirements'!D14</f>
        <v>208572</v>
      </c>
      <c r="F9" s="136"/>
      <c r="G9" s="352">
        <f>'7.5.1 Financial Requirements'!F14</f>
        <v>606609.96406202368</v>
      </c>
      <c r="H9" s="136"/>
      <c r="I9" s="352">
        <f ca="1">'7.5.1 Financial Requirements'!H14</f>
        <v>630812.9882157906</v>
      </c>
      <c r="J9" s="136"/>
      <c r="K9" s="352">
        <f ca="1">'7.5.1 Financial Requirements'!J14</f>
        <v>615537.71884490491</v>
      </c>
      <c r="L9" s="136"/>
      <c r="M9" s="353">
        <f ca="1">'7.5.1 Financial Requirements'!L14</f>
        <v>671620.77934469248</v>
      </c>
    </row>
    <row r="10" spans="1:14" x14ac:dyDescent="0.35">
      <c r="A10" s="135" t="s">
        <v>183</v>
      </c>
      <c r="B10" s="136"/>
      <c r="C10" s="731"/>
      <c r="D10" s="638">
        <v>0</v>
      </c>
      <c r="E10" s="706">
        <f>IF('7.5.1 Financial Requirements'!D77=0,-1*'7.5.1 Financial Requirements'!D79,'7.5.1 Financial Requirements'!D77)</f>
        <v>317902.85567117791</v>
      </c>
      <c r="F10" s="136"/>
      <c r="G10" s="369">
        <f ca="1">IF('7.5.1 Financial Requirements'!F77=0,-1*'7.5.1 Financial Requirements'!F79,'7.5.1 Financial Requirements'!F77)</f>
        <v>898076.92995852872</v>
      </c>
      <c r="H10" s="136"/>
      <c r="I10" s="369">
        <f ca="1">IF('7.5.1 Financial Requirements'!H77=0,-1*'7.5.1 Financial Requirements'!H79,'7.5.1 Financial Requirements'!H77)</f>
        <v>1399151.3869821343</v>
      </c>
      <c r="J10" s="136"/>
      <c r="K10" s="369">
        <f ca="1">IF('7.5.1 Financial Requirements'!J77=0,-1*'7.5.1 Financial Requirements'!J79,'7.5.1 Financial Requirements'!J77)</f>
        <v>1756953.6200654537</v>
      </c>
      <c r="L10" s="136"/>
      <c r="M10" s="368">
        <f ca="1">IF('7.5.1 Financial Requirements'!L77=0,-1*'7.5.1 Financial Requirements'!L79,'7.5.1 Financial Requirements'!L77)</f>
        <v>2086201.8523569391</v>
      </c>
    </row>
    <row r="11" spans="1:14" s="255" customFormat="1" x14ac:dyDescent="0.35">
      <c r="A11" s="263" t="s">
        <v>1056</v>
      </c>
      <c r="B11" s="164"/>
      <c r="C11" s="729"/>
      <c r="D11" s="373">
        <f>SUM(D9:D10)</f>
        <v>0</v>
      </c>
      <c r="E11" s="732">
        <f>SUM(E9:E10)</f>
        <v>526474.85567117785</v>
      </c>
      <c r="F11" s="164"/>
      <c r="G11" s="372">
        <f ca="1">SUM(G9:G10)</f>
        <v>1504686.8940205523</v>
      </c>
      <c r="H11" s="164"/>
      <c r="I11" s="372">
        <f ca="1">SUM(I9:I10)</f>
        <v>2029964.3751979249</v>
      </c>
      <c r="J11" s="164"/>
      <c r="K11" s="372">
        <f ca="1">SUM(K9:K10)</f>
        <v>2372491.3389103585</v>
      </c>
      <c r="L11" s="164"/>
      <c r="M11" s="397">
        <f ca="1">SUM(M9:M10)</f>
        <v>2757822.6317016315</v>
      </c>
      <c r="N11" s="1564"/>
    </row>
    <row r="12" spans="1:14" x14ac:dyDescent="0.35">
      <c r="A12" s="145"/>
      <c r="B12" s="146"/>
      <c r="C12" s="146"/>
      <c r="D12" s="733"/>
      <c r="E12" s="85"/>
      <c r="F12" s="146"/>
      <c r="G12" s="146"/>
      <c r="H12" s="146"/>
      <c r="I12" s="146"/>
      <c r="J12" s="146"/>
      <c r="K12" s="146"/>
      <c r="L12" s="146"/>
      <c r="M12" s="85"/>
    </row>
    <row r="13" spans="1:14" x14ac:dyDescent="0.35">
      <c r="C13" s="1441"/>
      <c r="D13" s="219"/>
    </row>
    <row r="14" spans="1:14" x14ac:dyDescent="0.35">
      <c r="D14" s="219"/>
    </row>
    <row r="15" spans="1:14" s="167" customFormat="1" ht="18" x14ac:dyDescent="0.35">
      <c r="A15" s="1042" t="s">
        <v>360</v>
      </c>
      <c r="B15" s="1100"/>
      <c r="C15" s="833"/>
      <c r="D15" s="1104"/>
      <c r="E15" s="833"/>
      <c r="F15" s="833"/>
      <c r="G15" s="833"/>
      <c r="H15" s="833"/>
      <c r="I15" s="833"/>
      <c r="J15" s="833"/>
      <c r="K15" s="833"/>
      <c r="L15" s="833"/>
      <c r="M15" s="834"/>
      <c r="N15" s="44"/>
    </row>
    <row r="16" spans="1:14" ht="18" x14ac:dyDescent="0.35">
      <c r="A16" s="1042" t="s">
        <v>361</v>
      </c>
      <c r="B16" s="1100"/>
      <c r="C16" s="833"/>
      <c r="D16" s="1104"/>
      <c r="E16" s="833"/>
      <c r="F16" s="833"/>
      <c r="G16" s="833"/>
      <c r="H16" s="833"/>
      <c r="I16" s="833"/>
      <c r="J16" s="833"/>
      <c r="K16" s="833"/>
      <c r="L16" s="833"/>
      <c r="M16" s="834"/>
    </row>
    <row r="17" spans="1:14" x14ac:dyDescent="0.35">
      <c r="A17" s="147"/>
      <c r="B17" s="148"/>
      <c r="C17" s="148"/>
      <c r="D17" s="271"/>
      <c r="E17" s="78"/>
      <c r="F17" s="148"/>
      <c r="G17" s="148"/>
      <c r="H17" s="148"/>
      <c r="I17" s="148"/>
      <c r="J17" s="148"/>
      <c r="K17" s="148"/>
      <c r="L17" s="148"/>
      <c r="M17" s="78"/>
    </row>
    <row r="18" spans="1:14" x14ac:dyDescent="0.35">
      <c r="A18" s="135" t="s">
        <v>362</v>
      </c>
      <c r="B18" s="393"/>
      <c r="C18" s="735"/>
      <c r="D18" s="736"/>
      <c r="E18" s="258">
        <v>500000</v>
      </c>
      <c r="F18" s="357"/>
      <c r="G18" s="357">
        <f>+E18+E19</f>
        <v>500000</v>
      </c>
      <c r="H18" s="357"/>
      <c r="I18" s="357">
        <f>G18+G19</f>
        <v>1000000</v>
      </c>
      <c r="J18" s="357"/>
      <c r="K18" s="357">
        <f>I18+I19</f>
        <v>1250000</v>
      </c>
      <c r="L18" s="357"/>
      <c r="M18" s="332">
        <f>K18+K19</f>
        <v>1250000</v>
      </c>
    </row>
    <row r="19" spans="1:14" x14ac:dyDescent="0.35">
      <c r="A19" s="135" t="s">
        <v>184</v>
      </c>
      <c r="B19" s="393"/>
      <c r="C19" s="735"/>
      <c r="D19" s="567"/>
      <c r="E19" s="249">
        <v>0</v>
      </c>
      <c r="F19" s="357"/>
      <c r="G19" s="234">
        <v>500000</v>
      </c>
      <c r="H19" s="399"/>
      <c r="I19" s="234">
        <v>250000</v>
      </c>
      <c r="J19" s="399"/>
      <c r="K19" s="234">
        <v>0</v>
      </c>
      <c r="L19" s="399"/>
      <c r="M19" s="250">
        <v>0</v>
      </c>
    </row>
    <row r="20" spans="1:14" x14ac:dyDescent="0.35">
      <c r="A20" s="135" t="s">
        <v>185</v>
      </c>
      <c r="B20" s="393"/>
      <c r="C20" s="735"/>
      <c r="D20" s="567"/>
      <c r="E20" s="737">
        <f>'7.7 P&amp;L'!C48</f>
        <v>0</v>
      </c>
      <c r="F20" s="352"/>
      <c r="G20" s="357">
        <f>+E20+'7.7 P&amp;L'!E48</f>
        <v>0</v>
      </c>
      <c r="H20" s="352"/>
      <c r="I20" s="357">
        <f>+G20+'7.7 P&amp;L'!G48</f>
        <v>0</v>
      </c>
      <c r="J20" s="352"/>
      <c r="K20" s="357">
        <f>+I20+'7.7 P&amp;L'!I48</f>
        <v>0</v>
      </c>
      <c r="L20" s="352"/>
      <c r="M20" s="332">
        <f>+K20+'7.7 P&amp;L'!K48</f>
        <v>0</v>
      </c>
    </row>
    <row r="21" spans="1:14" x14ac:dyDescent="0.35">
      <c r="A21" s="135" t="s">
        <v>363</v>
      </c>
      <c r="B21" s="393"/>
      <c r="C21" s="735"/>
      <c r="D21" s="567"/>
      <c r="E21" s="249">
        <v>0</v>
      </c>
      <c r="F21" s="352"/>
      <c r="G21" s="357">
        <f>E21</f>
        <v>0</v>
      </c>
      <c r="H21" s="352"/>
      <c r="I21" s="357">
        <f>G21</f>
        <v>0</v>
      </c>
      <c r="J21" s="352"/>
      <c r="K21" s="357">
        <f>I21</f>
        <v>0</v>
      </c>
      <c r="L21" s="357"/>
      <c r="M21" s="332">
        <f>K21</f>
        <v>0</v>
      </c>
    </row>
    <row r="22" spans="1:14" x14ac:dyDescent="0.35">
      <c r="A22" s="135" t="s">
        <v>566</v>
      </c>
      <c r="B22" s="136"/>
      <c r="C22" s="738"/>
      <c r="D22" s="567"/>
      <c r="E22" s="249">
        <v>0</v>
      </c>
      <c r="F22" s="352"/>
      <c r="G22" s="357">
        <f ca="1">E22+E23</f>
        <v>-107521.75880994098</v>
      </c>
      <c r="H22" s="352"/>
      <c r="I22" s="357">
        <f ca="1">G22+G23</f>
        <v>-140884.3852800185</v>
      </c>
      <c r="J22" s="352"/>
      <c r="K22" s="357">
        <f ca="1">I22+I23</f>
        <v>113478.80132150956</v>
      </c>
      <c r="L22" s="352"/>
      <c r="M22" s="332">
        <f ca="1">K22+K23</f>
        <v>578885.00441282534</v>
      </c>
    </row>
    <row r="23" spans="1:14" x14ac:dyDescent="0.35">
      <c r="A23" s="135" t="s">
        <v>952</v>
      </c>
      <c r="B23" s="136"/>
      <c r="C23" s="738"/>
      <c r="D23" s="567"/>
      <c r="E23" s="737">
        <f ca="1">'7.7 P&amp;L'!C50</f>
        <v>-107521.75880994098</v>
      </c>
      <c r="F23" s="352"/>
      <c r="G23" s="357">
        <f ca="1">'7.7 P&amp;L'!E50</f>
        <v>-33362.626470077521</v>
      </c>
      <c r="H23" s="352"/>
      <c r="I23" s="357">
        <f ca="1">'7.7 P&amp;L'!G50</f>
        <v>254363.18660152805</v>
      </c>
      <c r="J23" s="352"/>
      <c r="K23" s="357">
        <f ca="1">'7.7 P&amp;L'!I50</f>
        <v>465406.20309131581</v>
      </c>
      <c r="L23" s="352"/>
      <c r="M23" s="332">
        <f ca="1">'7.7 P&amp;L'!K50</f>
        <v>717586.23303064296</v>
      </c>
    </row>
    <row r="24" spans="1:14" x14ac:dyDescent="0.35">
      <c r="A24" s="221" t="s">
        <v>1236</v>
      </c>
      <c r="B24" s="136"/>
      <c r="C24" s="738"/>
      <c r="D24" s="739">
        <v>0</v>
      </c>
      <c r="E24" s="251">
        <f>D24</f>
        <v>0</v>
      </c>
      <c r="F24" s="352"/>
      <c r="G24" s="407">
        <f>E24</f>
        <v>0</v>
      </c>
      <c r="H24" s="352"/>
      <c r="I24" s="407">
        <f>G24</f>
        <v>0</v>
      </c>
      <c r="J24" s="352"/>
      <c r="K24" s="407">
        <f>I24</f>
        <v>0</v>
      </c>
      <c r="L24" s="352"/>
      <c r="M24" s="333">
        <f>K24</f>
        <v>0</v>
      </c>
    </row>
    <row r="25" spans="1:14" x14ac:dyDescent="0.35">
      <c r="A25" s="135" t="s">
        <v>186</v>
      </c>
      <c r="B25" s="136"/>
      <c r="C25" s="740"/>
      <c r="D25" s="367">
        <f>D18+D24</f>
        <v>0</v>
      </c>
      <c r="E25" s="629">
        <f ca="1">SUM(E18:E24)</f>
        <v>392478.24119005899</v>
      </c>
      <c r="F25" s="352"/>
      <c r="G25" s="352">
        <f ca="1">SUM(G18:G24)</f>
        <v>859115.61471998144</v>
      </c>
      <c r="H25" s="352"/>
      <c r="I25" s="352">
        <f ca="1">SUM(I18:I24)</f>
        <v>1363478.8013215095</v>
      </c>
      <c r="J25" s="352"/>
      <c r="K25" s="352">
        <f ca="1">SUM(K18:K24)</f>
        <v>1828885.0044128252</v>
      </c>
      <c r="L25" s="352"/>
      <c r="M25" s="353">
        <f ca="1">SUM(M18:M24)</f>
        <v>2546471.2374434681</v>
      </c>
    </row>
    <row r="26" spans="1:14" x14ac:dyDescent="0.35">
      <c r="A26" s="145"/>
      <c r="B26" s="146"/>
      <c r="C26" s="146"/>
      <c r="D26" s="741" t="str">
        <f>IF('7.9.1 Balance Assets'!B53&gt;0,"INSUFFICENT FUNDING!!!!"," ")</f>
        <v xml:space="preserve"> </v>
      </c>
      <c r="E26" s="634"/>
      <c r="F26" s="369"/>
      <c r="G26" s="369"/>
      <c r="H26" s="369"/>
      <c r="I26" s="369"/>
      <c r="J26" s="369"/>
      <c r="K26" s="369"/>
      <c r="L26" s="369"/>
      <c r="M26" s="368"/>
    </row>
    <row r="27" spans="1:14" s="167" customFormat="1" ht="18" x14ac:dyDescent="0.35">
      <c r="A27" s="1079" t="s">
        <v>364</v>
      </c>
      <c r="B27" s="1105"/>
      <c r="C27" s="1078"/>
      <c r="D27" s="1106"/>
      <c r="E27" s="1078"/>
      <c r="F27" s="833"/>
      <c r="G27" s="833"/>
      <c r="H27" s="833"/>
      <c r="I27" s="833"/>
      <c r="J27" s="1077"/>
      <c r="K27" s="1077"/>
      <c r="L27" s="1077"/>
      <c r="M27" s="1107"/>
      <c r="N27" s="44"/>
    </row>
    <row r="28" spans="1:14" x14ac:dyDescent="0.35">
      <c r="A28" s="135"/>
      <c r="B28" s="136"/>
      <c r="C28" s="136"/>
      <c r="D28" s="275"/>
      <c r="E28" s="78"/>
      <c r="F28" s="136"/>
      <c r="G28" s="136"/>
      <c r="H28" s="136"/>
      <c r="I28" s="136"/>
      <c r="J28" s="352"/>
      <c r="K28" s="352"/>
      <c r="L28" s="352"/>
      <c r="M28" s="353"/>
    </row>
    <row r="29" spans="1:14" x14ac:dyDescent="0.35">
      <c r="A29" s="135" t="s">
        <v>365</v>
      </c>
      <c r="B29" s="136"/>
      <c r="C29" s="136"/>
      <c r="D29" s="275"/>
      <c r="E29" s="557"/>
      <c r="F29" s="136"/>
      <c r="G29" s="136"/>
      <c r="H29" s="136"/>
      <c r="I29" s="136"/>
      <c r="J29" s="352"/>
      <c r="K29" s="352"/>
      <c r="L29" s="352"/>
      <c r="M29" s="353"/>
    </row>
    <row r="30" spans="1:14" x14ac:dyDescent="0.35">
      <c r="A30" s="135"/>
      <c r="B30" s="233" t="s">
        <v>187</v>
      </c>
      <c r="C30" s="233" t="s">
        <v>188</v>
      </c>
      <c r="D30" s="275"/>
      <c r="E30" s="557"/>
      <c r="F30" s="352"/>
      <c r="G30" s="352"/>
      <c r="H30" s="352"/>
      <c r="I30" s="352"/>
      <c r="J30" s="352"/>
      <c r="K30" s="352"/>
      <c r="L30" s="352"/>
      <c r="M30" s="353"/>
    </row>
    <row r="31" spans="1:14" x14ac:dyDescent="0.35">
      <c r="A31" s="135" t="s">
        <v>189</v>
      </c>
      <c r="B31" s="742">
        <v>7</v>
      </c>
      <c r="C31" s="743">
        <v>300000</v>
      </c>
      <c r="D31" s="744">
        <f>IF(B31=0,0,C31)</f>
        <v>300000</v>
      </c>
      <c r="E31" s="250">
        <f>IF($B$31&lt;3,0,D31-C31/$B$31)</f>
        <v>257142.85714285716</v>
      </c>
      <c r="F31" s="395"/>
      <c r="G31" s="234">
        <f>IF($B$31&lt;3,0,E31-C31/$B$31)</f>
        <v>214285.71428571432</v>
      </c>
      <c r="H31" s="395"/>
      <c r="I31" s="234">
        <f>IF($B$31&lt;4,0,G31-C31/$B$31)</f>
        <v>171428.57142857148</v>
      </c>
      <c r="J31" s="395"/>
      <c r="K31" s="234">
        <f>IF($B$31&lt;5,0,I31-C31/$B$31)</f>
        <v>128571.42857142862</v>
      </c>
      <c r="L31" s="395"/>
      <c r="M31" s="250">
        <f>IF($B$31&lt;6,0,K31-C31/$B$31)</f>
        <v>85714.285714285768</v>
      </c>
    </row>
    <row r="32" spans="1:14" x14ac:dyDescent="0.35">
      <c r="A32" s="745">
        <f>E6</f>
        <v>2019</v>
      </c>
      <c r="B32" s="742">
        <v>0</v>
      </c>
      <c r="C32" s="743">
        <v>0</v>
      </c>
      <c r="D32" s="567"/>
      <c r="E32" s="332">
        <f>IF(B32=0,0,C32)</f>
        <v>0</v>
      </c>
      <c r="F32" s="136"/>
      <c r="G32" s="352">
        <f>IF($B$32&lt;2,0,E32-C32/$B$32)</f>
        <v>0</v>
      </c>
      <c r="H32" s="287"/>
      <c r="I32" s="352">
        <f>IF($B$32&lt;3,0,G32-C32/$B$32)</f>
        <v>0</v>
      </c>
      <c r="J32" s="564"/>
      <c r="K32" s="352">
        <f>IF($B$32&lt;4,0,I32-C32/$B$32)</f>
        <v>0</v>
      </c>
      <c r="L32" s="564"/>
      <c r="M32" s="353">
        <f>IF($B$32&lt;5,0,K32-C32/$B$32)</f>
        <v>0</v>
      </c>
    </row>
    <row r="33" spans="1:21" x14ac:dyDescent="0.35">
      <c r="A33" s="746">
        <f>G6</f>
        <v>2020</v>
      </c>
      <c r="B33" s="742">
        <v>0</v>
      </c>
      <c r="C33" s="743">
        <v>0</v>
      </c>
      <c r="D33" s="567"/>
      <c r="E33" s="353"/>
      <c r="F33" s="352"/>
      <c r="G33" s="352">
        <f>IF($B$33=0,0,C33)</f>
        <v>0</v>
      </c>
      <c r="H33" s="352"/>
      <c r="I33" s="352">
        <f>IF($B$33&lt;2,0,G33-$C$33/$B$33)</f>
        <v>0</v>
      </c>
      <c r="J33" s="352"/>
      <c r="K33" s="352">
        <f>IF($B$33&lt;3,0,I33-$C$33/$B$33)</f>
        <v>0</v>
      </c>
      <c r="L33" s="352"/>
      <c r="M33" s="353">
        <f>IF($B$33&lt;4,0,K33-$C$33/$B$33)</f>
        <v>0</v>
      </c>
    </row>
    <row r="34" spans="1:21" x14ac:dyDescent="0.35">
      <c r="A34" s="746">
        <f>I6</f>
        <v>2021</v>
      </c>
      <c r="B34" s="742">
        <v>0</v>
      </c>
      <c r="C34" s="743">
        <v>0</v>
      </c>
      <c r="D34" s="567"/>
      <c r="E34" s="353"/>
      <c r="F34" s="352"/>
      <c r="G34" s="352"/>
      <c r="H34" s="352"/>
      <c r="I34" s="352">
        <f>IF($B$34=0,0,C34)</f>
        <v>0</v>
      </c>
      <c r="J34" s="352"/>
      <c r="K34" s="352">
        <f>IF($B$34&lt;2,0,I34-$C$34/$B$34)</f>
        <v>0</v>
      </c>
      <c r="L34" s="352"/>
      <c r="M34" s="353">
        <f>IF($B$34&lt;3,0,K34-$C$34/$B$34)</f>
        <v>0</v>
      </c>
    </row>
    <row r="35" spans="1:21" x14ac:dyDescent="0.35">
      <c r="A35" s="746">
        <f>K6</f>
        <v>2022</v>
      </c>
      <c r="B35" s="742">
        <v>0</v>
      </c>
      <c r="C35" s="743">
        <v>0</v>
      </c>
      <c r="D35" s="567"/>
      <c r="E35" s="353"/>
      <c r="F35" s="352"/>
      <c r="G35" s="352"/>
      <c r="H35" s="352"/>
      <c r="I35" s="352"/>
      <c r="J35" s="352"/>
      <c r="K35" s="352">
        <f>IF($B$35=0,0,C35)</f>
        <v>0</v>
      </c>
      <c r="L35" s="352"/>
      <c r="M35" s="353">
        <f>IF($B$35&lt;2,0,K35-$C$35/$B$35)</f>
        <v>0</v>
      </c>
    </row>
    <row r="36" spans="1:21" x14ac:dyDescent="0.35">
      <c r="A36" s="746">
        <f>M6</f>
        <v>2023</v>
      </c>
      <c r="B36" s="747">
        <v>0</v>
      </c>
      <c r="C36" s="743">
        <v>0</v>
      </c>
      <c r="D36" s="567"/>
      <c r="E36" s="368"/>
      <c r="F36" s="352"/>
      <c r="G36" s="369"/>
      <c r="H36" s="352"/>
      <c r="I36" s="369"/>
      <c r="J36" s="352"/>
      <c r="K36" s="369"/>
      <c r="L36" s="352"/>
      <c r="M36" s="368">
        <f>IF($B$36=0,0,C36)</f>
        <v>0</v>
      </c>
    </row>
    <row r="37" spans="1:21" x14ac:dyDescent="0.35">
      <c r="A37" s="135"/>
      <c r="B37" s="136"/>
      <c r="C37" s="748"/>
      <c r="D37" s="676">
        <f>D31</f>
        <v>300000</v>
      </c>
      <c r="E37" s="704">
        <f>SUM(E31:E36)</f>
        <v>257142.85714285716</v>
      </c>
      <c r="F37" s="352"/>
      <c r="G37" s="357">
        <f>SUM(G31:G36)</f>
        <v>214285.71428571432</v>
      </c>
      <c r="H37" s="352"/>
      <c r="I37" s="357">
        <f>SUM(I31:I36)</f>
        <v>171428.57142857148</v>
      </c>
      <c r="J37" s="352"/>
      <c r="K37" s="357">
        <f>SUM(K31:K36)</f>
        <v>128571.42857142862</v>
      </c>
      <c r="L37" s="352"/>
      <c r="M37" s="332">
        <f>SUM(M31:M36)</f>
        <v>85714.285714285768</v>
      </c>
    </row>
    <row r="38" spans="1:21" x14ac:dyDescent="0.35">
      <c r="A38" s="135"/>
      <c r="B38" s="136"/>
      <c r="C38" s="748"/>
      <c r="D38" s="749"/>
      <c r="E38" s="332"/>
      <c r="F38" s="352"/>
      <c r="G38" s="357"/>
      <c r="H38" s="352"/>
      <c r="I38" s="357"/>
      <c r="J38" s="352"/>
      <c r="K38" s="357"/>
      <c r="L38" s="352"/>
      <c r="M38" s="332"/>
    </row>
    <row r="39" spans="1:21" x14ac:dyDescent="0.35">
      <c r="A39" s="135" t="s">
        <v>222</v>
      </c>
      <c r="B39" s="136"/>
      <c r="C39" s="738"/>
      <c r="D39" s="567">
        <v>0</v>
      </c>
      <c r="E39" s="332">
        <f>'7.4.3 Inv. &amp; Depr.'!D132</f>
        <v>0</v>
      </c>
      <c r="F39" s="352"/>
      <c r="G39" s="357">
        <f>'7.4.3 Inv. &amp; Depr.'!F132</f>
        <v>0</v>
      </c>
      <c r="H39" s="352"/>
      <c r="I39" s="357">
        <f>'7.4.3 Inv. &amp; Depr.'!H132</f>
        <v>0</v>
      </c>
      <c r="J39" s="352"/>
      <c r="K39" s="357">
        <f>'7.4.3 Inv. &amp; Depr.'!J132</f>
        <v>0</v>
      </c>
      <c r="L39" s="352"/>
      <c r="M39" s="332">
        <f>'7.4.3 Inv. &amp; Depr.'!K132</f>
        <v>0</v>
      </c>
    </row>
    <row r="40" spans="1:21" x14ac:dyDescent="0.35">
      <c r="A40" s="135"/>
      <c r="B40" s="136"/>
      <c r="C40" s="748"/>
      <c r="D40" s="749"/>
      <c r="E40" s="332"/>
      <c r="F40" s="352"/>
      <c r="G40" s="357"/>
      <c r="H40" s="352"/>
      <c r="I40" s="357"/>
      <c r="J40" s="352"/>
      <c r="K40" s="357"/>
      <c r="L40" s="352"/>
      <c r="M40" s="332"/>
    </row>
    <row r="41" spans="1:21" x14ac:dyDescent="0.35">
      <c r="A41" s="221" t="s">
        <v>1237</v>
      </c>
      <c r="B41" s="136"/>
      <c r="C41" s="738"/>
      <c r="D41" s="739">
        <v>0</v>
      </c>
      <c r="E41" s="251">
        <v>0</v>
      </c>
      <c r="F41" s="352"/>
      <c r="G41" s="407">
        <f>E41</f>
        <v>0</v>
      </c>
      <c r="H41" s="352"/>
      <c r="I41" s="407">
        <f>G41</f>
        <v>0</v>
      </c>
      <c r="J41" s="352"/>
      <c r="K41" s="407">
        <f>I41</f>
        <v>0</v>
      </c>
      <c r="L41" s="352"/>
      <c r="M41" s="333">
        <f>K41</f>
        <v>0</v>
      </c>
    </row>
    <row r="42" spans="1:21" x14ac:dyDescent="0.35">
      <c r="A42" s="135"/>
      <c r="B42" s="136"/>
      <c r="C42" s="748"/>
      <c r="D42" s="748"/>
      <c r="E42" s="332"/>
      <c r="F42" s="352"/>
      <c r="G42" s="357"/>
      <c r="H42" s="352"/>
      <c r="I42" s="357"/>
      <c r="J42" s="352"/>
      <c r="K42" s="357"/>
      <c r="L42" s="352"/>
      <c r="M42" s="332"/>
    </row>
    <row r="43" spans="1:21" s="255" customFormat="1" x14ac:dyDescent="0.35">
      <c r="A43" s="263" t="s">
        <v>958</v>
      </c>
      <c r="B43" s="164"/>
      <c r="C43" s="729"/>
      <c r="D43" s="259">
        <f>D25+D37+D39+D41-D9</f>
        <v>300000</v>
      </c>
      <c r="E43" s="259">
        <f>E37+E39+E41</f>
        <v>257142.85714285716</v>
      </c>
      <c r="F43" s="222"/>
      <c r="G43" s="259">
        <f>G37+G39+G41</f>
        <v>214285.71428571432</v>
      </c>
      <c r="H43" s="222"/>
      <c r="I43" s="259">
        <f>I37+I39+I41</f>
        <v>171428.57142857148</v>
      </c>
      <c r="J43" s="222"/>
      <c r="K43" s="259">
        <f>K37+K39+K41</f>
        <v>128571.42857142862</v>
      </c>
      <c r="L43" s="222"/>
      <c r="M43" s="259">
        <f>M37+M39+M41</f>
        <v>85714.285714285768</v>
      </c>
      <c r="N43" s="1564"/>
      <c r="O43" s="414"/>
      <c r="P43" s="414"/>
      <c r="Q43" s="414"/>
      <c r="R43" s="414"/>
      <c r="S43" s="414"/>
      <c r="T43" s="414"/>
      <c r="U43" s="414"/>
    </row>
    <row r="44" spans="1:21" s="255" customFormat="1" x14ac:dyDescent="0.35">
      <c r="A44" s="263"/>
      <c r="B44" s="164"/>
      <c r="C44" s="729"/>
      <c r="D44" s="412"/>
      <c r="E44" s="411"/>
      <c r="F44" s="222"/>
      <c r="G44" s="412"/>
      <c r="H44" s="222"/>
      <c r="I44" s="412"/>
      <c r="J44" s="222"/>
      <c r="K44" s="412"/>
      <c r="L44" s="222"/>
      <c r="M44" s="411"/>
      <c r="N44" s="1564"/>
      <c r="O44" s="414"/>
      <c r="P44" s="414"/>
      <c r="Q44" s="414"/>
      <c r="R44" s="414"/>
      <c r="S44" s="414"/>
      <c r="T44" s="414"/>
      <c r="U44" s="414"/>
    </row>
    <row r="45" spans="1:21" s="255" customFormat="1" x14ac:dyDescent="0.35">
      <c r="A45" s="263" t="s">
        <v>959</v>
      </c>
      <c r="B45" s="164"/>
      <c r="C45" s="729"/>
      <c r="D45" s="412"/>
      <c r="E45" s="411">
        <f ca="1">E25+E43-E9</f>
        <v>441049.09833291615</v>
      </c>
      <c r="F45" s="412"/>
      <c r="G45" s="412">
        <f t="shared" ref="G45:M45" ca="1" si="0">G25+G43-G9</f>
        <v>466791.3649436722</v>
      </c>
      <c r="H45" s="412"/>
      <c r="I45" s="412">
        <f t="shared" ca="1" si="0"/>
        <v>904094.38453429053</v>
      </c>
      <c r="J45" s="412"/>
      <c r="K45" s="412">
        <f t="shared" ca="1" si="0"/>
        <v>1341918.7141393488</v>
      </c>
      <c r="L45" s="412"/>
      <c r="M45" s="411">
        <f t="shared" ca="1" si="0"/>
        <v>1960564.7438130616</v>
      </c>
      <c r="N45" s="1564"/>
      <c r="O45" s="414"/>
      <c r="P45" s="414"/>
      <c r="Q45" s="414"/>
      <c r="R45" s="414"/>
      <c r="S45" s="414"/>
      <c r="T45" s="414"/>
      <c r="U45" s="414"/>
    </row>
    <row r="46" spans="1:21" x14ac:dyDescent="0.35">
      <c r="A46" s="145"/>
      <c r="B46" s="146"/>
      <c r="C46" s="146"/>
      <c r="D46" s="146"/>
      <c r="E46" s="85"/>
      <c r="F46" s="146"/>
      <c r="G46" s="146"/>
      <c r="H46" s="146"/>
      <c r="I46" s="146"/>
      <c r="J46" s="146"/>
      <c r="K46" s="146"/>
      <c r="L46" s="146"/>
      <c r="M46" s="85"/>
    </row>
    <row r="47" spans="1:21" x14ac:dyDescent="0.35">
      <c r="A47" s="349"/>
      <c r="B47" s="349"/>
      <c r="C47" s="357"/>
      <c r="D47" s="357"/>
      <c r="E47" s="352"/>
      <c r="F47" s="352"/>
      <c r="G47" s="352"/>
      <c r="H47" s="352"/>
      <c r="I47" s="352"/>
      <c r="J47" s="352"/>
      <c r="K47" s="352"/>
      <c r="L47" s="352"/>
      <c r="M47" s="352"/>
    </row>
    <row r="48" spans="1:21" x14ac:dyDescent="0.35">
      <c r="E48" s="136"/>
      <c r="F48" s="136"/>
    </row>
    <row r="49" spans="1:14" ht="18" x14ac:dyDescent="0.35">
      <c r="A49" s="1042" t="s">
        <v>366</v>
      </c>
      <c r="B49" s="1100"/>
      <c r="C49" s="833"/>
      <c r="D49" s="833"/>
      <c r="E49" s="833"/>
      <c r="F49" s="833"/>
      <c r="G49" s="833"/>
      <c r="H49" s="833"/>
      <c r="I49" s="833"/>
      <c r="J49" s="833"/>
      <c r="K49" s="833"/>
      <c r="L49" s="833"/>
      <c r="M49" s="834"/>
    </row>
    <row r="50" spans="1:14" s="167" customFormat="1" ht="18" x14ac:dyDescent="0.35">
      <c r="A50" s="1042" t="s">
        <v>477</v>
      </c>
      <c r="B50" s="1100"/>
      <c r="C50" s="833"/>
      <c r="D50" s="833"/>
      <c r="E50" s="833"/>
      <c r="F50" s="833"/>
      <c r="G50" s="833"/>
      <c r="H50" s="833"/>
      <c r="I50" s="833"/>
      <c r="J50" s="833"/>
      <c r="K50" s="833"/>
      <c r="L50" s="833"/>
      <c r="M50" s="834"/>
      <c r="N50" s="44"/>
    </row>
    <row r="51" spans="1:14" x14ac:dyDescent="0.35">
      <c r="A51" s="147"/>
      <c r="B51" s="148"/>
      <c r="C51" s="148"/>
      <c r="D51" s="148"/>
      <c r="E51" s="78"/>
      <c r="F51" s="148"/>
      <c r="G51" s="148"/>
      <c r="H51" s="148"/>
      <c r="I51" s="148"/>
      <c r="J51" s="148"/>
      <c r="K51" s="148"/>
      <c r="L51" s="148"/>
      <c r="M51" s="78"/>
    </row>
    <row r="52" spans="1:14" x14ac:dyDescent="0.35">
      <c r="A52" s="135" t="s">
        <v>367</v>
      </c>
      <c r="B52" s="136"/>
      <c r="C52" s="580" t="str">
        <f>IF('7.5.1 Financial Requirements'!B38&lt;'7.5.1 Financial Requirements'!B48,"FLOORING NOT APPLICABLE"," ")</f>
        <v>FLOORING NOT APPLICABLE</v>
      </c>
      <c r="D52" s="136"/>
      <c r="E52" s="545">
        <v>0.25</v>
      </c>
      <c r="F52" s="547"/>
      <c r="G52" s="546">
        <v>0.25</v>
      </c>
      <c r="H52" s="547"/>
      <c r="I52" s="546">
        <v>0.25</v>
      </c>
      <c r="J52" s="547"/>
      <c r="K52" s="546">
        <f>I52</f>
        <v>0.25</v>
      </c>
      <c r="L52" s="640"/>
      <c r="M52" s="545">
        <f>K52</f>
        <v>0.25</v>
      </c>
    </row>
    <row r="53" spans="1:14" x14ac:dyDescent="0.35">
      <c r="A53" s="135" t="s">
        <v>1137</v>
      </c>
      <c r="B53" s="136"/>
      <c r="C53" s="580"/>
      <c r="D53" s="136"/>
      <c r="E53" s="545">
        <v>0</v>
      </c>
      <c r="F53" s="547"/>
      <c r="G53" s="546">
        <f>E53</f>
        <v>0</v>
      </c>
      <c r="H53" s="547"/>
      <c r="I53" s="546">
        <f>G53</f>
        <v>0</v>
      </c>
      <c r="J53" s="547"/>
      <c r="K53" s="546">
        <f>I53</f>
        <v>0</v>
      </c>
      <c r="L53" s="640"/>
      <c r="M53" s="545">
        <f>K53</f>
        <v>0</v>
      </c>
    </row>
    <row r="54" spans="1:14" x14ac:dyDescent="0.35">
      <c r="A54" s="135" t="s">
        <v>815</v>
      </c>
      <c r="B54" s="136"/>
      <c r="C54" s="580" t="str">
        <f>IF('7.5.1 Financial Requirements'!B39&lt;'7.5.1 Financial Requirements'!B50,"FLOORING NOT APPLICABLE"," ")</f>
        <v xml:space="preserve"> </v>
      </c>
      <c r="D54" s="136"/>
      <c r="E54" s="545">
        <v>0</v>
      </c>
      <c r="F54" s="547"/>
      <c r="G54" s="546">
        <f>E54</f>
        <v>0</v>
      </c>
      <c r="H54" s="547"/>
      <c r="I54" s="546">
        <f>G54</f>
        <v>0</v>
      </c>
      <c r="J54" s="547"/>
      <c r="K54" s="546">
        <f>I54</f>
        <v>0</v>
      </c>
      <c r="L54" s="547"/>
      <c r="M54" s="545">
        <f>K54</f>
        <v>0</v>
      </c>
    </row>
    <row r="55" spans="1:14" x14ac:dyDescent="0.35">
      <c r="A55" s="145"/>
      <c r="B55" s="146"/>
      <c r="C55" s="146"/>
      <c r="D55" s="146"/>
      <c r="E55" s="85"/>
      <c r="F55" s="146"/>
      <c r="G55" s="146"/>
      <c r="H55" s="146"/>
      <c r="I55" s="146"/>
      <c r="J55" s="146"/>
      <c r="K55" s="146"/>
      <c r="L55" s="146"/>
      <c r="M55" s="85"/>
    </row>
    <row r="56" spans="1:14" ht="18" x14ac:dyDescent="0.35">
      <c r="A56" s="1042" t="s">
        <v>369</v>
      </c>
      <c r="B56" s="1100"/>
      <c r="C56" s="833"/>
      <c r="D56" s="833"/>
      <c r="E56" s="833"/>
      <c r="F56" s="833"/>
      <c r="G56" s="833"/>
      <c r="H56" s="833"/>
      <c r="I56" s="833"/>
      <c r="J56" s="833"/>
      <c r="K56" s="833"/>
      <c r="L56" s="833"/>
      <c r="M56" s="834"/>
    </row>
    <row r="57" spans="1:14" x14ac:dyDescent="0.35">
      <c r="A57" s="147"/>
      <c r="B57" s="148"/>
      <c r="C57" s="232"/>
      <c r="D57" s="232"/>
      <c r="E57" s="78"/>
      <c r="F57" s="148"/>
      <c r="G57" s="268"/>
      <c r="H57" s="148"/>
      <c r="I57" s="148"/>
      <c r="J57" s="148"/>
      <c r="K57" s="148"/>
      <c r="L57" s="148"/>
      <c r="M57" s="78"/>
    </row>
    <row r="58" spans="1:14" x14ac:dyDescent="0.35">
      <c r="A58" s="135" t="s">
        <v>190</v>
      </c>
      <c r="B58" s="136"/>
      <c r="C58" s="233"/>
      <c r="D58" s="275">
        <v>0</v>
      </c>
      <c r="E58" s="353">
        <f>E10</f>
        <v>317902.85567117791</v>
      </c>
      <c r="F58" s="135"/>
      <c r="G58" s="352">
        <f ca="1">G10</f>
        <v>898076.92995852872</v>
      </c>
      <c r="H58" s="136"/>
      <c r="I58" s="352">
        <f ca="1">I10</f>
        <v>1399151.3869821343</v>
      </c>
      <c r="J58" s="136"/>
      <c r="K58" s="352">
        <f ca="1">K10</f>
        <v>1756953.6200654537</v>
      </c>
      <c r="L58" s="136"/>
      <c r="M58" s="353">
        <f ca="1">M10</f>
        <v>2086201.8523569391</v>
      </c>
    </row>
    <row r="59" spans="1:14" x14ac:dyDescent="0.35">
      <c r="A59" s="135" t="s">
        <v>319</v>
      </c>
      <c r="B59" s="136"/>
      <c r="C59" s="233"/>
      <c r="D59" s="367">
        <f>D43</f>
        <v>300000</v>
      </c>
      <c r="E59" s="353">
        <f ca="1">E45</f>
        <v>441049.09833291615</v>
      </c>
      <c r="F59" s="352"/>
      <c r="G59" s="352">
        <f t="shared" ref="G59:M59" ca="1" si="1">G45</f>
        <v>466791.3649436722</v>
      </c>
      <c r="H59" s="352"/>
      <c r="I59" s="352">
        <f t="shared" ca="1" si="1"/>
        <v>904094.38453429053</v>
      </c>
      <c r="J59" s="352"/>
      <c r="K59" s="352">
        <f t="shared" ca="1" si="1"/>
        <v>1341918.7141393488</v>
      </c>
      <c r="L59" s="352"/>
      <c r="M59" s="353">
        <f t="shared" ca="1" si="1"/>
        <v>1960564.7438130616</v>
      </c>
    </row>
    <row r="60" spans="1:14" x14ac:dyDescent="0.35">
      <c r="A60" s="135" t="s">
        <v>357</v>
      </c>
      <c r="B60" s="136"/>
      <c r="C60" s="348"/>
      <c r="D60" s="750">
        <v>0</v>
      </c>
      <c r="E60" s="333">
        <f>('7.5.1 Financial Requirements'!D38*'7.5.2 Fin. Income &amp; Expenses '!E52)+((('7.2.1 Turnover Vehicles'!C53+'7.2.1 Turnover Vehicles'!C54)/2)*E53)+('7.5.1 Financial Requirements'!D39*'7.5.2 Fin. Income &amp; Expenses '!E54)</f>
        <v>135720.26333333331</v>
      </c>
      <c r="F60" s="352"/>
      <c r="G60" s="407">
        <f>'7.5.1 Financial Requirements'!F38*'7.5.2 Fin. Income &amp; Expenses '!G52+((('7.2.1 Turnover Vehicles'!E53+'7.2.1 Turnover Vehicles'!E54)/2)*G53)+'7.5.1 Financial Requirements'!F39*'7.5.2 Fin. Income &amp; Expenses '!G54</f>
        <v>341485.48291666666</v>
      </c>
      <c r="H60" s="357"/>
      <c r="I60" s="407">
        <f>'7.5.1 Financial Requirements'!H38*'7.5.2 Fin. Income &amp; Expenses '!I52+((('7.2.1 Turnover Vehicles'!G53+'7.2.1 Turnover Vehicles'!G54)/2)*I53)+'7.5.1 Financial Requirements'!H39*'7.5.2 Fin. Income &amp; Expenses '!I54</f>
        <v>584548.00958333327</v>
      </c>
      <c r="J60" s="357"/>
      <c r="K60" s="407">
        <f>'7.5.1 Financial Requirements'!J38*'7.5.2 Fin. Income &amp; Expenses '!K52+((('7.2.1 Turnover Vehicles'!I53+'7.2.1 Turnover Vehicles'!I54)/2)*K53)+'7.5.1 Financial Requirements'!J39*'7.5.2 Fin. Income &amp; Expenses '!K54</f>
        <v>734491.05611666664</v>
      </c>
      <c r="L60" s="357"/>
      <c r="M60" s="333">
        <f>'7.5.1 Financial Requirements'!L38*'7.5.2 Fin. Income &amp; Expenses '!M52+((('7.2.1 Turnover Vehicles'!K53+'7.2.1 Turnover Vehicles'!K54)/2)*M53)+'7.5.1 Financial Requirements'!L39*'7.5.2 Fin. Income &amp; Expenses '!M54</f>
        <v>877566.57579166652</v>
      </c>
    </row>
    <row r="61" spans="1:14" x14ac:dyDescent="0.35">
      <c r="A61" s="135" t="s">
        <v>370</v>
      </c>
      <c r="B61" s="136"/>
      <c r="C61" s="365"/>
      <c r="D61" s="357">
        <f>IF(D58-D59-D60&lt;0,0,D58-D59-D60)</f>
        <v>0</v>
      </c>
      <c r="E61" s="722">
        <f ca="1">IF(E58-E59-E60&lt;0,0,E58-E59-E60)</f>
        <v>0</v>
      </c>
      <c r="F61" s="171"/>
      <c r="G61" s="357">
        <f ca="1">IF(G58-G59-G60&lt;0,0,G58-G59-G60)</f>
        <v>89800.082098189858</v>
      </c>
      <c r="H61" s="171"/>
      <c r="I61" s="357">
        <f ca="1">IF(I58-I59-I60&lt;0,0,I58-I59-I60)</f>
        <v>0</v>
      </c>
      <c r="J61" s="171"/>
      <c r="K61" s="357">
        <f ca="1">IF(K58-K59-K60&lt;0,0,K58-K59-K60)</f>
        <v>0</v>
      </c>
      <c r="L61" s="171"/>
      <c r="M61" s="722">
        <f ca="1">IF(M58-M59-M60&lt;0,0,M58-M59-M60)</f>
        <v>0</v>
      </c>
    </row>
    <row r="62" spans="1:14" x14ac:dyDescent="0.35">
      <c r="A62" s="135"/>
      <c r="B62" s="136"/>
      <c r="C62" s="365"/>
      <c r="D62" s="365"/>
      <c r="E62" s="332"/>
      <c r="F62" s="171"/>
      <c r="G62" s="357"/>
      <c r="H62" s="171"/>
      <c r="I62" s="357"/>
      <c r="J62" s="171"/>
      <c r="K62" s="357"/>
      <c r="L62" s="171"/>
      <c r="M62" s="332"/>
    </row>
    <row r="63" spans="1:14" s="830" customFormat="1" x14ac:dyDescent="0.35">
      <c r="A63" s="881" t="s">
        <v>191</v>
      </c>
      <c r="B63" s="882"/>
      <c r="C63" s="1471"/>
      <c r="D63" s="1472">
        <f>IF(D58-D59-D60&lt;0,-1*(D58-D59-D60),0)</f>
        <v>300000</v>
      </c>
      <c r="E63" s="1473">
        <f ca="1">IF(E58-E59-E60&lt;0,-1*(E58-E59-E60),0)</f>
        <v>258866.50599507155</v>
      </c>
      <c r="F63" s="882"/>
      <c r="G63" s="1472">
        <f ca="1">IF(G58-G59-G60&lt;0,-1*(G58-G59-G60),0)</f>
        <v>0</v>
      </c>
      <c r="H63" s="882"/>
      <c r="I63" s="1472">
        <f ca="1">IF(I58-I59-I60&lt;0,-1*(I58-I59-I60),0)</f>
        <v>89491.00713548949</v>
      </c>
      <c r="J63" s="882"/>
      <c r="K63" s="1472">
        <f ca="1">IF(K58-K59-K60&lt;0,-1*(K58-K59-K60),0)</f>
        <v>319456.15019056178</v>
      </c>
      <c r="L63" s="882"/>
      <c r="M63" s="1473">
        <f ca="1">IF(M58-M59-M60&lt;0,-1*(M58-M59-M60),0)</f>
        <v>751929.46724778903</v>
      </c>
      <c r="N63" s="44"/>
    </row>
    <row r="64" spans="1:14" x14ac:dyDescent="0.35">
      <c r="A64" s="264"/>
      <c r="B64" s="342"/>
      <c r="C64" s="581"/>
      <c r="D64" s="581"/>
      <c r="E64" s="368"/>
      <c r="F64" s="146"/>
      <c r="G64" s="369"/>
      <c r="H64" s="146"/>
      <c r="I64" s="369"/>
      <c r="J64" s="146"/>
      <c r="K64" s="369"/>
      <c r="L64" s="146"/>
      <c r="M64" s="368"/>
    </row>
    <row r="65" spans="1:14" x14ac:dyDescent="0.35">
      <c r="A65" s="136"/>
      <c r="B65" s="136"/>
      <c r="C65" s="136"/>
      <c r="D65" s="136"/>
      <c r="E65" s="136"/>
      <c r="F65" s="136"/>
      <c r="G65" s="136"/>
      <c r="H65" s="136"/>
      <c r="I65" s="136"/>
      <c r="J65" s="136"/>
      <c r="K65" s="136"/>
      <c r="L65" s="136"/>
      <c r="M65" s="136"/>
    </row>
    <row r="66" spans="1:14" x14ac:dyDescent="0.35">
      <c r="A66" s="136"/>
      <c r="B66" s="136"/>
      <c r="C66" s="136"/>
      <c r="D66" s="136"/>
      <c r="E66" s="136"/>
      <c r="F66" s="136"/>
      <c r="G66" s="136"/>
      <c r="H66" s="136"/>
      <c r="I66" s="136"/>
      <c r="J66" s="136"/>
      <c r="K66" s="136"/>
      <c r="L66" s="136"/>
      <c r="M66" s="136"/>
    </row>
    <row r="67" spans="1:14" ht="18" x14ac:dyDescent="0.35">
      <c r="A67" s="1042" t="s">
        <v>809</v>
      </c>
      <c r="B67" s="1100"/>
      <c r="C67" s="833"/>
      <c r="D67" s="833"/>
      <c r="E67" s="833"/>
      <c r="F67" s="833"/>
      <c r="G67" s="833"/>
      <c r="H67" s="833"/>
      <c r="I67" s="833"/>
      <c r="J67" s="833"/>
      <c r="K67" s="833"/>
      <c r="L67" s="833"/>
      <c r="M67" s="834"/>
    </row>
    <row r="68" spans="1:14" x14ac:dyDescent="0.35">
      <c r="A68" s="135"/>
      <c r="B68" s="136"/>
      <c r="C68" s="233" t="s">
        <v>192</v>
      </c>
      <c r="D68" s="233"/>
      <c r="E68" s="272"/>
      <c r="F68" s="136"/>
      <c r="G68" s="564"/>
      <c r="H68" s="287"/>
      <c r="I68" s="564"/>
      <c r="J68" s="564"/>
      <c r="K68" s="564"/>
      <c r="L68" s="564"/>
      <c r="M68" s="174"/>
    </row>
    <row r="69" spans="1:14" x14ac:dyDescent="0.35">
      <c r="A69" s="135"/>
      <c r="B69" s="136"/>
      <c r="C69" s="233" t="s">
        <v>814</v>
      </c>
      <c r="D69" s="233"/>
      <c r="E69" s="751"/>
      <c r="F69" s="233" t="s">
        <v>813</v>
      </c>
      <c r="G69" s="752"/>
      <c r="H69" s="233" t="s">
        <v>813</v>
      </c>
      <c r="I69" s="136"/>
      <c r="J69" s="233" t="s">
        <v>813</v>
      </c>
      <c r="K69" s="136"/>
      <c r="L69" s="233" t="s">
        <v>813</v>
      </c>
      <c r="M69" s="79"/>
    </row>
    <row r="70" spans="1:14" x14ac:dyDescent="0.35">
      <c r="A70" s="135" t="s">
        <v>194</v>
      </c>
      <c r="B70" s="136"/>
      <c r="C70" s="753">
        <v>9.5000000000000001E-2</v>
      </c>
      <c r="D70" s="365"/>
      <c r="E70" s="332">
        <f ca="1">IF(E61&gt;0,E61*C70,0)</f>
        <v>0</v>
      </c>
      <c r="F70" s="753">
        <f>C70</f>
        <v>9.5000000000000001E-2</v>
      </c>
      <c r="G70" s="357">
        <f ca="1">IF(G61&gt;0,G61*F70,0)</f>
        <v>8531.0077993280374</v>
      </c>
      <c r="H70" s="753">
        <f>F70</f>
        <v>9.5000000000000001E-2</v>
      </c>
      <c r="I70" s="357">
        <f ca="1">IF(I61&gt;0,I61*H70,0)</f>
        <v>0</v>
      </c>
      <c r="J70" s="753">
        <f>H70</f>
        <v>9.5000000000000001E-2</v>
      </c>
      <c r="K70" s="357">
        <f ca="1">IF(K61&gt;0,K61*J70,0)</f>
        <v>0</v>
      </c>
      <c r="L70" s="753">
        <f>J70</f>
        <v>9.5000000000000001E-2</v>
      </c>
      <c r="M70" s="332">
        <f ca="1">IF(M61&gt;0,M61*L70,0)</f>
        <v>0</v>
      </c>
    </row>
    <row r="71" spans="1:14" x14ac:dyDescent="0.35">
      <c r="A71" s="135" t="s">
        <v>193</v>
      </c>
      <c r="B71" s="136"/>
      <c r="C71" s="753">
        <v>0.105</v>
      </c>
      <c r="D71" s="365"/>
      <c r="E71" s="353">
        <f>((D37+E37)/2)*C71</f>
        <v>29250</v>
      </c>
      <c r="F71" s="753">
        <f>C71</f>
        <v>0.105</v>
      </c>
      <c r="G71" s="352">
        <f>((E37+G37)/2)*F71</f>
        <v>24750</v>
      </c>
      <c r="H71" s="753">
        <f>F71</f>
        <v>0.105</v>
      </c>
      <c r="I71" s="352">
        <f>((G37+I37)/2)*H71</f>
        <v>20250.000000000004</v>
      </c>
      <c r="J71" s="753">
        <f>H71</f>
        <v>0.105</v>
      </c>
      <c r="K71" s="352">
        <f>((I37+K37)/2)*J71</f>
        <v>15750.000000000005</v>
      </c>
      <c r="L71" s="753">
        <f>J71</f>
        <v>0.105</v>
      </c>
      <c r="M71" s="353">
        <f>((K37+M37)/2)*L71</f>
        <v>11250.000000000004</v>
      </c>
    </row>
    <row r="72" spans="1:14" x14ac:dyDescent="0.35">
      <c r="A72" s="221" t="s">
        <v>241</v>
      </c>
      <c r="C72" s="753">
        <v>0</v>
      </c>
      <c r="E72" s="353">
        <f>((D24+E24)/2)*C72</f>
        <v>0</v>
      </c>
      <c r="F72" s="753">
        <f>C72</f>
        <v>0</v>
      </c>
      <c r="G72" s="352">
        <f>((E24+G24)/2)*F72</f>
        <v>0</v>
      </c>
      <c r="H72" s="753">
        <f>F72</f>
        <v>0</v>
      </c>
      <c r="I72" s="352">
        <f>((G24+I24)/2)*H72</f>
        <v>0</v>
      </c>
      <c r="J72" s="753">
        <f>H72</f>
        <v>0</v>
      </c>
      <c r="K72" s="352">
        <f>((I24+K24)/2)*J72</f>
        <v>0</v>
      </c>
      <c r="L72" s="753">
        <f>J72</f>
        <v>0</v>
      </c>
      <c r="M72" s="353">
        <f>((K24+M24)/2)*L72</f>
        <v>0</v>
      </c>
    </row>
    <row r="73" spans="1:14" x14ac:dyDescent="0.35">
      <c r="A73" s="135" t="s">
        <v>357</v>
      </c>
      <c r="B73" s="136"/>
      <c r="C73" s="753">
        <v>0.1</v>
      </c>
      <c r="D73" s="359"/>
      <c r="E73" s="353">
        <f>E60*C73</f>
        <v>13572.026333333331</v>
      </c>
      <c r="F73" s="753">
        <f>C73</f>
        <v>0.1</v>
      </c>
      <c r="G73" s="352">
        <f>G60*F73</f>
        <v>34148.548291666666</v>
      </c>
      <c r="H73" s="753">
        <f>F73</f>
        <v>0.1</v>
      </c>
      <c r="I73" s="352">
        <f>I60*H73</f>
        <v>58454.800958333333</v>
      </c>
      <c r="J73" s="753">
        <f>H73</f>
        <v>0.1</v>
      </c>
      <c r="K73" s="352">
        <f>K60*J73</f>
        <v>73449.105611666673</v>
      </c>
      <c r="L73" s="753">
        <f>J73</f>
        <v>0.1</v>
      </c>
      <c r="M73" s="353">
        <f>M60*L73</f>
        <v>87756.657579166655</v>
      </c>
    </row>
    <row r="74" spans="1:14" ht="15" thickBot="1" x14ac:dyDescent="0.4">
      <c r="A74" s="145"/>
      <c r="B74" s="146"/>
      <c r="C74" s="581"/>
      <c r="D74" s="581"/>
      <c r="E74" s="368"/>
      <c r="F74" s="369"/>
      <c r="G74" s="369"/>
      <c r="H74" s="369"/>
      <c r="I74" s="369"/>
      <c r="J74" s="369"/>
      <c r="K74" s="369"/>
      <c r="L74" s="369"/>
      <c r="M74" s="368"/>
    </row>
    <row r="75" spans="1:14" x14ac:dyDescent="0.35">
      <c r="A75" s="1463"/>
      <c r="B75" s="1142"/>
      <c r="C75" s="1464"/>
      <c r="D75" s="1464"/>
      <c r="E75" s="1465"/>
      <c r="F75" s="1466"/>
      <c r="G75" s="1466"/>
      <c r="H75" s="1466"/>
      <c r="I75" s="1466"/>
      <c r="J75" s="1466"/>
      <c r="K75" s="1466"/>
      <c r="L75" s="1466"/>
      <c r="M75" s="1467"/>
    </row>
    <row r="76" spans="1:14" s="255" customFormat="1" x14ac:dyDescent="0.35">
      <c r="A76" s="1468" t="s">
        <v>811</v>
      </c>
      <c r="B76" s="845"/>
      <c r="C76" s="1469"/>
      <c r="D76" s="1469"/>
      <c r="E76" s="1145">
        <f ca="1">SUM(E70:E73)</f>
        <v>42822.026333333328</v>
      </c>
      <c r="F76" s="1146"/>
      <c r="G76" s="1146">
        <f ca="1">SUM(G70:G73)</f>
        <v>67429.556090994709</v>
      </c>
      <c r="H76" s="1146"/>
      <c r="I76" s="1146">
        <f ca="1">SUM(I70:I73)</f>
        <v>78704.800958333333</v>
      </c>
      <c r="J76" s="1146"/>
      <c r="K76" s="1146">
        <f ca="1">SUM(K70:K73)</f>
        <v>89199.105611666673</v>
      </c>
      <c r="L76" s="1146"/>
      <c r="M76" s="1147">
        <f ca="1">SUM(M70:M73)</f>
        <v>99006.657579166655</v>
      </c>
      <c r="N76" s="1564"/>
    </row>
    <row r="77" spans="1:14" ht="15" thickBot="1" x14ac:dyDescent="0.4">
      <c r="A77" s="1470"/>
      <c r="B77" s="1150"/>
      <c r="C77" s="1150"/>
      <c r="D77" s="1150"/>
      <c r="E77" s="1149"/>
      <c r="F77" s="1150"/>
      <c r="G77" s="1150"/>
      <c r="H77" s="1150"/>
      <c r="I77" s="1150"/>
      <c r="J77" s="1150"/>
      <c r="K77" s="1150"/>
      <c r="L77" s="1150"/>
      <c r="M77" s="1151"/>
    </row>
    <row r="78" spans="1:14" x14ac:dyDescent="0.35"/>
    <row r="79" spans="1:14" ht="18" x14ac:dyDescent="0.35">
      <c r="A79" s="1042" t="s">
        <v>810</v>
      </c>
      <c r="B79" s="1100"/>
      <c r="C79" s="833"/>
      <c r="D79" s="833"/>
      <c r="E79" s="833"/>
      <c r="F79" s="833"/>
      <c r="G79" s="833"/>
      <c r="H79" s="833"/>
      <c r="I79" s="833"/>
      <c r="J79" s="833"/>
      <c r="K79" s="833"/>
      <c r="L79" s="833"/>
      <c r="M79" s="834"/>
    </row>
    <row r="80" spans="1:14" x14ac:dyDescent="0.35">
      <c r="A80" s="135"/>
      <c r="B80" s="136"/>
      <c r="C80" s="233" t="s">
        <v>192</v>
      </c>
      <c r="D80" s="233"/>
      <c r="E80" s="272"/>
      <c r="F80" s="136"/>
      <c r="G80" s="564"/>
      <c r="H80" s="287"/>
      <c r="I80" s="564"/>
      <c r="J80" s="564"/>
      <c r="K80" s="564"/>
      <c r="L80" s="564"/>
      <c r="M80" s="174"/>
    </row>
    <row r="81" spans="1:13" x14ac:dyDescent="0.35">
      <c r="A81" s="135"/>
      <c r="B81" s="136"/>
      <c r="C81" s="233" t="s">
        <v>814</v>
      </c>
      <c r="D81" s="233"/>
      <c r="E81" s="751"/>
      <c r="F81" s="233" t="s">
        <v>813</v>
      </c>
      <c r="G81" s="752"/>
      <c r="H81" s="233" t="s">
        <v>813</v>
      </c>
      <c r="I81" s="136"/>
      <c r="J81" s="233" t="s">
        <v>813</v>
      </c>
      <c r="K81" s="136"/>
      <c r="L81" s="233" t="s">
        <v>813</v>
      </c>
      <c r="M81" s="79"/>
    </row>
    <row r="82" spans="1:13" x14ac:dyDescent="0.35">
      <c r="A82" s="135" t="s">
        <v>191</v>
      </c>
      <c r="B82" s="136"/>
      <c r="C82" s="753">
        <v>0.1</v>
      </c>
      <c r="D82" s="365"/>
      <c r="E82" s="332">
        <f ca="1">E63*C82</f>
        <v>25886.650599507157</v>
      </c>
      <c r="F82" s="753">
        <f>C82</f>
        <v>0.1</v>
      </c>
      <c r="G82" s="357">
        <f ca="1">G63*F82</f>
        <v>0</v>
      </c>
      <c r="H82" s="753">
        <f>F82</f>
        <v>0.1</v>
      </c>
      <c r="I82" s="357">
        <f ca="1">I63*H82</f>
        <v>8949.100713548949</v>
      </c>
      <c r="J82" s="753">
        <f>H82</f>
        <v>0.1</v>
      </c>
      <c r="K82" s="357">
        <f ca="1">K63*J82</f>
        <v>31945.615019056178</v>
      </c>
      <c r="L82" s="753">
        <f>J82</f>
        <v>0.1</v>
      </c>
      <c r="M82" s="332">
        <f ca="1">M63*L82</f>
        <v>75192.9467247789</v>
      </c>
    </row>
    <row r="83" spans="1:13" x14ac:dyDescent="0.35">
      <c r="A83" s="135" t="s">
        <v>43</v>
      </c>
      <c r="B83" s="136"/>
      <c r="C83" s="754"/>
      <c r="D83" s="365"/>
      <c r="E83" s="250"/>
      <c r="F83" s="755"/>
      <c r="G83" s="234"/>
      <c r="H83" s="754"/>
      <c r="I83" s="234"/>
      <c r="J83" s="754"/>
      <c r="K83" s="234"/>
      <c r="L83" s="754"/>
      <c r="M83" s="250"/>
    </row>
    <row r="84" spans="1:13" ht="15" thickBot="1" x14ac:dyDescent="0.4">
      <c r="A84" s="145"/>
      <c r="B84" s="146"/>
      <c r="C84" s="581"/>
      <c r="D84" s="581"/>
      <c r="E84" s="368"/>
      <c r="F84" s="369"/>
      <c r="G84" s="369"/>
      <c r="H84" s="369"/>
      <c r="I84" s="369"/>
      <c r="J84" s="369"/>
      <c r="K84" s="369"/>
      <c r="L84" s="369"/>
      <c r="M84" s="333"/>
    </row>
    <row r="85" spans="1:13" x14ac:dyDescent="0.35">
      <c r="A85" s="1463"/>
      <c r="B85" s="1142"/>
      <c r="C85" s="1464"/>
      <c r="D85" s="1464"/>
      <c r="E85" s="1465"/>
      <c r="F85" s="1466"/>
      <c r="G85" s="1466"/>
      <c r="H85" s="1466"/>
      <c r="I85" s="1466"/>
      <c r="J85" s="1466"/>
      <c r="K85" s="1466"/>
      <c r="L85" s="1466"/>
      <c r="M85" s="1467"/>
    </row>
    <row r="86" spans="1:13" x14ac:dyDescent="0.35">
      <c r="A86" s="1468" t="s">
        <v>812</v>
      </c>
      <c r="B86" s="845"/>
      <c r="C86" s="1469"/>
      <c r="D86" s="1469"/>
      <c r="E86" s="1145">
        <f ca="1">SUM(E82:E83)</f>
        <v>25886.650599507157</v>
      </c>
      <c r="F86" s="1146"/>
      <c r="G86" s="1146">
        <f ca="1">SUM(G82:G83)</f>
        <v>0</v>
      </c>
      <c r="H86" s="1146"/>
      <c r="I86" s="1146">
        <f ca="1">SUM(I82:I83)</f>
        <v>8949.100713548949</v>
      </c>
      <c r="J86" s="1146"/>
      <c r="K86" s="1146">
        <f ca="1">SUM(K82:K83)</f>
        <v>31945.615019056178</v>
      </c>
      <c r="L86" s="1146"/>
      <c r="M86" s="1147">
        <f ca="1">SUM(M82:M83)</f>
        <v>75192.9467247789</v>
      </c>
    </row>
    <row r="87" spans="1:13" ht="15" thickBot="1" x14ac:dyDescent="0.4">
      <c r="A87" s="1470"/>
      <c r="B87" s="1150"/>
      <c r="C87" s="1150"/>
      <c r="D87" s="1150"/>
      <c r="E87" s="1149"/>
      <c r="F87" s="1150"/>
      <c r="G87" s="1150"/>
      <c r="H87" s="1150"/>
      <c r="I87" s="1150"/>
      <c r="J87" s="1150"/>
      <c r="K87" s="1150"/>
      <c r="L87" s="1150"/>
      <c r="M87" s="1151"/>
    </row>
  </sheetData>
  <sheetProtection password="813F" sheet="1" objects="1" scenarios="1" selectLockedCells="1"/>
  <customSheetViews>
    <customSheetView guid="{51165254-F18A-4CD1-9981-8F2DE14CC76C}" showGridLines="0" fitToPage="1" hiddenRows="1" hiddenColumns="1" showRuler="0">
      <selection activeCell="J73" sqref="J73"/>
      <pageMargins left="0.78740157480314965" right="0.78740157480314965" top="0.98425196850393704" bottom="0.98425196850393704" header="0.51181102362204722" footer="0.51181102362204722"/>
      <printOptions horizontalCentered="1" verticalCentered="1"/>
      <pageSetup paperSize="9" scale="51"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1" orientation="portrait" r:id="rId2"/>
  <headerFooter alignWithMargins="0">
    <oddHeader>&amp;L&amp;F</oddHeader>
    <oddFooter xml:space="preserve">&amp;LDAF Dealer Business Plan - Version January 2011&amp;CPrint date: &amp;D&amp;R&amp;P/&amp;N | DAF Trucks NV    </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60562" r:id="rId5" name="Button 14482">
              <controlPr locked="0" defaultSize="0" print="0" autoFill="0" autoLine="0" autoPict="0" macro="[0]!ZetOpNull">
                <anchor moveWithCells="1" sizeWithCells="1">
                  <from>
                    <xdr:col>0</xdr:col>
                    <xdr:colOff>1501140</xdr:colOff>
                    <xdr:row>9</xdr:row>
                    <xdr:rowOff>99060</xdr:rowOff>
                  </from>
                  <to>
                    <xdr:col>2</xdr:col>
                    <xdr:colOff>0</xdr:colOff>
                    <xdr:row>10</xdr:row>
                    <xdr:rowOff>167640</xdr:rowOff>
                  </to>
                </anchor>
              </controlPr>
            </control>
          </mc:Choice>
        </mc:AlternateContent>
      </controls>
    </mc:Choice>
  </mc:AlternateConten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4">
    <tabColor indexed="22"/>
    <pageSetUpPr fitToPage="1"/>
  </sheetPr>
  <dimension ref="A1:O63"/>
  <sheetViews>
    <sheetView showGridLines="0" view="pageBreakPreview" zoomScale="81" zoomScaleNormal="143" workbookViewId="0">
      <pane ySplit="5" topLeftCell="A6" activePane="bottomLeft" state="frozen"/>
      <selection activeCell="C21" sqref="C21"/>
      <selection pane="bottomLeft" activeCell="C8" sqref="C8"/>
    </sheetView>
  </sheetViews>
  <sheetFormatPr baseColWidth="10" defaultColWidth="0" defaultRowHeight="14.4" zeroHeight="1" x14ac:dyDescent="0.35"/>
  <cols>
    <col min="1" max="1" width="49.33203125" style="45" customWidth="1"/>
    <col min="2" max="2" width="7" style="830" customWidth="1"/>
    <col min="3" max="3" width="15.6640625" style="830" customWidth="1"/>
    <col min="4" max="4" width="9.109375" style="830" customWidth="1"/>
    <col min="5" max="5" width="14.109375" style="830" customWidth="1"/>
    <col min="6" max="6" width="9.109375" style="830" customWidth="1"/>
    <col min="7" max="7" width="15.33203125" style="830" customWidth="1"/>
    <col min="8" max="8" width="13.109375" style="830" customWidth="1"/>
    <col min="9" max="9" width="12.6640625" style="830" customWidth="1"/>
    <col min="10" max="10" width="11.77734375" style="830" customWidth="1"/>
    <col min="11" max="11" width="15.44140625" style="830" customWidth="1"/>
    <col min="12" max="12" width="2" style="45" customWidth="1"/>
    <col min="13" max="16384" width="0" style="45" hidden="1"/>
  </cols>
  <sheetData>
    <row r="1" spans="1:11" ht="28.8" x14ac:dyDescent="0.55000000000000004">
      <c r="A1" s="200" t="s">
        <v>1173</v>
      </c>
      <c r="B1" s="201"/>
      <c r="C1" s="201"/>
      <c r="D1" s="201"/>
      <c r="E1" s="201"/>
      <c r="F1" s="201"/>
      <c r="G1" s="201"/>
      <c r="H1" s="201"/>
      <c r="I1" s="201"/>
      <c r="J1" s="201"/>
      <c r="K1" s="202" t="s">
        <v>931</v>
      </c>
    </row>
    <row r="2" spans="1:11" x14ac:dyDescent="0.35">
      <c r="A2" s="135"/>
      <c r="B2" s="136"/>
      <c r="C2" s="136"/>
      <c r="D2" s="136"/>
      <c r="E2" s="280"/>
      <c r="F2" s="136"/>
      <c r="G2" s="136"/>
      <c r="H2" s="136"/>
      <c r="I2" s="136"/>
      <c r="J2" s="136"/>
      <c r="K2" s="137"/>
    </row>
    <row r="3" spans="1:11" ht="16.2" x14ac:dyDescent="0.35">
      <c r="A3" s="138" t="s">
        <v>1035</v>
      </c>
      <c r="B3" s="281" t="str">
        <f>'Reference sheet'!C12</f>
        <v>TRUCK INTERNATIONAL MOBILITY SA</v>
      </c>
      <c r="C3" s="240"/>
      <c r="D3" s="45"/>
      <c r="E3" s="242" t="s">
        <v>1036</v>
      </c>
      <c r="F3" s="282">
        <f>'Reference sheet'!C15</f>
        <v>2</v>
      </c>
      <c r="G3" s="283" t="s">
        <v>1037</v>
      </c>
      <c r="H3" s="243" t="str">
        <f>'Reference sheet'!C17</f>
        <v>October</v>
      </c>
      <c r="I3" s="982">
        <f>'Reference sheet'!D17</f>
        <v>2018</v>
      </c>
      <c r="J3" s="143" t="s">
        <v>1175</v>
      </c>
      <c r="K3" s="284" t="str">
        <f>'Reference sheet'!C21</f>
        <v>EUR</v>
      </c>
    </row>
    <row r="4" spans="1:11" x14ac:dyDescent="0.35">
      <c r="A4" s="135"/>
      <c r="B4" s="181"/>
      <c r="C4" s="136"/>
      <c r="D4" s="136"/>
      <c r="E4" s="136"/>
      <c r="F4" s="136"/>
      <c r="G4" s="182"/>
      <c r="H4" s="136"/>
      <c r="I4" s="136"/>
      <c r="J4" s="136"/>
      <c r="K4" s="340"/>
    </row>
    <row r="5" spans="1:11" x14ac:dyDescent="0.35">
      <c r="A5" s="263"/>
      <c r="B5" s="164"/>
      <c r="C5" s="247">
        <f>'7.4.2 Selling &amp; Oper. expenses'!C5</f>
        <v>2019</v>
      </c>
      <c r="D5" s="164"/>
      <c r="E5" s="247">
        <f>'7.4.3 Inv. &amp; Depr.'!F6</f>
        <v>2020</v>
      </c>
      <c r="F5" s="164"/>
      <c r="G5" s="247">
        <f>'7.4.3 Inv. &amp; Depr.'!H6</f>
        <v>2021</v>
      </c>
      <c r="H5" s="164"/>
      <c r="I5" s="247">
        <f>'7.4.3 Inv. &amp; Depr.'!J6</f>
        <v>2022</v>
      </c>
      <c r="J5" s="164"/>
      <c r="K5" s="247">
        <f>'7.4.3 Inv. &amp; Depr.'!L6</f>
        <v>2023</v>
      </c>
    </row>
    <row r="6" spans="1:11" ht="18" x14ac:dyDescent="0.35">
      <c r="A6" s="1042" t="s">
        <v>149</v>
      </c>
      <c r="B6" s="1101"/>
      <c r="C6" s="833"/>
      <c r="D6" s="833"/>
      <c r="E6" s="833"/>
      <c r="F6" s="833"/>
      <c r="G6" s="1102"/>
      <c r="H6" s="833"/>
      <c r="I6" s="833"/>
      <c r="J6" s="833"/>
      <c r="K6" s="1103"/>
    </row>
    <row r="7" spans="1:11" x14ac:dyDescent="0.35">
      <c r="A7" s="276"/>
      <c r="B7" s="2026"/>
      <c r="C7" s="78"/>
      <c r="D7" s="148"/>
      <c r="E7" s="148"/>
      <c r="F7" s="148"/>
      <c r="G7" s="2027"/>
      <c r="H7" s="148"/>
      <c r="I7" s="148"/>
      <c r="J7" s="148"/>
      <c r="K7" s="2028"/>
    </row>
    <row r="8" spans="1:11" x14ac:dyDescent="0.35">
      <c r="A8" s="135" t="s">
        <v>378</v>
      </c>
      <c r="B8" s="136"/>
      <c r="C8" s="360">
        <v>0.19</v>
      </c>
      <c r="D8" s="136"/>
      <c r="E8" s="2029"/>
      <c r="F8" s="136"/>
      <c r="G8" s="182"/>
      <c r="H8" s="136"/>
      <c r="I8" s="136"/>
      <c r="J8" s="136"/>
      <c r="K8" s="340"/>
    </row>
    <row r="9" spans="1:11" x14ac:dyDescent="0.35">
      <c r="A9" s="135" t="s">
        <v>348</v>
      </c>
      <c r="B9" s="136"/>
      <c r="C9" s="213">
        <v>30</v>
      </c>
      <c r="D9" s="164"/>
      <c r="E9" s="171"/>
      <c r="F9" s="164"/>
      <c r="G9" s="164"/>
      <c r="H9" s="164"/>
      <c r="I9" s="164"/>
      <c r="J9" s="164"/>
      <c r="K9" s="2030"/>
    </row>
    <row r="10" spans="1:11" x14ac:dyDescent="0.35">
      <c r="A10" s="135" t="s">
        <v>279</v>
      </c>
      <c r="B10" s="136"/>
      <c r="C10" s="2031"/>
      <c r="D10" s="164"/>
      <c r="E10" s="171"/>
      <c r="F10" s="164"/>
      <c r="G10" s="164"/>
      <c r="H10" s="164"/>
      <c r="I10" s="164"/>
      <c r="J10" s="164"/>
      <c r="K10" s="2030"/>
    </row>
    <row r="11" spans="1:11" x14ac:dyDescent="0.35">
      <c r="A11" s="135" t="s">
        <v>280</v>
      </c>
      <c r="B11" s="136"/>
      <c r="C11" s="213">
        <v>1</v>
      </c>
      <c r="D11" s="164"/>
      <c r="E11" s="171"/>
      <c r="F11" s="164"/>
      <c r="G11" s="164"/>
      <c r="H11" s="164"/>
      <c r="I11" s="164"/>
      <c r="J11" s="164"/>
      <c r="K11" s="2030"/>
    </row>
    <row r="12" spans="1:11" x14ac:dyDescent="0.35">
      <c r="A12" s="135" t="s">
        <v>281</v>
      </c>
      <c r="B12" s="136"/>
      <c r="C12" s="213">
        <v>1</v>
      </c>
      <c r="D12" s="164"/>
      <c r="E12" s="171"/>
      <c r="F12" s="164"/>
      <c r="G12" s="164"/>
      <c r="H12" s="164"/>
      <c r="I12" s="164"/>
      <c r="J12" s="164"/>
      <c r="K12" s="2030"/>
    </row>
    <row r="13" spans="1:11" x14ac:dyDescent="0.35">
      <c r="A13" s="264"/>
      <c r="B13" s="342"/>
      <c r="C13" s="2032"/>
      <c r="D13" s="342"/>
      <c r="E13" s="342"/>
      <c r="F13" s="342"/>
      <c r="G13" s="342"/>
      <c r="H13" s="342"/>
      <c r="I13" s="342"/>
      <c r="J13" s="342"/>
      <c r="K13" s="2032"/>
    </row>
    <row r="14" spans="1:11" s="136" customFormat="1" x14ac:dyDescent="0.35">
      <c r="A14" s="164"/>
      <c r="B14" s="164"/>
      <c r="C14" s="164"/>
      <c r="D14" s="164"/>
      <c r="E14" s="164"/>
      <c r="F14" s="164"/>
      <c r="G14" s="164"/>
      <c r="H14" s="164"/>
      <c r="I14" s="164"/>
      <c r="J14" s="164"/>
      <c r="K14" s="164"/>
    </row>
    <row r="15" spans="1:11" ht="18" x14ac:dyDescent="0.35">
      <c r="A15" s="1042" t="s">
        <v>1252</v>
      </c>
      <c r="B15" s="1101"/>
      <c r="C15" s="833"/>
      <c r="D15" s="833"/>
      <c r="E15" s="833"/>
      <c r="F15" s="833"/>
      <c r="G15" s="1102"/>
      <c r="H15" s="833"/>
      <c r="I15" s="833"/>
      <c r="J15" s="833"/>
      <c r="K15" s="1103"/>
    </row>
    <row r="16" spans="1:11" x14ac:dyDescent="0.35">
      <c r="A16" s="147"/>
      <c r="B16" s="2033"/>
      <c r="C16" s="841"/>
      <c r="D16" s="840"/>
      <c r="E16" s="840"/>
      <c r="F16" s="840"/>
      <c r="G16" s="1203"/>
      <c r="H16" s="840"/>
      <c r="I16" s="840"/>
      <c r="J16" s="840"/>
      <c r="K16" s="1204"/>
    </row>
    <row r="17" spans="1:15" x14ac:dyDescent="0.35">
      <c r="A17" s="135"/>
      <c r="B17" s="1175" t="s">
        <v>150</v>
      </c>
      <c r="C17" s="843"/>
      <c r="D17" s="839"/>
      <c r="E17" s="839"/>
      <c r="F17" s="839"/>
      <c r="G17" s="839"/>
      <c r="H17" s="839"/>
      <c r="I17" s="839"/>
      <c r="J17" s="839"/>
      <c r="K17" s="843"/>
    </row>
    <row r="18" spans="1:15" x14ac:dyDescent="0.35">
      <c r="A18" s="135" t="s">
        <v>371</v>
      </c>
      <c r="B18" s="848">
        <f>C$9/2+C$11</f>
        <v>16</v>
      </c>
      <c r="C18" s="1177">
        <f>'7.2.1 Turnover Vehicles'!C36*'7.5.3 VAT'!$C$8*('7.5.3 VAT'!$B$18/360)</f>
        <v>15677.685333333333</v>
      </c>
      <c r="D18" s="1178"/>
      <c r="E18" s="1178">
        <f>'7.2.1 Turnover Vehicles'!E36*'7.5.3 VAT'!$C$8*('7.5.3 VAT'!$B$18/360)</f>
        <v>39451.840666666671</v>
      </c>
      <c r="F18" s="1178"/>
      <c r="G18" s="1178">
        <f>'7.2.1 Turnover Vehicles'!G36*'7.5.3 VAT'!$C$8*('7.5.3 VAT'!$B$18/360)</f>
        <v>67539.21133333334</v>
      </c>
      <c r="H18" s="1178"/>
      <c r="I18" s="1178">
        <f>'7.2.1 Turnover Vehicles'!I36*'7.5.3 VAT'!$C$8*('7.5.3 VAT'!$B$18/360)</f>
        <v>84866.234480000014</v>
      </c>
      <c r="J18" s="1178"/>
      <c r="K18" s="1177">
        <f>'7.2.1 Turnover Vehicles'!K36*'7.5.3 VAT'!$C$8*('7.5.3 VAT'!$B$18/360)</f>
        <v>101398.0334</v>
      </c>
    </row>
    <row r="19" spans="1:15" x14ac:dyDescent="0.35">
      <c r="A19" s="135" t="s">
        <v>372</v>
      </c>
      <c r="B19" s="848">
        <f t="shared" ref="B19:B27" si="0">C$9/2+C$11</f>
        <v>16</v>
      </c>
      <c r="C19" s="1177">
        <f>'7.2.1 Turnover Vehicles'!C48*'7.5.3 VAT'!$C$8*('7.5.3 VAT'!$B$19/360)</f>
        <v>0</v>
      </c>
      <c r="D19" s="1178"/>
      <c r="E19" s="1178">
        <f>'7.2.1 Turnover Vehicles'!E48*'7.5.3 VAT'!$C$8*('7.5.3 VAT'!$B$19/360)</f>
        <v>0</v>
      </c>
      <c r="F19" s="1178"/>
      <c r="G19" s="1178">
        <f>'7.2.1 Turnover Vehicles'!G48*'7.5.3 VAT'!$C$8*('7.5.3 VAT'!$B$19/360)</f>
        <v>0</v>
      </c>
      <c r="H19" s="1178"/>
      <c r="I19" s="1178">
        <f>'7.2.1 Turnover Vehicles'!I48*'7.5.3 VAT'!$C$8*('7.5.3 VAT'!$B$19/360)</f>
        <v>0</v>
      </c>
      <c r="J19" s="1178"/>
      <c r="K19" s="1177">
        <f>'7.2.1 Turnover Vehicles'!K48*'7.5.3 VAT'!$C$8*('7.5.3 VAT'!$B$19/360)</f>
        <v>0</v>
      </c>
    </row>
    <row r="20" spans="1:15" x14ac:dyDescent="0.35">
      <c r="A20" s="135" t="s">
        <v>368</v>
      </c>
      <c r="B20" s="848">
        <f t="shared" si="0"/>
        <v>16</v>
      </c>
      <c r="C20" s="1177">
        <f>'7.2.1 Turnover Vehicles'!C72*'7.5.3 VAT'!$C$8*('7.5.3 VAT'!$B$20/360)</f>
        <v>0</v>
      </c>
      <c r="D20" s="1178"/>
      <c r="E20" s="1178">
        <f>'7.2.1 Turnover Vehicles'!E72*'7.5.3 VAT'!$C$8*('7.5.3 VAT'!$B$20/360)</f>
        <v>0</v>
      </c>
      <c r="F20" s="1178"/>
      <c r="G20" s="1178">
        <f>'7.2.1 Turnover Vehicles'!G72*'7.5.3 VAT'!$C$8*('7.5.3 VAT'!$B$20/360)</f>
        <v>0</v>
      </c>
      <c r="H20" s="1178"/>
      <c r="I20" s="1178">
        <f>'7.2.1 Turnover Vehicles'!I72*'7.5.3 VAT'!$C$8*('7.5.3 VAT'!$B$20/360)</f>
        <v>0</v>
      </c>
      <c r="J20" s="1178"/>
      <c r="K20" s="1177">
        <f>'7.2.1 Turnover Vehicles'!K72*'7.5.3 VAT'!$C$8*('7.5.3 VAT'!$B$20/360)</f>
        <v>0</v>
      </c>
    </row>
    <row r="21" spans="1:15" x14ac:dyDescent="0.35">
      <c r="A21" s="135" t="s">
        <v>49</v>
      </c>
      <c r="B21" s="848">
        <f t="shared" si="0"/>
        <v>16</v>
      </c>
      <c r="C21" s="1177">
        <f>('7.2.3 Turnover Service &amp; Body'!C38+'7.2.2 Turnover Parts'!C36)*'7.5.3 VAT'!$C$8*('7.5.3 VAT'!$B$21/360)</f>
        <v>595.33333333333337</v>
      </c>
      <c r="D21" s="1178"/>
      <c r="E21" s="1178">
        <f ca="1">('7.2.3 Turnover Service &amp; Body'!E38+'7.2.2 Turnover Parts'!E36)*'7.5.3 VAT'!$C$8*('7.5.3 VAT'!$B$21/360)</f>
        <v>1517.8883172047952</v>
      </c>
      <c r="F21" s="1178"/>
      <c r="G21" s="1178">
        <f ca="1">('7.2.3 Turnover Service &amp; Body'!G38+'7.2.2 Turnover Parts'!G36)*'7.5.3 VAT'!$C$8*('7.5.3 VAT'!$B$21/360)</f>
        <v>2409.4620866939713</v>
      </c>
      <c r="H21" s="1178"/>
      <c r="I21" s="1178">
        <f ca="1">('7.2.3 Turnover Service &amp; Body'!I38+'7.2.2 Turnover Parts'!I36)*'7.5.3 VAT'!$C$8*('7.5.3 VAT'!$B$21/360)</f>
        <v>3901.6580839336416</v>
      </c>
      <c r="J21" s="1178"/>
      <c r="K21" s="1177">
        <f ca="1">('7.2.3 Turnover Service &amp; Body'!K38+'7.2.2 Turnover Parts'!K36)*'7.5.3 VAT'!$C$8*('7.5.3 VAT'!$B$21/360)</f>
        <v>6131.6166680352208</v>
      </c>
    </row>
    <row r="22" spans="1:15" x14ac:dyDescent="0.35">
      <c r="A22" s="135" t="s">
        <v>1213</v>
      </c>
      <c r="B22" s="848">
        <f t="shared" si="0"/>
        <v>16</v>
      </c>
      <c r="C22" s="1177">
        <f>('7.2.3 Turnover Service &amp; Body'!C41+'7.2.2 Turnover Parts'!C37)*'7.5.3 VAT'!$C$8*('7.5.3 VAT'!$B$22/360)</f>
        <v>21.111111111111111</v>
      </c>
      <c r="D22" s="1178"/>
      <c r="E22" s="1178">
        <f>('7.2.3 Turnover Service &amp; Body'!E41+'7.2.2 Turnover Parts'!E37)*'7.5.3 VAT'!$C$8*('7.5.3 VAT'!$B$22/360)</f>
        <v>138.15111111111111</v>
      </c>
      <c r="F22" s="1178"/>
      <c r="G22" s="1178">
        <f>('7.2.3 Turnover Service &amp; Body'!G41+'7.2.2 Turnover Parts'!G37)*'7.5.3 VAT'!$C$8*('7.5.3 VAT'!$B$22/360)</f>
        <v>240.52480000000006</v>
      </c>
      <c r="H22" s="1178"/>
      <c r="I22" s="1178">
        <f>('7.2.3 Turnover Service &amp; Body'!I41+'7.2.2 Turnover Parts'!I37)*'7.5.3 VAT'!$C$8*('7.5.3 VAT'!$B$22/360)</f>
        <v>434.36776533333335</v>
      </c>
      <c r="J22" s="1178"/>
      <c r="K22" s="1177">
        <f>('7.2.3 Turnover Service &amp; Body'!K41+'7.2.2 Turnover Parts'!K37)*'7.5.3 VAT'!$C$8*('7.5.3 VAT'!$B$22/360)</f>
        <v>572.52866389333337</v>
      </c>
    </row>
    <row r="23" spans="1:15" x14ac:dyDescent="0.35">
      <c r="A23" s="135" t="s">
        <v>508</v>
      </c>
      <c r="B23" s="848">
        <f t="shared" si="0"/>
        <v>16</v>
      </c>
      <c r="C23" s="1177">
        <f>'7.2.2 Turnover Parts'!C41*'7.5.3 VAT'!$C$8*('7.5.3 VAT'!$B$23/360)</f>
        <v>535.16666666666674</v>
      </c>
      <c r="D23" s="1178"/>
      <c r="E23" s="1178">
        <f ca="1">'7.2.2 Turnover Parts'!E41*'7.5.3 VAT'!$C$8*('7.5.3 VAT'!$B$23/360)</f>
        <v>1058.406328261826</v>
      </c>
      <c r="F23" s="1178"/>
      <c r="G23" s="1178">
        <f ca="1">'7.2.2 Turnover Parts'!G41*'7.5.3 VAT'!$C$8*('7.5.3 VAT'!$B$23/360)</f>
        <v>971.31800378953085</v>
      </c>
      <c r="H23" s="1178"/>
      <c r="I23" s="1178">
        <f ca="1">'7.2.2 Turnover Parts'!I41*'7.5.3 VAT'!$C$8*('7.5.3 VAT'!$B$23/360)</f>
        <v>865.62744709248932</v>
      </c>
      <c r="J23" s="1178"/>
      <c r="K23" s="1177">
        <f ca="1">'7.2.2 Turnover Parts'!K41*'7.5.3 VAT'!$C$8*('7.5.3 VAT'!$B$23/360)</f>
        <v>674.52324141132181</v>
      </c>
    </row>
    <row r="24" spans="1:15" x14ac:dyDescent="0.35">
      <c r="A24" s="135" t="s">
        <v>509</v>
      </c>
      <c r="B24" s="848">
        <f t="shared" si="0"/>
        <v>16</v>
      </c>
      <c r="C24" s="1177">
        <f>'7.2.2 Turnover Parts'!C42*'7.5.3 VAT'!$C$8*('7.5.3 VAT'!$B$24/360)</f>
        <v>288.16666666666669</v>
      </c>
      <c r="D24" s="1178"/>
      <c r="E24" s="1178">
        <f ca="1">'7.2.2 Turnover Parts'!E42*'7.5.3 VAT'!$C$8*('7.5.3 VAT'!$B$24/360)</f>
        <v>705.60421884121752</v>
      </c>
      <c r="F24" s="1178"/>
      <c r="G24" s="1178">
        <f ca="1">'7.2.2 Turnover Parts'!G42*'7.5.3 VAT'!$C$8*('7.5.3 VAT'!$B$24/360)</f>
        <v>971.31800378953085</v>
      </c>
      <c r="H24" s="1178"/>
      <c r="I24" s="1178">
        <f ca="1">'7.2.2 Turnover Parts'!I42*'7.5.3 VAT'!$C$8*('7.5.3 VAT'!$B$24/360)</f>
        <v>1298.4411706387336</v>
      </c>
      <c r="J24" s="1178"/>
      <c r="K24" s="1177">
        <f ca="1">'7.2.2 Turnover Parts'!K42*'7.5.3 VAT'!$C$8*('7.5.3 VAT'!$B$24/360)</f>
        <v>1573.8875632930842</v>
      </c>
    </row>
    <row r="25" spans="1:15" x14ac:dyDescent="0.35">
      <c r="A25" s="135" t="s">
        <v>374</v>
      </c>
      <c r="B25" s="848">
        <f t="shared" si="0"/>
        <v>16</v>
      </c>
      <c r="C25" s="1177">
        <f>'7.2.2 Turnover Parts'!C43*'7.5.3 VAT'!$C$8*('7.5.3 VAT'!$B$25/360)</f>
        <v>401.11111111111114</v>
      </c>
      <c r="D25" s="1178"/>
      <c r="E25" s="1178">
        <f>'7.2.2 Turnover Parts'!E43*'7.5.3 VAT'!$C$8*('7.5.3 VAT'!$B$25/360)</f>
        <v>760</v>
      </c>
      <c r="F25" s="1178"/>
      <c r="G25" s="1178">
        <f>'7.2.2 Turnover Parts'!G43*'7.5.3 VAT'!$C$8*('7.5.3 VAT'!$B$25/360)</f>
        <v>1140</v>
      </c>
      <c r="H25" s="1178"/>
      <c r="I25" s="1178">
        <f>'7.2.2 Turnover Parts'!I43*'7.5.3 VAT'!$C$8*('7.5.3 VAT'!$B$25/360)</f>
        <v>1435.5555555555557</v>
      </c>
      <c r="J25" s="1178"/>
      <c r="K25" s="1177">
        <f>'7.2.2 Turnover Parts'!K43*'7.5.3 VAT'!$C$8*('7.5.3 VAT'!$B$25/360)</f>
        <v>1794.4444444444446</v>
      </c>
    </row>
    <row r="26" spans="1:15" x14ac:dyDescent="0.35">
      <c r="A26" s="135" t="s">
        <v>1146</v>
      </c>
      <c r="B26" s="848">
        <f t="shared" si="0"/>
        <v>16</v>
      </c>
      <c r="C26" s="1177">
        <f>'7.2.2 Turnover Parts'!C19*'7.5.3 VAT'!$C$8*('7.5.3 VAT'!$B$27/360)</f>
        <v>0</v>
      </c>
      <c r="D26" s="1178"/>
      <c r="E26" s="1178">
        <f>'7.2.2 Turnover Parts'!E19*'7.5.3 VAT'!$C$8*('7.5.3 VAT'!$B$27/360)</f>
        <v>111.46666666666667</v>
      </c>
      <c r="F26" s="1178"/>
      <c r="G26" s="1178">
        <f>'7.2.2 Turnover Parts'!G19*'7.5.3 VAT'!$C$8*('7.5.3 VAT'!$B$27/360)</f>
        <v>153.6888888888889</v>
      </c>
      <c r="H26" s="1178"/>
      <c r="I26" s="1178">
        <f>'7.2.2 Turnover Parts'!I19*'7.5.3 VAT'!$C$8*('7.5.3 VAT'!$B$27/360)</f>
        <v>233.06666666666666</v>
      </c>
      <c r="J26" s="1178"/>
      <c r="K26" s="1177">
        <f>'7.2.2 Turnover Parts'!K19*'7.5.3 VAT'!$C$8*('7.5.3 VAT'!$B$27/360)</f>
        <v>271.9111111111111</v>
      </c>
    </row>
    <row r="27" spans="1:15" x14ac:dyDescent="0.35">
      <c r="A27" s="135" t="s">
        <v>151</v>
      </c>
      <c r="B27" s="848">
        <f t="shared" si="0"/>
        <v>16</v>
      </c>
      <c r="C27" s="1242">
        <f>'7.2.2 Turnover Parts'!C20*'7.5.3 VAT'!$C$8*('7.5.3 VAT'!$B$27/360)</f>
        <v>117.0282183909581</v>
      </c>
      <c r="D27" s="1178"/>
      <c r="E27" s="1243">
        <f>'7.2.2 Turnover Parts'!E20*'7.5.3 VAT'!$C$8*('7.5.3 VAT'!$B$27/360)</f>
        <v>306.00294449999996</v>
      </c>
      <c r="F27" s="1178"/>
      <c r="G27" s="1243">
        <f>'7.2.2 Turnover Parts'!G20*'7.5.3 VAT'!$C$8*('7.5.3 VAT'!$B$27/360)</f>
        <v>463.20805575000009</v>
      </c>
      <c r="H27" s="1178"/>
      <c r="I27" s="1243">
        <f>'7.2.2 Turnover Parts'!I20*'7.5.3 VAT'!$C$8*('7.5.3 VAT'!$B$27/360)</f>
        <v>657.66467799999998</v>
      </c>
      <c r="J27" s="1178"/>
      <c r="K27" s="1242">
        <f>'7.2.2 Turnover Parts'!K20*'7.5.3 VAT'!$C$8*('7.5.3 VAT'!$B$27/360)</f>
        <v>868.42785424999988</v>
      </c>
    </row>
    <row r="28" spans="1:15" ht="16.2" x14ac:dyDescent="0.35">
      <c r="A28" s="2034" t="s">
        <v>283</v>
      </c>
      <c r="B28" s="844"/>
      <c r="C28" s="1145">
        <f>SUM(C18:C27)</f>
        <v>17635.60244061318</v>
      </c>
      <c r="D28" s="845"/>
      <c r="E28" s="1146">
        <f ca="1">SUM(E18:E27)</f>
        <v>44049.360253252278</v>
      </c>
      <c r="F28" s="845"/>
      <c r="G28" s="1146">
        <f ca="1">SUM(G18:G27)</f>
        <v>73888.731172245272</v>
      </c>
      <c r="H28" s="845"/>
      <c r="I28" s="1146">
        <f ca="1">SUM(I18:I27)</f>
        <v>93692.615847220426</v>
      </c>
      <c r="J28" s="845"/>
      <c r="K28" s="1145">
        <f ca="1">SUM(K18:K27)</f>
        <v>113285.37294643851</v>
      </c>
      <c r="O28" s="136"/>
    </row>
    <row r="29" spans="1:15" ht="16.2" x14ac:dyDescent="0.35">
      <c r="A29" s="2035"/>
      <c r="B29" s="2036"/>
      <c r="C29" s="2037"/>
      <c r="D29" s="2038"/>
      <c r="E29" s="2039"/>
      <c r="F29" s="2038"/>
      <c r="G29" s="2039"/>
      <c r="H29" s="2038"/>
      <c r="I29" s="2039"/>
      <c r="J29" s="2038"/>
      <c r="K29" s="2037"/>
      <c r="O29" s="136"/>
    </row>
    <row r="30" spans="1:15" s="136" customFormat="1" x14ac:dyDescent="0.35"/>
    <row r="31" spans="1:15" ht="18" x14ac:dyDescent="0.35">
      <c r="A31" s="1042" t="s">
        <v>1253</v>
      </c>
      <c r="B31" s="1101"/>
      <c r="C31" s="834"/>
      <c r="D31" s="833"/>
      <c r="E31" s="833"/>
      <c r="F31" s="833"/>
      <c r="G31" s="1102"/>
      <c r="H31" s="833"/>
      <c r="I31" s="833"/>
      <c r="J31" s="833"/>
      <c r="K31" s="1103"/>
    </row>
    <row r="32" spans="1:15" x14ac:dyDescent="0.35">
      <c r="A32" s="147" t="s">
        <v>152</v>
      </c>
      <c r="B32" s="1171" t="s">
        <v>150</v>
      </c>
      <c r="C32" s="841"/>
      <c r="D32" s="840"/>
      <c r="E32" s="840"/>
      <c r="F32" s="840"/>
      <c r="G32" s="840"/>
      <c r="H32" s="840"/>
      <c r="I32" s="840"/>
      <c r="J32" s="840"/>
      <c r="K32" s="841"/>
    </row>
    <row r="33" spans="1:11" x14ac:dyDescent="0.35">
      <c r="A33" s="135" t="s">
        <v>119</v>
      </c>
      <c r="B33" s="848">
        <f>(C$9/2+C$12)</f>
        <v>16</v>
      </c>
      <c r="C33" s="1177">
        <f>'7.4.3 Inv. &amp; Depr.'!D57*'7.5.3 VAT'!$C$8*('7.5.3 VAT'!$B$33/360)</f>
        <v>0</v>
      </c>
      <c r="D33" s="1178"/>
      <c r="E33" s="1178">
        <f>'7.4.3 Inv. &amp; Depr.'!F57*'7.5.3 VAT'!$C$8*('7.5.3 VAT'!$B$33/360)</f>
        <v>0</v>
      </c>
      <c r="F33" s="1178"/>
      <c r="G33" s="1178">
        <f>'7.4.3 Inv. &amp; Depr.'!H57*'7.5.3 VAT'!$C$8*('7.5.3 VAT'!$B$33/360)</f>
        <v>0</v>
      </c>
      <c r="H33" s="1178"/>
      <c r="I33" s="1178">
        <f>'7.4.3 Inv. &amp; Depr.'!J57*'7.5.3 VAT'!$C$8*('7.5.3 VAT'!$B$33/360)</f>
        <v>0</v>
      </c>
      <c r="J33" s="1178"/>
      <c r="K33" s="1177">
        <f>'7.4.3 Inv. &amp; Depr.'!L57*'7.5.3 VAT'!$C$8*('7.5.3 VAT'!$B$33/360)</f>
        <v>0</v>
      </c>
    </row>
    <row r="34" spans="1:11" x14ac:dyDescent="0.35">
      <c r="A34" s="135" t="s">
        <v>121</v>
      </c>
      <c r="B34" s="848">
        <f t="shared" ref="B34:B40" si="1">(C$9/2+C$12)</f>
        <v>16</v>
      </c>
      <c r="C34" s="1177">
        <f>'7.4.3 Inv. &amp; Depr.'!D58*'7.5.3 VAT'!$C$8*('7.5.3 VAT'!$B$34/360)</f>
        <v>675.55555555555554</v>
      </c>
      <c r="D34" s="1178"/>
      <c r="E34" s="1178">
        <f>'7.4.3 Inv. &amp; Depr.'!F58*'7.5.3 VAT'!$C$8*('7.5.3 VAT'!$B$34/360)</f>
        <v>2026.6666666666667</v>
      </c>
      <c r="F34" s="1178"/>
      <c r="G34" s="1178">
        <f>'7.4.3 Inv. &amp; Depr.'!H58*'7.5.3 VAT'!$C$8*('7.5.3 VAT'!$B$34/360)</f>
        <v>0</v>
      </c>
      <c r="H34" s="1178"/>
      <c r="I34" s="1178">
        <f>'7.4.3 Inv. &amp; Depr.'!J58*'7.5.3 VAT'!$C$8*('7.5.3 VAT'!$B$34/360)</f>
        <v>0</v>
      </c>
      <c r="J34" s="1178"/>
      <c r="K34" s="1177">
        <f>'7.4.3 Inv. &amp; Depr.'!L58*'7.5.3 VAT'!$C$8*('7.5.3 VAT'!$B$34/360)</f>
        <v>0</v>
      </c>
    </row>
    <row r="35" spans="1:11" x14ac:dyDescent="0.35">
      <c r="A35" s="135" t="s">
        <v>384</v>
      </c>
      <c r="B35" s="848">
        <f t="shared" si="1"/>
        <v>16</v>
      </c>
      <c r="C35" s="1177">
        <f>'7.4.3 Inv. &amp; Depr.'!D59*'7.5.3 VAT'!$C$8*('7.5.3 VAT'!$B$35/360)</f>
        <v>337.77777777777777</v>
      </c>
      <c r="D35" s="1178"/>
      <c r="E35" s="1178">
        <f>'7.4.3 Inv. &amp; Depr.'!F59*'7.5.3 VAT'!$C$8*('7.5.3 VAT'!$B$35/360)</f>
        <v>1013.3333333333334</v>
      </c>
      <c r="F35" s="1178"/>
      <c r="G35" s="1178">
        <f>'7.4.3 Inv. &amp; Depr.'!H59*'7.5.3 VAT'!$C$8*('7.5.3 VAT'!$B$35/360)</f>
        <v>0</v>
      </c>
      <c r="H35" s="1178"/>
      <c r="I35" s="1178">
        <f>'7.4.3 Inv. &amp; Depr.'!J59*'7.5.3 VAT'!$C$8*('7.5.3 VAT'!$B$35/360)</f>
        <v>0</v>
      </c>
      <c r="J35" s="1178"/>
      <c r="K35" s="1177">
        <f>'7.4.3 Inv. &amp; Depr.'!L59*'7.5.3 VAT'!$C$8*('7.5.3 VAT'!$B$35/360)</f>
        <v>0</v>
      </c>
    </row>
    <row r="36" spans="1:11" x14ac:dyDescent="0.35">
      <c r="A36" s="135" t="s">
        <v>122</v>
      </c>
      <c r="B36" s="848">
        <f t="shared" si="1"/>
        <v>16</v>
      </c>
      <c r="C36" s="1177">
        <f>'7.4.3 Inv. &amp; Depr.'!D60*'7.5.3 VAT'!$C$8*('7.5.3 VAT'!$B$35/360)</f>
        <v>76</v>
      </c>
      <c r="D36" s="1178"/>
      <c r="E36" s="1178">
        <f>'7.4.3 Inv. &amp; Depr.'!F60*'7.5.3 VAT'!$C$8*('7.5.3 VAT'!$B$35/360)</f>
        <v>228</v>
      </c>
      <c r="F36" s="1178"/>
      <c r="G36" s="1178">
        <f>'7.4.3 Inv. &amp; Depr.'!H60*'7.5.3 VAT'!$C$8*('7.5.3 VAT'!$B$35/360)</f>
        <v>0</v>
      </c>
      <c r="H36" s="1178"/>
      <c r="I36" s="1178">
        <f>'7.4.3 Inv. &amp; Depr.'!J60*'7.5.3 VAT'!$C$8*('7.5.3 VAT'!$B$35/360)</f>
        <v>0</v>
      </c>
      <c r="J36" s="1178"/>
      <c r="K36" s="1177">
        <f>'7.4.3 Inv. &amp; Depr.'!L60*'7.5.3 VAT'!$C$8*('7.5.3 VAT'!$B$35/360)</f>
        <v>0</v>
      </c>
    </row>
    <row r="37" spans="1:11" x14ac:dyDescent="0.35">
      <c r="A37" s="135" t="s">
        <v>379</v>
      </c>
      <c r="B37" s="848">
        <f t="shared" si="1"/>
        <v>16</v>
      </c>
      <c r="C37" s="1177">
        <f>'7.4.3 Inv. &amp; Depr.'!D61*'7.5.3 VAT'!$C$8*('7.5.3 VAT'!$B$35/360)</f>
        <v>67.555555555555557</v>
      </c>
      <c r="D37" s="1178"/>
      <c r="E37" s="1178">
        <f>'7.4.3 Inv. &amp; Depr.'!F61*'7.5.3 VAT'!$C$8*('7.5.3 VAT'!$B$35/360)</f>
        <v>202.66666666666669</v>
      </c>
      <c r="F37" s="1178"/>
      <c r="G37" s="1178">
        <f>'7.4.3 Inv. &amp; Depr.'!H61*'7.5.3 VAT'!$C$8*('7.5.3 VAT'!$B$35/360)</f>
        <v>0</v>
      </c>
      <c r="H37" s="1178"/>
      <c r="I37" s="1178">
        <f>'7.4.3 Inv. &amp; Depr.'!J61*'7.5.3 VAT'!$C$8*('7.5.3 VAT'!$B$35/360)</f>
        <v>0</v>
      </c>
      <c r="J37" s="1178"/>
      <c r="K37" s="1177">
        <f>'7.4.3 Inv. &amp; Depr.'!L61*'7.5.3 VAT'!$C$8*('7.5.3 VAT'!$B$35/360)</f>
        <v>0</v>
      </c>
    </row>
    <row r="38" spans="1:11" x14ac:dyDescent="0.35">
      <c r="A38" s="135" t="s">
        <v>123</v>
      </c>
      <c r="B38" s="848">
        <f t="shared" si="1"/>
        <v>16</v>
      </c>
      <c r="C38" s="1177">
        <f>'7.4.3 Inv. &amp; Depr.'!D62*'7.5.3 VAT'!$C$8*('7.5.3 VAT'!$B$38/360)</f>
        <v>219.55555555555557</v>
      </c>
      <c r="D38" s="1178"/>
      <c r="E38" s="1178">
        <f>'7.4.3 Inv. &amp; Depr.'!F62*'7.5.3 VAT'!$C$8*('7.5.3 VAT'!$B$38/360)</f>
        <v>658.66666666666674</v>
      </c>
      <c r="F38" s="1178"/>
      <c r="G38" s="1178">
        <f>'7.4.3 Inv. &amp; Depr.'!H62*'7.5.3 VAT'!$C$8*('7.5.3 VAT'!$B$38/360)</f>
        <v>0</v>
      </c>
      <c r="H38" s="1178"/>
      <c r="I38" s="1178">
        <f>'7.4.3 Inv. &amp; Depr.'!J62*'7.5.3 VAT'!$C$8*('7.5.3 VAT'!$B$38/360)</f>
        <v>0</v>
      </c>
      <c r="J38" s="1178"/>
      <c r="K38" s="1177">
        <f>'7.4.3 Inv. &amp; Depr.'!L62*'7.5.3 VAT'!$C$8*('7.5.3 VAT'!$B$38/360)</f>
        <v>0</v>
      </c>
    </row>
    <row r="39" spans="1:11" x14ac:dyDescent="0.35">
      <c r="A39" s="135" t="s">
        <v>115</v>
      </c>
      <c r="B39" s="848">
        <f t="shared" si="1"/>
        <v>16</v>
      </c>
      <c r="C39" s="1177">
        <f>'7.4.3 Inv. &amp; Depr.'!D63*'7.5.3 VAT'!$C$8*('7.5.3 VAT'!$B$39/360)</f>
        <v>0</v>
      </c>
      <c r="D39" s="1178"/>
      <c r="E39" s="1178">
        <f>'7.4.3 Inv. &amp; Depr.'!F63*'7.5.3 VAT'!$C$8*('7.5.3 VAT'!$B$39/360)</f>
        <v>0</v>
      </c>
      <c r="F39" s="1178"/>
      <c r="G39" s="1178">
        <f>'7.4.3 Inv. &amp; Depr.'!H63*'7.5.3 VAT'!$C$8*('7.5.3 VAT'!$B$39/360)</f>
        <v>0</v>
      </c>
      <c r="H39" s="1178"/>
      <c r="I39" s="1178">
        <f>'7.4.3 Inv. &amp; Depr.'!J63*'7.5.3 VAT'!$C$8*('7.5.3 VAT'!$B$39/360)</f>
        <v>0</v>
      </c>
      <c r="J39" s="1178"/>
      <c r="K39" s="1177">
        <f>'7.4.3 Inv. &amp; Depr.'!L63*'7.5.3 VAT'!$C$8*('7.5.3 VAT'!$B$39/360)</f>
        <v>0</v>
      </c>
    </row>
    <row r="40" spans="1:11" x14ac:dyDescent="0.35">
      <c r="A40" s="135" t="s">
        <v>124</v>
      </c>
      <c r="B40" s="848">
        <f t="shared" si="1"/>
        <v>16</v>
      </c>
      <c r="C40" s="1242">
        <f>'7.4.3 Inv. &amp; Depr.'!D64*'7.5.3 VAT'!$C$8*('7.5.3 VAT'!$B$40/360)</f>
        <v>0</v>
      </c>
      <c r="D40" s="1178"/>
      <c r="E40" s="1243">
        <f>'7.4.3 Inv. &amp; Depr.'!F64*'7.5.3 VAT'!$C$8*('7.5.3 VAT'!$B$40/360)</f>
        <v>0</v>
      </c>
      <c r="F40" s="1178"/>
      <c r="G40" s="1243">
        <f>'7.4.3 Inv. &amp; Depr.'!H64*'7.5.3 VAT'!$C$8*('7.5.3 VAT'!$B$40/360)</f>
        <v>0</v>
      </c>
      <c r="H40" s="1178"/>
      <c r="I40" s="1243">
        <f>'7.4.3 Inv. &amp; Depr.'!J64*'7.5.3 VAT'!$C$8*('7.5.3 VAT'!$B$40/360)</f>
        <v>0</v>
      </c>
      <c r="J40" s="1178"/>
      <c r="K40" s="1242">
        <f>'7.4.3 Inv. &amp; Depr.'!L64*'7.5.3 VAT'!$C$8*('7.5.3 VAT'!$B$40/360)</f>
        <v>0</v>
      </c>
    </row>
    <row r="41" spans="1:11" s="255" customFormat="1" x14ac:dyDescent="0.35">
      <c r="A41" s="263" t="s">
        <v>1056</v>
      </c>
      <c r="B41" s="844"/>
      <c r="C41" s="1145">
        <f>SUM(C33:C40)</f>
        <v>1376.4444444444446</v>
      </c>
      <c r="D41" s="1146"/>
      <c r="E41" s="1146">
        <f>SUM(E33:E40)</f>
        <v>4129.333333333333</v>
      </c>
      <c r="F41" s="1146"/>
      <c r="G41" s="1146">
        <f>SUM(G33:G40)</f>
        <v>0</v>
      </c>
      <c r="H41" s="1146"/>
      <c r="I41" s="1146">
        <f>SUM(I33:I40)</f>
        <v>0</v>
      </c>
      <c r="J41" s="1146"/>
      <c r="K41" s="1145">
        <f>SUM(K33:K40)</f>
        <v>0</v>
      </c>
    </row>
    <row r="42" spans="1:11" x14ac:dyDescent="0.35">
      <c r="A42" s="135"/>
      <c r="B42" s="848"/>
      <c r="C42" s="843"/>
      <c r="D42" s="839"/>
      <c r="E42" s="839"/>
      <c r="F42" s="839"/>
      <c r="G42" s="839"/>
      <c r="H42" s="839"/>
      <c r="I42" s="839"/>
      <c r="J42" s="839"/>
      <c r="K42" s="843"/>
    </row>
    <row r="43" spans="1:11" x14ac:dyDescent="0.35">
      <c r="A43" s="135" t="s">
        <v>153</v>
      </c>
      <c r="B43" s="848"/>
      <c r="C43" s="843"/>
      <c r="D43" s="839"/>
      <c r="E43" s="839"/>
      <c r="F43" s="839"/>
      <c r="G43" s="839"/>
      <c r="H43" s="839"/>
      <c r="I43" s="839"/>
      <c r="J43" s="839"/>
      <c r="K43" s="843"/>
    </row>
    <row r="44" spans="1:11" x14ac:dyDescent="0.35">
      <c r="A44" s="135" t="s">
        <v>371</v>
      </c>
      <c r="B44" s="848">
        <f>(C$9/2+C$12)</f>
        <v>16</v>
      </c>
      <c r="C44" s="1177">
        <f>('7.3 Cost of sales'!C58+'7.3 Cost of sales'!C59)*$C$8*('7.5.3 VAT'!$B$44/360)</f>
        <v>13752.986684444444</v>
      </c>
      <c r="D44" s="1178"/>
      <c r="E44" s="1178">
        <f>('7.3 Cost of sales'!E58+'7.3 Cost of sales'!E59)*$C$8*('7.5.3 VAT'!$B$44/360)</f>
        <v>34603.862268888886</v>
      </c>
      <c r="F44" s="1178"/>
      <c r="G44" s="1178">
        <f>('7.3 Cost of sales'!G58+'7.3 Cost of sales'!G59)*$C$8*('7.5.3 VAT'!$B$44/360)</f>
        <v>59234.19830444445</v>
      </c>
      <c r="H44" s="1178"/>
      <c r="I44" s="1178">
        <f>('7.3 Cost of sales'!I58+'7.3 Cost of sales'!I59)*$C$8*('7.5.3 VAT'!$B$44/360)</f>
        <v>74428.427019822222</v>
      </c>
      <c r="J44" s="1178"/>
      <c r="K44" s="1177">
        <f>('7.3 Cost of sales'!K58+'7.3 Cost of sales'!K59)*$C$8*('7.5.3 VAT'!$B$44/360)</f>
        <v>88926.746346888889</v>
      </c>
    </row>
    <row r="45" spans="1:11" x14ac:dyDescent="0.35">
      <c r="A45" s="135" t="s">
        <v>372</v>
      </c>
      <c r="B45" s="848">
        <f t="shared" ref="B45:B50" si="2">(C$9/2+C$12)</f>
        <v>16</v>
      </c>
      <c r="C45" s="1177">
        <f>'7.3 Cost of sales'!C60*$C$8*('7.5.3 VAT'!$B45/360)</f>
        <v>0</v>
      </c>
      <c r="D45" s="1178"/>
      <c r="E45" s="1178">
        <f>'7.3 Cost of sales'!E60*$C$8*('7.5.3 VAT'!$B45/360)</f>
        <v>0</v>
      </c>
      <c r="F45" s="1178"/>
      <c r="G45" s="1178">
        <f>'7.3 Cost of sales'!G60*$C$8*('7.5.3 VAT'!$B45/360)</f>
        <v>0</v>
      </c>
      <c r="H45" s="1178"/>
      <c r="I45" s="1178">
        <f>'7.3 Cost of sales'!I60*$C$8*('7.5.3 VAT'!$B45/360)</f>
        <v>0</v>
      </c>
      <c r="J45" s="1178"/>
      <c r="K45" s="1177">
        <f>'7.3 Cost of sales'!K60*$C$8*('7.5.3 VAT'!$B45/360)</f>
        <v>0</v>
      </c>
    </row>
    <row r="46" spans="1:11" x14ac:dyDescent="0.35">
      <c r="A46" s="135" t="s">
        <v>368</v>
      </c>
      <c r="B46" s="848">
        <f t="shared" si="2"/>
        <v>16</v>
      </c>
      <c r="C46" s="1177">
        <f>'7.3 Cost of sales'!C61*$C$8*('7.5.3 VAT'!$B46/360)</f>
        <v>0</v>
      </c>
      <c r="D46" s="1178"/>
      <c r="E46" s="1178">
        <f>'7.3 Cost of sales'!E61*$C$8*('7.5.3 VAT'!$B46/360)</f>
        <v>0</v>
      </c>
      <c r="F46" s="1178"/>
      <c r="G46" s="1178">
        <f>'7.3 Cost of sales'!G61*$C$8*('7.5.3 VAT'!$B46/360)</f>
        <v>0</v>
      </c>
      <c r="H46" s="1178"/>
      <c r="I46" s="1178">
        <f>'7.3 Cost of sales'!I61*$C$8*('7.5.3 VAT'!$B46/360)</f>
        <v>0</v>
      </c>
      <c r="J46" s="1178"/>
      <c r="K46" s="1177">
        <f>'7.3 Cost of sales'!K61*$C$8*('7.5.3 VAT'!$B46/360)</f>
        <v>0</v>
      </c>
    </row>
    <row r="47" spans="1:11" x14ac:dyDescent="0.35">
      <c r="A47" s="135" t="s">
        <v>154</v>
      </c>
      <c r="B47" s="848">
        <f t="shared" si="2"/>
        <v>16</v>
      </c>
      <c r="C47" s="1177">
        <f>('7.3 Cost of sales'!C76+'7.3 Cost of sales'!C80)*$C$8*('7.5.3 VAT'!$B47/360)</f>
        <v>657.50597777777784</v>
      </c>
      <c r="D47" s="1178"/>
      <c r="E47" s="1178">
        <f ca="1">('7.3 Cost of sales'!E76+'7.3 Cost of sales'!E80)*$C$8*('7.5.3 VAT'!$B$47/360)</f>
        <v>1509.442990907163</v>
      </c>
      <c r="F47" s="1178"/>
      <c r="G47" s="1178">
        <f ca="1">('7.3 Cost of sales'!G76+'7.3 Cost of sales'!G80)*$C$8*('7.5.3 VAT'!$B$47/360)</f>
        <v>1988.2463522129826</v>
      </c>
      <c r="H47" s="1178"/>
      <c r="I47" s="1178">
        <f ca="1">('7.3 Cost of sales'!I76+'7.3 Cost of sales'!I80)*$C$8*('7.5.3 VAT'!$B$47/360)</f>
        <v>2831.2886447834576</v>
      </c>
      <c r="J47" s="1178"/>
      <c r="K47" s="1177">
        <f ca="1">('7.3 Cost of sales'!K76+'7.3 Cost of sales'!K80)*$C$8*('7.5.3 VAT'!$B$47/360)</f>
        <v>4106.4938434901105</v>
      </c>
    </row>
    <row r="48" spans="1:11" x14ac:dyDescent="0.35">
      <c r="A48" s="135" t="s">
        <v>380</v>
      </c>
      <c r="B48" s="848">
        <f t="shared" si="2"/>
        <v>16</v>
      </c>
      <c r="C48" s="1177">
        <f>('7.3 Cost of sales'!C77+'7.3 Cost of sales'!C82)*$C$8*('7.5.3 VAT'!$B48/360)</f>
        <v>415.88888888888891</v>
      </c>
      <c r="D48" s="1178"/>
      <c r="E48" s="1178">
        <f>('7.3 Cost of sales'!E77+'7.3 Cost of sales'!E82)*$C$8*('7.5.3 VAT'!$B48/360)</f>
        <v>819.11111111111109</v>
      </c>
      <c r="F48" s="1178"/>
      <c r="G48" s="1178">
        <f>('7.3 Cost of sales'!G77+'7.3 Cost of sales'!G82)*$C$8*('7.5.3 VAT'!$B48/360)</f>
        <v>1228.6666666666667</v>
      </c>
      <c r="H48" s="1178"/>
      <c r="I48" s="1178">
        <f>('7.3 Cost of sales'!I77+'7.3 Cost of sales'!I82)*$C$8*('7.5.3 VAT'!$B48/360)</f>
        <v>1612.8888888888889</v>
      </c>
      <c r="J48" s="1178"/>
      <c r="K48" s="1177">
        <f>('7.3 Cost of sales'!K77+'7.3 Cost of sales'!K82)*$C$8*('7.5.3 VAT'!$B48/360)</f>
        <v>2016.1111111111111</v>
      </c>
    </row>
    <row r="49" spans="1:11" x14ac:dyDescent="0.35">
      <c r="A49" s="135" t="s">
        <v>1146</v>
      </c>
      <c r="B49" s="848">
        <f t="shared" si="2"/>
        <v>16</v>
      </c>
      <c r="C49" s="1177">
        <f>'7.3 Cost of sales'!C83*$C$8*('7.5.3 VAT'!$B49/360)</f>
        <v>0</v>
      </c>
      <c r="D49" s="1178"/>
      <c r="E49" s="1178">
        <f>'7.3 Cost of sales'!E83*$C$8*('7.5.3 VAT'!$B49/360)</f>
        <v>89.173333333333346</v>
      </c>
      <c r="F49" s="1178"/>
      <c r="G49" s="1178">
        <f>'7.3 Cost of sales'!G83*$C$8*('7.5.3 VAT'!$B49/360)</f>
        <v>122.95111111111112</v>
      </c>
      <c r="H49" s="1178"/>
      <c r="I49" s="1178">
        <f>'7.3 Cost of sales'!I83*$C$8*('7.5.3 VAT'!$B49/360)</f>
        <v>186.45333333333332</v>
      </c>
      <c r="J49" s="1178"/>
      <c r="K49" s="1177">
        <f>'7.3 Cost of sales'!K83*$C$8*('7.5.3 VAT'!$B49/360)</f>
        <v>217.52888888888887</v>
      </c>
    </row>
    <row r="50" spans="1:11" x14ac:dyDescent="0.35">
      <c r="A50" s="135" t="s">
        <v>151</v>
      </c>
      <c r="B50" s="848">
        <f t="shared" si="2"/>
        <v>16</v>
      </c>
      <c r="C50" s="1242">
        <f>'7.3 Cost of sales'!C84*$C$8*('7.5.3 VAT'!$B50/360)</f>
        <v>70.216931034574856</v>
      </c>
      <c r="D50" s="1178"/>
      <c r="E50" s="1243">
        <f>'7.3 Cost of sales'!E84*$C$8*('7.5.3 VAT'!$B50/360)</f>
        <v>183.60176670000001</v>
      </c>
      <c r="F50" s="1178"/>
      <c r="G50" s="1243">
        <f>'7.3 Cost of sales'!G84*$C$8*('7.5.3 VAT'!$B50/360)</f>
        <v>277.92483345000011</v>
      </c>
      <c r="H50" s="1178"/>
      <c r="I50" s="1243">
        <f>'7.3 Cost of sales'!I84*$C$8*('7.5.3 VAT'!$B50/360)</f>
        <v>394.59880679999998</v>
      </c>
      <c r="J50" s="1178"/>
      <c r="K50" s="1242">
        <f>'7.3 Cost of sales'!K84*$C$8*('7.5.3 VAT'!$B50/360)</f>
        <v>521.05671254999993</v>
      </c>
    </row>
    <row r="51" spans="1:11" s="255" customFormat="1" x14ac:dyDescent="0.35">
      <c r="A51" s="263" t="s">
        <v>1056</v>
      </c>
      <c r="B51" s="844"/>
      <c r="C51" s="1145">
        <f>SUM(C44:C50)</f>
        <v>14896.598482145686</v>
      </c>
      <c r="D51" s="1146"/>
      <c r="E51" s="1146">
        <f ca="1">SUM(E44:E50)</f>
        <v>37205.191470940488</v>
      </c>
      <c r="F51" s="1146"/>
      <c r="G51" s="1146">
        <f ca="1">SUM(G44:G50)</f>
        <v>62851.987267885212</v>
      </c>
      <c r="H51" s="1146"/>
      <c r="I51" s="1146">
        <f ca="1">SUM(I44:I50)</f>
        <v>79453.656693627912</v>
      </c>
      <c r="J51" s="1146"/>
      <c r="K51" s="1145">
        <f ca="1">SUM(K44:K50)</f>
        <v>95787.936902928996</v>
      </c>
    </row>
    <row r="52" spans="1:11" x14ac:dyDescent="0.35">
      <c r="A52" s="135"/>
      <c r="B52" s="848"/>
      <c r="C52" s="1177"/>
      <c r="D52" s="1178"/>
      <c r="E52" s="1178"/>
      <c r="F52" s="1178"/>
      <c r="G52" s="1178"/>
      <c r="H52" s="1178"/>
      <c r="I52" s="1178"/>
      <c r="J52" s="1178"/>
      <c r="K52" s="1177"/>
    </row>
    <row r="53" spans="1:11" x14ac:dyDescent="0.35">
      <c r="A53" s="135" t="s">
        <v>155</v>
      </c>
      <c r="B53" s="848">
        <f>(C9/2+C12)</f>
        <v>16</v>
      </c>
      <c r="C53" s="1177">
        <f>('7.4.2 Selling &amp; Oper. expenses'!C57-'7.4.2 Selling &amp; Oper. expenses'!C51-'7.4.2 Selling &amp; Oper. expenses'!C52-'7.4.2 Selling &amp; Oper. expenses'!C53)*$C$8*('7.5.3 VAT'!$B53/360)</f>
        <v>883.71111111111111</v>
      </c>
      <c r="D53" s="1178"/>
      <c r="E53" s="1178">
        <f>('7.4.2 Selling &amp; Oper. expenses'!E57-'7.4.2 Selling &amp; Oper. expenses'!E51-'7.4.2 Selling &amp; Oper. expenses'!E52-'7.4.2 Selling &amp; Oper. expenses'!E53)*$C$8*('7.5.3 VAT'!$B53/360)</f>
        <v>1845.3306666666667</v>
      </c>
      <c r="F53" s="1178"/>
      <c r="G53" s="1178">
        <f>('7.4.2 Selling &amp; Oper. expenses'!G57-'7.4.2 Selling &amp; Oper. expenses'!G51-'7.4.2 Selling &amp; Oper. expenses'!G52-'7.4.2 Selling &amp; Oper. expenses'!G53)*$C$8*('7.5.3 VAT'!$B53/360)</f>
        <v>2123.2373333333335</v>
      </c>
      <c r="H53" s="1178"/>
      <c r="I53" s="1178">
        <f>('7.4.2 Selling &amp; Oper. expenses'!I57-'7.4.2 Selling &amp; Oper. expenses'!I51-'7.4.2 Selling &amp; Oper. expenses'!I52-'7.4.2 Selling &amp; Oper. expenses'!I53)*$C$8*('7.5.3 VAT'!$B53/360)</f>
        <v>2422.1368888888892</v>
      </c>
      <c r="J53" s="1178"/>
      <c r="K53" s="1177">
        <f>('7.4.2 Selling &amp; Oper. expenses'!K57-'7.4.2 Selling &amp; Oper. expenses'!K51-'7.4.2 Selling &amp; Oper. expenses'!K52-'7.4.2 Selling &amp; Oper. expenses'!K53)*$C$8*('7.5.3 VAT'!$B53/360)</f>
        <v>2728.132311111111</v>
      </c>
    </row>
    <row r="54" spans="1:11" x14ac:dyDescent="0.35">
      <c r="A54" s="2040" t="s">
        <v>156</v>
      </c>
      <c r="B54" s="848"/>
      <c r="C54" s="843"/>
      <c r="D54" s="839"/>
      <c r="E54" s="839"/>
      <c r="F54" s="839"/>
      <c r="G54" s="839"/>
      <c r="H54" s="839"/>
      <c r="I54" s="839"/>
      <c r="J54" s="839"/>
      <c r="K54" s="843"/>
    </row>
    <row r="55" spans="1:11" x14ac:dyDescent="0.35">
      <c r="A55" s="135"/>
      <c r="B55" s="848"/>
      <c r="C55" s="843"/>
      <c r="D55" s="839"/>
      <c r="E55" s="839"/>
      <c r="F55" s="839"/>
      <c r="G55" s="839"/>
      <c r="H55" s="839"/>
      <c r="I55" s="839"/>
      <c r="J55" s="839"/>
      <c r="K55" s="843"/>
    </row>
    <row r="56" spans="1:11" ht="16.2" x14ac:dyDescent="0.35">
      <c r="A56" s="2034" t="s">
        <v>284</v>
      </c>
      <c r="B56" s="844"/>
      <c r="C56" s="1145">
        <f>C41+C51+C53</f>
        <v>17156.754037701241</v>
      </c>
      <c r="D56" s="845"/>
      <c r="E56" s="1146">
        <f ca="1">+E41+E51+E53</f>
        <v>43179.855470940493</v>
      </c>
      <c r="F56" s="845"/>
      <c r="G56" s="1146">
        <f ca="1">+G41+G51+G53</f>
        <v>64975.224601218542</v>
      </c>
      <c r="H56" s="845"/>
      <c r="I56" s="1146">
        <f ca="1">+I41+I51+I53</f>
        <v>81875.793582516795</v>
      </c>
      <c r="J56" s="845"/>
      <c r="K56" s="1145">
        <f ca="1">+K41+K51+K53</f>
        <v>98516.069214040108</v>
      </c>
    </row>
    <row r="57" spans="1:11" x14ac:dyDescent="0.35">
      <c r="A57" s="145"/>
      <c r="B57" s="849"/>
      <c r="C57" s="851"/>
      <c r="D57" s="850"/>
      <c r="E57" s="850"/>
      <c r="F57" s="850"/>
      <c r="G57" s="850"/>
      <c r="H57" s="850"/>
      <c r="I57" s="850"/>
      <c r="J57" s="850"/>
      <c r="K57" s="851"/>
    </row>
    <row r="58" spans="1:11" x14ac:dyDescent="0.35">
      <c r="A58" s="136"/>
      <c r="B58" s="136"/>
      <c r="C58" s="136"/>
      <c r="D58" s="136"/>
      <c r="E58" s="136"/>
      <c r="F58" s="136"/>
      <c r="G58" s="136"/>
      <c r="H58" s="136"/>
      <c r="I58" s="136"/>
      <c r="J58" s="136"/>
      <c r="K58" s="136"/>
    </row>
    <row r="59" spans="1:11" ht="15" thickBot="1" x14ac:dyDescent="0.4">
      <c r="A59" s="136"/>
      <c r="B59" s="136"/>
      <c r="C59" s="136"/>
      <c r="D59" s="136"/>
      <c r="E59" s="136"/>
      <c r="F59" s="136"/>
      <c r="G59" s="136"/>
      <c r="H59" s="136"/>
      <c r="I59" s="136"/>
      <c r="J59" s="136"/>
      <c r="K59" s="136"/>
    </row>
    <row r="60" spans="1:11" ht="18.600000000000001" thickBot="1" x14ac:dyDescent="0.4">
      <c r="A60" s="1086" t="s">
        <v>157</v>
      </c>
      <c r="B60" s="2041"/>
      <c r="C60" s="2042"/>
      <c r="D60" s="1087"/>
      <c r="E60" s="1087"/>
      <c r="F60" s="1087"/>
      <c r="G60" s="2043"/>
      <c r="H60" s="1087"/>
      <c r="I60" s="1087"/>
      <c r="J60" s="1087"/>
      <c r="K60" s="2044"/>
    </row>
    <row r="61" spans="1:11" x14ac:dyDescent="0.35">
      <c r="A61" s="424"/>
      <c r="B61" s="848"/>
      <c r="C61" s="843"/>
      <c r="D61" s="839"/>
      <c r="E61" s="839"/>
      <c r="F61" s="839"/>
      <c r="G61" s="839"/>
      <c r="H61" s="839"/>
      <c r="I61" s="839"/>
      <c r="J61" s="839"/>
      <c r="K61" s="1739"/>
    </row>
    <row r="62" spans="1:11" x14ac:dyDescent="0.35">
      <c r="A62" s="424" t="s">
        <v>326</v>
      </c>
      <c r="B62" s="848"/>
      <c r="C62" s="1177">
        <f>C56-C28</f>
        <v>-478.84840291193905</v>
      </c>
      <c r="D62" s="839"/>
      <c r="E62" s="1178">
        <f ca="1">E56-E28</f>
        <v>-869.50478231178568</v>
      </c>
      <c r="F62" s="839"/>
      <c r="G62" s="1178">
        <f ca="1">G56-G28</f>
        <v>-8913.5065710267299</v>
      </c>
      <c r="H62" s="839"/>
      <c r="I62" s="1178">
        <f ca="1">I56-I28</f>
        <v>-11816.822264703631</v>
      </c>
      <c r="J62" s="839"/>
      <c r="K62" s="1179">
        <f ca="1">K56-K28</f>
        <v>-14769.303732398403</v>
      </c>
    </row>
    <row r="63" spans="1:11" ht="15" thickBot="1" x14ac:dyDescent="0.4">
      <c r="A63" s="438"/>
      <c r="B63" s="2045"/>
      <c r="C63" s="1149"/>
      <c r="D63" s="1150"/>
      <c r="E63" s="1150"/>
      <c r="F63" s="1150"/>
      <c r="G63" s="1150"/>
      <c r="H63" s="1150"/>
      <c r="I63" s="1150"/>
      <c r="J63" s="1150"/>
      <c r="K63" s="1151"/>
    </row>
  </sheetData>
  <sheetProtection password="813F" sheet="1" objects="1" scenarios="1" selectLockedCells="1"/>
  <customSheetViews>
    <customSheetView guid="{51165254-F18A-4CD1-9981-8F2DE14CC76C}" showGridLines="0" fitToPage="1" hiddenRows="1" hiddenColumns="1" showRuler="0">
      <pane ySplit="5" topLeftCell="A6" activePane="bottomLeft" state="frozen"/>
      <selection pane="bottomLeft" activeCell="C8" sqref="C8"/>
      <pageMargins left="0.78740157480314965" right="0.78740157480314965" top="0.98425196850393704" bottom="0.98425196850393704" header="0.51181102362204722" footer="0.51181102362204722"/>
      <printOptions horizontalCentered="1" verticalCentered="1"/>
      <pageSetup paperSize="9" scale="50"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0"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tabColor indexed="45"/>
    <pageSetUpPr fitToPage="1"/>
  </sheetPr>
  <dimension ref="A1:AB40"/>
  <sheetViews>
    <sheetView showGridLines="0" zoomScale="136" zoomScaleNormal="90" workbookViewId="0"/>
  </sheetViews>
  <sheetFormatPr baseColWidth="10" defaultColWidth="0" defaultRowHeight="14.4" zeroHeight="1" x14ac:dyDescent="0.35"/>
  <cols>
    <col min="1" max="1" width="39.6640625" style="45" customWidth="1"/>
    <col min="2" max="6" width="9.109375" style="45" customWidth="1"/>
    <col min="7" max="7" width="10.6640625" style="45" customWidth="1"/>
    <col min="8" max="8" width="9.6640625" style="45" customWidth="1"/>
    <col min="9" max="11" width="9.109375" style="45" customWidth="1"/>
    <col min="12" max="12" width="2.44140625" style="44" customWidth="1"/>
    <col min="13" max="28" width="0" style="168" hidden="1" customWidth="1"/>
    <col min="29" max="16384" width="0" style="45" hidden="1"/>
  </cols>
  <sheetData>
    <row r="1" spans="1:11" ht="29.25" customHeight="1" x14ac:dyDescent="0.55000000000000004">
      <c r="A1" s="205" t="str">
        <f>'1.0 Executive summary'!A1</f>
        <v>Executive Summary</v>
      </c>
      <c r="B1" s="206"/>
      <c r="C1" s="206"/>
      <c r="D1" s="206"/>
      <c r="E1" s="206"/>
      <c r="F1" s="206"/>
      <c r="G1" s="206"/>
      <c r="H1" s="206"/>
      <c r="I1" s="206"/>
      <c r="J1" s="206"/>
      <c r="K1" s="207" t="s">
        <v>784</v>
      </c>
    </row>
    <row r="2" spans="1:11" ht="13.2" customHeight="1" x14ac:dyDescent="0.35">
      <c r="A2" s="135"/>
      <c r="B2" s="169"/>
      <c r="C2" s="170"/>
      <c r="D2" s="171"/>
      <c r="E2" s="172"/>
      <c r="F2" s="136"/>
      <c r="G2" s="136"/>
      <c r="H2" s="173"/>
      <c r="I2" s="171"/>
      <c r="J2" s="171"/>
      <c r="K2" s="174"/>
    </row>
    <row r="3" spans="1:11" ht="13.2" customHeight="1" x14ac:dyDescent="0.35">
      <c r="A3" s="135" t="s">
        <v>1049</v>
      </c>
      <c r="B3" s="169"/>
      <c r="C3" s="164" t="str">
        <f>'Reference sheet'!C12</f>
        <v>TRUCK INTERNATIONAL MOBILITY SA</v>
      </c>
      <c r="D3" s="171"/>
      <c r="E3" s="172"/>
      <c r="F3" s="136"/>
      <c r="G3" s="175" t="s">
        <v>1037</v>
      </c>
      <c r="H3" s="863" t="str">
        <f>'Reference sheet'!C17</f>
        <v>October</v>
      </c>
      <c r="I3" s="863">
        <f>'Reference sheet'!D17</f>
        <v>2018</v>
      </c>
      <c r="J3" s="175" t="s">
        <v>1036</v>
      </c>
      <c r="K3" s="177">
        <f>'Reference sheet'!C15</f>
        <v>2</v>
      </c>
    </row>
    <row r="4" spans="1:11" x14ac:dyDescent="0.35">
      <c r="A4" s="145"/>
      <c r="B4" s="178"/>
      <c r="C4" s="146"/>
      <c r="D4" s="146"/>
      <c r="E4" s="146"/>
      <c r="F4" s="146"/>
      <c r="G4" s="179"/>
      <c r="H4" s="146"/>
      <c r="I4" s="146"/>
      <c r="J4" s="146"/>
      <c r="K4" s="180"/>
    </row>
    <row r="5" spans="1:11" x14ac:dyDescent="0.35">
      <c r="A5" s="136"/>
      <c r="B5" s="181"/>
      <c r="C5" s="136"/>
      <c r="D5" s="136"/>
      <c r="E5" s="136"/>
      <c r="F5" s="136"/>
      <c r="G5" s="182"/>
      <c r="H5" s="136"/>
      <c r="I5" s="136"/>
      <c r="J5" s="136"/>
      <c r="K5" s="181"/>
    </row>
    <row r="6" spans="1:11" x14ac:dyDescent="0.35">
      <c r="A6" s="832" t="s">
        <v>634</v>
      </c>
      <c r="B6" s="833"/>
      <c r="C6" s="833"/>
      <c r="D6" s="833"/>
      <c r="E6" s="833"/>
      <c r="F6" s="833"/>
      <c r="G6" s="833"/>
      <c r="H6" s="833"/>
      <c r="I6" s="833"/>
      <c r="J6" s="833"/>
      <c r="K6" s="834"/>
    </row>
    <row r="7" spans="1:11" x14ac:dyDescent="0.35">
      <c r="A7" s="808"/>
      <c r="B7" s="187"/>
      <c r="C7" s="187"/>
      <c r="D7" s="187"/>
      <c r="E7" s="187"/>
      <c r="F7" s="187"/>
      <c r="G7" s="187"/>
      <c r="H7" s="187"/>
      <c r="I7" s="187"/>
      <c r="J7" s="187"/>
      <c r="K7" s="188"/>
    </row>
    <row r="8" spans="1:11" x14ac:dyDescent="0.35">
      <c r="A8" s="189"/>
      <c r="B8" s="190"/>
      <c r="C8" s="190"/>
      <c r="D8" s="190"/>
      <c r="E8" s="190"/>
      <c r="F8" s="190"/>
      <c r="G8" s="190"/>
      <c r="H8" s="190"/>
      <c r="I8" s="190"/>
      <c r="J8" s="190"/>
      <c r="K8" s="191"/>
    </row>
    <row r="9" spans="1:11" x14ac:dyDescent="0.35">
      <c r="A9" s="189"/>
      <c r="B9" s="190"/>
      <c r="C9" s="190"/>
      <c r="D9" s="190"/>
      <c r="E9" s="190"/>
      <c r="F9" s="190"/>
      <c r="G9" s="190"/>
      <c r="H9" s="190"/>
      <c r="I9" s="190"/>
      <c r="J9" s="190"/>
      <c r="K9" s="191"/>
    </row>
    <row r="10" spans="1:11" x14ac:dyDescent="0.35">
      <c r="A10" s="189"/>
      <c r="B10" s="190"/>
      <c r="C10" s="190"/>
      <c r="D10" s="190"/>
      <c r="E10" s="190"/>
      <c r="F10" s="190"/>
      <c r="G10" s="190"/>
      <c r="H10" s="190"/>
      <c r="I10" s="190"/>
      <c r="J10" s="190"/>
      <c r="K10" s="191"/>
    </row>
    <row r="11" spans="1:11" x14ac:dyDescent="0.35">
      <c r="A11" s="192"/>
      <c r="B11" s="193"/>
      <c r="C11" s="193"/>
      <c r="D11" s="193"/>
      <c r="E11" s="193"/>
      <c r="F11" s="193"/>
      <c r="G11" s="193"/>
      <c r="H11" s="193"/>
      <c r="I11" s="193"/>
      <c r="J11" s="193"/>
      <c r="K11" s="194"/>
    </row>
    <row r="12" spans="1:11" x14ac:dyDescent="0.35"/>
    <row r="13" spans="1:11" x14ac:dyDescent="0.35">
      <c r="A13" s="832" t="s">
        <v>638</v>
      </c>
      <c r="B13" s="833"/>
      <c r="C13" s="833"/>
      <c r="D13" s="833"/>
      <c r="E13" s="833"/>
      <c r="F13" s="833"/>
      <c r="G13" s="833"/>
      <c r="H13" s="833"/>
      <c r="I13" s="833"/>
      <c r="J13" s="833"/>
      <c r="K13" s="834"/>
    </row>
    <row r="14" spans="1:11" x14ac:dyDescent="0.35">
      <c r="A14" s="186"/>
      <c r="B14" s="187"/>
      <c r="C14" s="187"/>
      <c r="D14" s="187"/>
      <c r="E14" s="187"/>
      <c r="F14" s="187"/>
      <c r="G14" s="187"/>
      <c r="H14" s="187"/>
      <c r="I14" s="187"/>
      <c r="J14" s="187"/>
      <c r="K14" s="188"/>
    </row>
    <row r="15" spans="1:11" x14ac:dyDescent="0.35">
      <c r="A15" s="189"/>
      <c r="B15" s="190"/>
      <c r="C15" s="190"/>
      <c r="D15" s="190"/>
      <c r="E15" s="190"/>
      <c r="F15" s="190"/>
      <c r="G15" s="190"/>
      <c r="H15" s="190"/>
      <c r="I15" s="190"/>
      <c r="J15" s="190"/>
      <c r="K15" s="191"/>
    </row>
    <row r="16" spans="1:11" x14ac:dyDescent="0.35">
      <c r="A16" s="189"/>
      <c r="B16" s="190"/>
      <c r="C16" s="190"/>
      <c r="D16" s="190"/>
      <c r="E16" s="190"/>
      <c r="F16" s="190"/>
      <c r="G16" s="190"/>
      <c r="H16" s="190"/>
      <c r="I16" s="190"/>
      <c r="J16" s="190"/>
      <c r="K16" s="191"/>
    </row>
    <row r="17" spans="1:11" x14ac:dyDescent="0.35">
      <c r="A17" s="189"/>
      <c r="B17" s="190"/>
      <c r="C17" s="190"/>
      <c r="D17" s="190"/>
      <c r="E17" s="190"/>
      <c r="F17" s="190"/>
      <c r="G17" s="190"/>
      <c r="H17" s="190"/>
      <c r="I17" s="190"/>
      <c r="J17" s="190"/>
      <c r="K17" s="191"/>
    </row>
    <row r="18" spans="1:11" x14ac:dyDescent="0.35">
      <c r="A18" s="189"/>
      <c r="B18" s="190"/>
      <c r="C18" s="190"/>
      <c r="D18" s="190"/>
      <c r="E18" s="190"/>
      <c r="F18" s="190"/>
      <c r="G18" s="190"/>
      <c r="H18" s="190"/>
      <c r="I18" s="190"/>
      <c r="J18" s="190"/>
      <c r="K18" s="191"/>
    </row>
    <row r="19" spans="1:11" x14ac:dyDescent="0.35">
      <c r="A19" s="189"/>
      <c r="B19" s="190"/>
      <c r="C19" s="190"/>
      <c r="D19" s="190"/>
      <c r="E19" s="190"/>
      <c r="F19" s="190"/>
      <c r="G19" s="190"/>
      <c r="H19" s="190"/>
      <c r="I19" s="190"/>
      <c r="J19" s="190"/>
      <c r="K19" s="191"/>
    </row>
    <row r="20" spans="1:11" ht="12" customHeight="1" x14ac:dyDescent="0.35">
      <c r="A20" s="189"/>
      <c r="B20" s="190"/>
      <c r="C20" s="190"/>
      <c r="D20" s="190"/>
      <c r="E20" s="190"/>
      <c r="F20" s="190"/>
      <c r="G20" s="190"/>
      <c r="H20" s="190"/>
      <c r="I20" s="190"/>
      <c r="J20" s="190"/>
      <c r="K20" s="191"/>
    </row>
    <row r="21" spans="1:11" ht="10.5" customHeight="1" x14ac:dyDescent="0.35">
      <c r="A21" s="189"/>
      <c r="B21" s="190"/>
      <c r="C21" s="190"/>
      <c r="D21" s="190"/>
      <c r="E21" s="190"/>
      <c r="F21" s="190"/>
      <c r="G21" s="190"/>
      <c r="H21" s="190"/>
      <c r="I21" s="190"/>
      <c r="J21" s="190"/>
      <c r="K21" s="191"/>
    </row>
    <row r="22" spans="1:11" x14ac:dyDescent="0.35">
      <c r="A22" s="189"/>
      <c r="B22" s="190"/>
      <c r="C22" s="190"/>
      <c r="D22" s="190"/>
      <c r="E22" s="190"/>
      <c r="F22" s="190"/>
      <c r="G22" s="190"/>
      <c r="H22" s="190"/>
      <c r="I22" s="190"/>
      <c r="J22" s="190"/>
      <c r="K22" s="191"/>
    </row>
    <row r="23" spans="1:11" ht="10.5" customHeight="1" x14ac:dyDescent="0.35">
      <c r="A23" s="189"/>
      <c r="B23" s="190"/>
      <c r="C23" s="190"/>
      <c r="D23" s="190"/>
      <c r="E23" s="190"/>
      <c r="F23" s="190"/>
      <c r="G23" s="190"/>
      <c r="H23" s="190"/>
      <c r="I23" s="190"/>
      <c r="J23" s="190"/>
      <c r="K23" s="191"/>
    </row>
    <row r="24" spans="1:11" x14ac:dyDescent="0.35">
      <c r="A24" s="192"/>
      <c r="B24" s="193"/>
      <c r="C24" s="193"/>
      <c r="D24" s="193"/>
      <c r="E24" s="193"/>
      <c r="F24" s="193"/>
      <c r="G24" s="193"/>
      <c r="H24" s="193"/>
      <c r="I24" s="193"/>
      <c r="J24" s="193"/>
      <c r="K24" s="194"/>
    </row>
    <row r="25" spans="1:11" x14ac:dyDescent="0.35"/>
    <row r="26" spans="1:11" x14ac:dyDescent="0.35">
      <c r="A26" s="832" t="s">
        <v>753</v>
      </c>
      <c r="B26" s="833"/>
      <c r="C26" s="833"/>
      <c r="D26" s="833"/>
      <c r="E26" s="833"/>
      <c r="F26" s="833"/>
      <c r="G26" s="833"/>
      <c r="H26" s="833"/>
      <c r="I26" s="833"/>
      <c r="J26" s="833"/>
      <c r="K26" s="834"/>
    </row>
    <row r="27" spans="1:11" ht="16.2" x14ac:dyDescent="0.35">
      <c r="A27" s="195"/>
      <c r="B27" s="187"/>
      <c r="C27" s="187"/>
      <c r="D27" s="187"/>
      <c r="E27" s="187"/>
      <c r="F27" s="187"/>
      <c r="G27" s="187"/>
      <c r="H27" s="187"/>
      <c r="I27" s="187"/>
      <c r="J27" s="187"/>
      <c r="K27" s="188"/>
    </row>
    <row r="28" spans="1:11" ht="16.2" x14ac:dyDescent="0.35">
      <c r="A28" s="196"/>
      <c r="B28" s="190"/>
      <c r="C28" s="190"/>
      <c r="D28" s="190"/>
      <c r="E28" s="190"/>
      <c r="F28" s="190"/>
      <c r="G28" s="190"/>
      <c r="H28" s="190"/>
      <c r="I28" s="190"/>
      <c r="J28" s="190"/>
      <c r="K28" s="191"/>
    </row>
    <row r="29" spans="1:11" ht="16.2" x14ac:dyDescent="0.35">
      <c r="A29" s="196"/>
      <c r="B29" s="190"/>
      <c r="C29" s="190"/>
      <c r="D29" s="190"/>
      <c r="E29" s="190"/>
      <c r="F29" s="190"/>
      <c r="G29" s="190"/>
      <c r="H29" s="190"/>
      <c r="I29" s="190"/>
      <c r="J29" s="190"/>
      <c r="K29" s="191"/>
    </row>
    <row r="30" spans="1:11" ht="16.2" x14ac:dyDescent="0.35">
      <c r="A30" s="196"/>
      <c r="B30" s="190"/>
      <c r="C30" s="190"/>
      <c r="D30" s="190"/>
      <c r="E30" s="190"/>
      <c r="F30" s="190"/>
      <c r="G30" s="190"/>
      <c r="H30" s="190"/>
      <c r="I30" s="190"/>
      <c r="J30" s="190"/>
      <c r="K30" s="191"/>
    </row>
    <row r="31" spans="1:11" ht="16.2" x14ac:dyDescent="0.35">
      <c r="A31" s="196"/>
      <c r="B31" s="190"/>
      <c r="C31" s="190"/>
      <c r="D31" s="190"/>
      <c r="E31" s="190"/>
      <c r="F31" s="190"/>
      <c r="G31" s="190"/>
      <c r="H31" s="190"/>
      <c r="I31" s="190"/>
      <c r="J31" s="190"/>
      <c r="K31" s="191"/>
    </row>
    <row r="32" spans="1:11" ht="16.2" x14ac:dyDescent="0.35">
      <c r="A32" s="196"/>
      <c r="B32" s="190"/>
      <c r="C32" s="190"/>
      <c r="D32" s="190"/>
      <c r="E32" s="190"/>
      <c r="F32" s="190"/>
      <c r="G32" s="190"/>
      <c r="H32" s="190"/>
      <c r="I32" s="190"/>
      <c r="J32" s="190"/>
      <c r="K32" s="191"/>
    </row>
    <row r="33" spans="1:11" ht="16.2" x14ac:dyDescent="0.35">
      <c r="A33" s="196"/>
      <c r="B33" s="190"/>
      <c r="C33" s="190"/>
      <c r="D33" s="190"/>
      <c r="E33" s="190"/>
      <c r="F33" s="190"/>
      <c r="G33" s="190"/>
      <c r="H33" s="190"/>
      <c r="I33" s="190"/>
      <c r="J33" s="190"/>
      <c r="K33" s="191"/>
    </row>
    <row r="34" spans="1:11" ht="16.2" x14ac:dyDescent="0.35">
      <c r="A34" s="196"/>
      <c r="B34" s="190"/>
      <c r="C34" s="190"/>
      <c r="D34" s="190"/>
      <c r="E34" s="190"/>
      <c r="F34" s="190"/>
      <c r="G34" s="190"/>
      <c r="H34" s="190"/>
      <c r="I34" s="190"/>
      <c r="J34" s="190"/>
      <c r="K34" s="191"/>
    </row>
    <row r="35" spans="1:11" ht="16.2" x14ac:dyDescent="0.35">
      <c r="A35" s="196"/>
      <c r="B35" s="190"/>
      <c r="C35" s="190"/>
      <c r="D35" s="190"/>
      <c r="E35" s="190"/>
      <c r="F35" s="190"/>
      <c r="G35" s="190"/>
      <c r="H35" s="190"/>
      <c r="I35" s="190"/>
      <c r="J35" s="190"/>
      <c r="K35" s="191"/>
    </row>
    <row r="36" spans="1:11" ht="16.2" x14ac:dyDescent="0.35">
      <c r="A36" s="196"/>
      <c r="B36" s="190"/>
      <c r="C36" s="190"/>
      <c r="D36" s="190"/>
      <c r="E36" s="190"/>
      <c r="F36" s="190"/>
      <c r="G36" s="190"/>
      <c r="H36" s="190"/>
      <c r="I36" s="190"/>
      <c r="J36" s="190"/>
      <c r="K36" s="191"/>
    </row>
    <row r="37" spans="1:11" ht="16.2" x14ac:dyDescent="0.35">
      <c r="A37" s="196"/>
      <c r="B37" s="190"/>
      <c r="C37" s="190"/>
      <c r="D37" s="190"/>
      <c r="E37" s="190"/>
      <c r="F37" s="190"/>
      <c r="G37" s="190"/>
      <c r="H37" s="190"/>
      <c r="I37" s="190"/>
      <c r="J37" s="190"/>
      <c r="K37" s="191"/>
    </row>
    <row r="38" spans="1:11" ht="16.2" x14ac:dyDescent="0.35">
      <c r="A38" s="197"/>
      <c r="B38" s="193"/>
      <c r="C38" s="193"/>
      <c r="D38" s="193"/>
      <c r="E38" s="193"/>
      <c r="F38" s="193"/>
      <c r="G38" s="193"/>
      <c r="H38" s="193"/>
      <c r="I38" s="193"/>
      <c r="J38" s="193"/>
      <c r="K38" s="194"/>
    </row>
    <row r="39" spans="1:11" hidden="1" x14ac:dyDescent="0.35">
      <c r="B39" s="136"/>
      <c r="C39" s="136"/>
      <c r="D39" s="136"/>
      <c r="E39" s="136"/>
      <c r="F39" s="136"/>
      <c r="G39" s="136"/>
      <c r="H39" s="136"/>
      <c r="I39" s="136"/>
      <c r="J39" s="136"/>
      <c r="K39" s="136"/>
    </row>
    <row r="40" spans="1:11" x14ac:dyDescent="0.35"/>
  </sheetData>
  <sheetProtection password="813F" sheet="1" objects="1" scenarios="1" selectLockedCells="1"/>
  <customSheetViews>
    <customSheetView guid="{51165254-F18A-4CD1-9981-8F2DE14CC76C}" showGridLines="0" fitToPage="1" hiddenRows="1" hiddenColumns="1" showRuler="0">
      <pageMargins left="0.78740157480314965" right="0.78740157480314965" top="0.98425196850393704" bottom="0.98425196850393704" header="0.51181102362204722" footer="0.51181102362204722"/>
      <printOptions horizontalCentered="1" verticalCentered="1"/>
      <pageSetup paperSize="9" scale="65"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65"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7">
    <tabColor indexed="22"/>
  </sheetPr>
  <dimension ref="A1:Q386"/>
  <sheetViews>
    <sheetView showGridLines="0" zoomScaleNormal="70" zoomScaleSheetLayoutView="75" workbookViewId="0">
      <pane ySplit="6" topLeftCell="A182" activePane="bottomLeft" state="frozen"/>
      <selection activeCell="C21" sqref="C21"/>
      <selection pane="bottomLeft" activeCell="G369" sqref="G369"/>
    </sheetView>
  </sheetViews>
  <sheetFormatPr baseColWidth="10" defaultColWidth="0" defaultRowHeight="14.4" zeroHeight="1" x14ac:dyDescent="0.35"/>
  <cols>
    <col min="1" max="1" width="42.33203125" style="45" customWidth="1"/>
    <col min="2" max="2" width="16.44140625" style="219" customWidth="1"/>
    <col min="3" max="4" width="17" style="219" customWidth="1"/>
    <col min="5" max="5" width="18.77734375" style="219" customWidth="1"/>
    <col min="6" max="6" width="19" style="219" customWidth="1"/>
    <col min="7" max="7" width="20.109375" style="219" customWidth="1"/>
    <col min="8" max="8" width="29.33203125" style="219" customWidth="1"/>
    <col min="9" max="9" width="30.109375" style="219" customWidth="1"/>
    <col min="10" max="10" width="2.6640625" style="45" customWidth="1"/>
    <col min="11" max="11" width="9.109375" style="45" hidden="1" customWidth="1"/>
    <col min="12" max="13" width="13.44140625" style="45" hidden="1" customWidth="1"/>
    <col min="14" max="16384" width="9.109375" style="45" hidden="1"/>
  </cols>
  <sheetData>
    <row r="1" spans="1:10" ht="28.8" x14ac:dyDescent="0.55000000000000004">
      <c r="A1" s="200" t="s">
        <v>1173</v>
      </c>
      <c r="B1" s="201"/>
      <c r="C1" s="201"/>
      <c r="D1" s="201"/>
      <c r="E1" s="201"/>
      <c r="F1" s="201"/>
      <c r="G1" s="201"/>
      <c r="H1" s="201"/>
      <c r="I1" s="819" t="s">
        <v>848</v>
      </c>
    </row>
    <row r="2" spans="1:10" x14ac:dyDescent="0.35">
      <c r="A2" s="135"/>
      <c r="B2" s="275"/>
      <c r="C2" s="758"/>
      <c r="D2" s="275"/>
      <c r="E2" s="275"/>
      <c r="F2" s="275"/>
      <c r="G2" s="275"/>
      <c r="H2" s="275"/>
      <c r="I2" s="137"/>
    </row>
    <row r="3" spans="1:10" ht="16.2" x14ac:dyDescent="0.35">
      <c r="A3" s="138" t="s">
        <v>1035</v>
      </c>
      <c r="B3" s="281" t="str">
        <f>'Reference sheet'!$C$12</f>
        <v>TRUCK INTERNATIONAL MOBILITY SA</v>
      </c>
      <c r="D3" s="283" t="s">
        <v>1036</v>
      </c>
      <c r="E3" s="283" t="s">
        <v>1037</v>
      </c>
      <c r="F3" s="1990" t="str">
        <f>'Reference sheet'!$C$17</f>
        <v>October</v>
      </c>
      <c r="G3" s="982">
        <f>'Reference sheet'!$D$17</f>
        <v>2018</v>
      </c>
      <c r="H3" s="241" t="s">
        <v>1175</v>
      </c>
      <c r="I3" s="760" t="str">
        <f>'Reference sheet'!$C$21</f>
        <v>EUR</v>
      </c>
    </row>
    <row r="4" spans="1:10" x14ac:dyDescent="0.35">
      <c r="A4" s="145"/>
      <c r="B4" s="761"/>
      <c r="C4" s="733"/>
      <c r="D4" s="733"/>
      <c r="E4" s="733"/>
      <c r="F4" s="733"/>
      <c r="G4" s="733"/>
      <c r="H4" s="733"/>
      <c r="I4" s="762"/>
    </row>
    <row r="5" spans="1:10" s="209" customFormat="1" ht="22.8" thickBot="1" x14ac:dyDescent="0.5">
      <c r="A5" s="763" t="s">
        <v>195</v>
      </c>
      <c r="B5" s="757">
        <f>'7.1 Dealer area'!C5</f>
        <v>2019</v>
      </c>
      <c r="C5" s="764"/>
      <c r="D5" s="757"/>
      <c r="E5" s="756"/>
      <c r="F5" s="756"/>
      <c r="G5" s="756"/>
      <c r="H5" s="756"/>
      <c r="I5" s="765"/>
    </row>
    <row r="6" spans="1:10" s="265" customFormat="1" ht="18" x14ac:dyDescent="0.35">
      <c r="A6" s="579"/>
      <c r="B6" s="932" t="s">
        <v>196</v>
      </c>
      <c r="C6" s="933" t="s">
        <v>42</v>
      </c>
      <c r="D6" s="933" t="s">
        <v>43</v>
      </c>
      <c r="E6" s="933" t="s">
        <v>1138</v>
      </c>
      <c r="F6" s="933" t="s">
        <v>1147</v>
      </c>
      <c r="G6" s="934" t="s">
        <v>197</v>
      </c>
      <c r="H6" s="932" t="s">
        <v>198</v>
      </c>
      <c r="I6" s="935" t="s">
        <v>199</v>
      </c>
    </row>
    <row r="7" spans="1:10" x14ac:dyDescent="0.35">
      <c r="A7" s="147"/>
      <c r="B7" s="936"/>
      <c r="C7" s="937"/>
      <c r="D7" s="937"/>
      <c r="E7" s="937"/>
      <c r="F7" s="937"/>
      <c r="G7" s="938"/>
      <c r="H7" s="936"/>
      <c r="I7" s="939"/>
    </row>
    <row r="8" spans="1:10" x14ac:dyDescent="0.35">
      <c r="A8" s="263" t="s">
        <v>200</v>
      </c>
      <c r="B8" s="940"/>
      <c r="C8" s="941"/>
      <c r="D8" s="941"/>
      <c r="E8" s="941"/>
      <c r="F8" s="941"/>
      <c r="G8" s="942"/>
      <c r="H8" s="940"/>
      <c r="I8" s="943"/>
    </row>
    <row r="9" spans="1:10" x14ac:dyDescent="0.35">
      <c r="A9" s="424" t="s">
        <v>201</v>
      </c>
      <c r="B9" s="944"/>
      <c r="C9" s="941"/>
      <c r="D9" s="941"/>
      <c r="E9" s="941"/>
      <c r="F9" s="941"/>
      <c r="G9" s="942"/>
      <c r="H9" s="940"/>
      <c r="I9" s="943"/>
    </row>
    <row r="10" spans="1:10" x14ac:dyDescent="0.35">
      <c r="A10" s="424" t="s">
        <v>202</v>
      </c>
      <c r="B10" s="944">
        <f>'7.2.1 Turnover Vehicles'!C36</f>
        <v>1856568</v>
      </c>
      <c r="C10" s="941"/>
      <c r="D10" s="941"/>
      <c r="E10" s="945">
        <f>'7.2.2 Turnover Parts'!C17-'7.2.2 Turnover Parts'!C26</f>
        <v>149884</v>
      </c>
      <c r="F10" s="945">
        <f>'7.2.3 Turnover Service &amp; Body'!C38</f>
        <v>18000</v>
      </c>
      <c r="G10" s="942"/>
      <c r="H10" s="944">
        <f t="shared" ref="H10:H15" si="0">SUM(B10:F10)</f>
        <v>2024452</v>
      </c>
      <c r="I10" s="946">
        <f>SUM(B10:F10)</f>
        <v>2024452</v>
      </c>
    </row>
    <row r="11" spans="1:10" x14ac:dyDescent="0.35">
      <c r="A11" s="424" t="s">
        <v>203</v>
      </c>
      <c r="B11" s="940"/>
      <c r="C11" s="945">
        <f>'7.2.1 Turnover Vehicles'!C48</f>
        <v>0</v>
      </c>
      <c r="D11" s="945">
        <f>'7.2.1 Turnover Vehicles'!C72</f>
        <v>0</v>
      </c>
      <c r="E11" s="945">
        <f>'7.2.2 Turnover Parts'!C18-'7.2.2 Turnover Parts'!C27</f>
        <v>50000</v>
      </c>
      <c r="F11" s="945">
        <f>'7.2.3 Turnover Service &amp; Body'!C41</f>
        <v>0</v>
      </c>
      <c r="G11" s="942"/>
      <c r="H11" s="944">
        <f t="shared" si="0"/>
        <v>50000</v>
      </c>
      <c r="I11" s="946">
        <f>SUM(B11:F11)</f>
        <v>50000</v>
      </c>
    </row>
    <row r="12" spans="1:10" x14ac:dyDescent="0.35">
      <c r="A12" s="424" t="s">
        <v>204</v>
      </c>
      <c r="B12" s="940"/>
      <c r="C12" s="945"/>
      <c r="D12" s="945"/>
      <c r="E12" s="945">
        <f>'7.2.2 Turnover Parts'!C19</f>
        <v>0</v>
      </c>
      <c r="F12" s="945"/>
      <c r="G12" s="942"/>
      <c r="H12" s="944">
        <f t="shared" si="0"/>
        <v>0</v>
      </c>
      <c r="I12" s="946">
        <f>SUM(B12:F12)</f>
        <v>0</v>
      </c>
    </row>
    <row r="13" spans="1:10" x14ac:dyDescent="0.35">
      <c r="A13" s="424" t="s">
        <v>205</v>
      </c>
      <c r="B13" s="944"/>
      <c r="C13" s="941"/>
      <c r="D13" s="941"/>
      <c r="E13" s="945">
        <f>'7.2.2 Turnover Parts'!C20</f>
        <v>13858.604809455563</v>
      </c>
      <c r="F13" s="945"/>
      <c r="G13" s="942"/>
      <c r="H13" s="944">
        <f t="shared" si="0"/>
        <v>13858.604809455563</v>
      </c>
      <c r="I13" s="946">
        <f>SUM(B13:F13)</f>
        <v>13858.604809455563</v>
      </c>
    </row>
    <row r="14" spans="1:10" x14ac:dyDescent="0.35">
      <c r="A14" s="424" t="s">
        <v>53</v>
      </c>
      <c r="B14" s="944"/>
      <c r="C14" s="941"/>
      <c r="D14" s="941"/>
      <c r="E14" s="945"/>
      <c r="F14" s="945">
        <f>'7.2.3 Turnover Service &amp; Body'!C52</f>
        <v>3000</v>
      </c>
      <c r="G14" s="942"/>
      <c r="H14" s="944">
        <f t="shared" si="0"/>
        <v>3000</v>
      </c>
      <c r="I14" s="946">
        <f>SUM(B14:F14)</f>
        <v>3000</v>
      </c>
    </row>
    <row r="15" spans="1:10" x14ac:dyDescent="0.35">
      <c r="A15" s="424" t="s">
        <v>206</v>
      </c>
      <c r="B15" s="947"/>
      <c r="C15" s="948"/>
      <c r="D15" s="948"/>
      <c r="E15" s="949">
        <f>'7.2.2 Turnover Parts'!C28</f>
        <v>116</v>
      </c>
      <c r="F15" s="949">
        <f>'7.2.3 Turnover Service &amp; Body'!C39+'7.2.3 Turnover Service &amp; Body'!C40</f>
        <v>0</v>
      </c>
      <c r="G15" s="950"/>
      <c r="H15" s="947">
        <f t="shared" si="0"/>
        <v>116</v>
      </c>
      <c r="I15" s="959">
        <v>0</v>
      </c>
    </row>
    <row r="16" spans="1:10" s="255" customFormat="1" x14ac:dyDescent="0.35">
      <c r="A16" s="435" t="s">
        <v>207</v>
      </c>
      <c r="B16" s="951">
        <f>SUM(B10:B15)</f>
        <v>1856568</v>
      </c>
      <c r="C16" s="952">
        <f>SUM(C11:C15)</f>
        <v>0</v>
      </c>
      <c r="D16" s="952">
        <f>SUM(D10:D15)</f>
        <v>0</v>
      </c>
      <c r="E16" s="952">
        <f>SUM(E10:E15)</f>
        <v>213858.60480945557</v>
      </c>
      <c r="F16" s="952">
        <f>SUM(F10:F15)</f>
        <v>21000</v>
      </c>
      <c r="G16" s="953"/>
      <c r="H16" s="951">
        <f>SUM(H10:H15)</f>
        <v>2091426.6048094556</v>
      </c>
      <c r="I16" s="954">
        <f>SUM(I10:I15)</f>
        <v>2091310.6048094556</v>
      </c>
      <c r="J16" s="414"/>
    </row>
    <row r="17" spans="1:10" s="255" customFormat="1" x14ac:dyDescent="0.35">
      <c r="A17" s="768"/>
      <c r="B17" s="955"/>
      <c r="C17" s="956"/>
      <c r="D17" s="956"/>
      <c r="E17" s="956"/>
      <c r="F17" s="956"/>
      <c r="G17" s="957"/>
      <c r="H17" s="955"/>
      <c r="I17" s="958"/>
    </row>
    <row r="18" spans="1:10" x14ac:dyDescent="0.35">
      <c r="A18" s="769"/>
      <c r="B18" s="936"/>
      <c r="C18" s="937"/>
      <c r="D18" s="937"/>
      <c r="E18" s="937"/>
      <c r="F18" s="937"/>
      <c r="G18" s="938"/>
      <c r="H18" s="936"/>
      <c r="I18" s="939"/>
    </row>
    <row r="19" spans="1:10" x14ac:dyDescent="0.35">
      <c r="A19" s="435" t="s">
        <v>208</v>
      </c>
      <c r="B19" s="940"/>
      <c r="C19" s="941"/>
      <c r="D19" s="941"/>
      <c r="E19" s="941"/>
      <c r="F19" s="941"/>
      <c r="G19" s="942"/>
      <c r="H19" s="940"/>
      <c r="I19" s="943"/>
    </row>
    <row r="20" spans="1:10" x14ac:dyDescent="0.35">
      <c r="A20" s="424" t="s">
        <v>201</v>
      </c>
      <c r="B20" s="940"/>
      <c r="C20" s="941"/>
      <c r="D20" s="941"/>
      <c r="E20" s="941"/>
      <c r="F20" s="941"/>
      <c r="G20" s="942"/>
      <c r="H20" s="940"/>
      <c r="I20" s="943"/>
    </row>
    <row r="21" spans="1:10" x14ac:dyDescent="0.35">
      <c r="A21" s="424" t="s">
        <v>202</v>
      </c>
      <c r="B21" s="944">
        <f>'7.3 Cost of sales'!C58+'7.3 Cost of sales'!C59</f>
        <v>1628643.16</v>
      </c>
      <c r="C21" s="941"/>
      <c r="D21" s="941"/>
      <c r="E21" s="945">
        <f>'7.3 Cost of sales'!C76+'7.3 Cost of sales'!C78+'7.3 Cost of sales'!C80+'7.3 Cost of sales'!C81</f>
        <v>100130.8</v>
      </c>
      <c r="F21" s="941"/>
      <c r="G21" s="942"/>
      <c r="H21" s="944">
        <f t="shared" ref="H21:H28" si="1">SUM(B21:F21)</f>
        <v>1728773.96</v>
      </c>
      <c r="I21" s="946">
        <f t="shared" ref="I21:I27" si="2">SUM(B21:F21)</f>
        <v>1728773.96</v>
      </c>
    </row>
    <row r="22" spans="1:10" x14ac:dyDescent="0.35">
      <c r="A22" s="424" t="s">
        <v>203</v>
      </c>
      <c r="B22" s="940"/>
      <c r="C22" s="945">
        <f>'7.3 Cost of sales'!C60</f>
        <v>0</v>
      </c>
      <c r="D22" s="945">
        <f>'7.3 Cost of sales'!C61</f>
        <v>0</v>
      </c>
      <c r="E22" s="945">
        <f>'7.3 Cost of sales'!C77+'7.3 Cost of sales'!C79+'7.3 Cost of sales'!C82</f>
        <v>49250</v>
      </c>
      <c r="F22" s="941"/>
      <c r="G22" s="942"/>
      <c r="H22" s="944">
        <f t="shared" si="1"/>
        <v>49250</v>
      </c>
      <c r="I22" s="946">
        <f t="shared" si="2"/>
        <v>49250</v>
      </c>
    </row>
    <row r="23" spans="1:10" x14ac:dyDescent="0.35">
      <c r="A23" s="424" t="s">
        <v>204</v>
      </c>
      <c r="B23" s="940"/>
      <c r="C23" s="945"/>
      <c r="D23" s="945"/>
      <c r="E23" s="945">
        <f>'7.3 Cost of sales'!C83</f>
        <v>0</v>
      </c>
      <c r="F23" s="941"/>
      <c r="G23" s="942"/>
      <c r="H23" s="944">
        <f t="shared" si="1"/>
        <v>0</v>
      </c>
      <c r="I23" s="946">
        <f t="shared" si="2"/>
        <v>0</v>
      </c>
    </row>
    <row r="24" spans="1:10" x14ac:dyDescent="0.35">
      <c r="A24" s="424" t="s">
        <v>205</v>
      </c>
      <c r="B24" s="940"/>
      <c r="C24" s="941"/>
      <c r="D24" s="941"/>
      <c r="E24" s="945">
        <f>'7.3 Cost of sales'!C84</f>
        <v>8315.1628856733369</v>
      </c>
      <c r="F24" s="941"/>
      <c r="G24" s="942"/>
      <c r="H24" s="944">
        <f t="shared" si="1"/>
        <v>8315.1628856733369</v>
      </c>
      <c r="I24" s="946">
        <f t="shared" si="2"/>
        <v>8315.1628856733369</v>
      </c>
    </row>
    <row r="25" spans="1:10" x14ac:dyDescent="0.35">
      <c r="A25" s="424" t="s">
        <v>209</v>
      </c>
      <c r="B25" s="940"/>
      <c r="C25" s="941"/>
      <c r="D25" s="941"/>
      <c r="E25" s="945">
        <v>0</v>
      </c>
      <c r="F25" s="945">
        <f>'7.4.1 Salaries &amp; Wages'!C105+'7.4.1 Salaries &amp; Wages'!C114</f>
        <v>4915.6350000000002</v>
      </c>
      <c r="G25" s="942"/>
      <c r="H25" s="944">
        <f t="shared" si="1"/>
        <v>4915.6350000000002</v>
      </c>
      <c r="I25" s="946">
        <f t="shared" si="2"/>
        <v>4915.6350000000002</v>
      </c>
    </row>
    <row r="26" spans="1:10" x14ac:dyDescent="0.35">
      <c r="A26" s="424" t="s">
        <v>210</v>
      </c>
      <c r="B26" s="944">
        <f>-'7.3 Cost of sales'!C67</f>
        <v>0</v>
      </c>
      <c r="C26" s="941">
        <v>0</v>
      </c>
      <c r="D26" s="945">
        <f>-'7.3 Cost of sales'!C68</f>
        <v>0</v>
      </c>
      <c r="E26" s="945">
        <f>-'7.3 Cost of sales'!C93</f>
        <v>0</v>
      </c>
      <c r="F26" s="941"/>
      <c r="G26" s="942"/>
      <c r="H26" s="944">
        <f t="shared" si="1"/>
        <v>0</v>
      </c>
      <c r="I26" s="946">
        <f t="shared" si="2"/>
        <v>0</v>
      </c>
    </row>
    <row r="27" spans="1:10" x14ac:dyDescent="0.35">
      <c r="A27" s="424" t="s">
        <v>53</v>
      </c>
      <c r="B27" s="944"/>
      <c r="C27" s="941">
        <v>0</v>
      </c>
      <c r="D27" s="945">
        <v>0</v>
      </c>
      <c r="E27" s="945"/>
      <c r="F27" s="945">
        <f>'7.3 Cost of sales'!C102</f>
        <v>2250</v>
      </c>
      <c r="G27" s="942"/>
      <c r="H27" s="944">
        <f t="shared" si="1"/>
        <v>2250</v>
      </c>
      <c r="I27" s="946">
        <f t="shared" si="2"/>
        <v>2250</v>
      </c>
    </row>
    <row r="28" spans="1:10" x14ac:dyDescent="0.35">
      <c r="A28" s="424" t="s">
        <v>206</v>
      </c>
      <c r="B28" s="947">
        <f>'7.2.3 Turnover Service &amp; Body'!C39+'7.2.2 Turnover Parts'!C26</f>
        <v>116</v>
      </c>
      <c r="C28" s="949">
        <f>'7.2.3 Turnover Service &amp; Body'!C40+'7.2.2 Turnover Parts'!C27</f>
        <v>0</v>
      </c>
      <c r="D28" s="948">
        <v>0</v>
      </c>
      <c r="E28" s="948"/>
      <c r="F28" s="948"/>
      <c r="G28" s="950"/>
      <c r="H28" s="947">
        <f t="shared" si="1"/>
        <v>116</v>
      </c>
      <c r="I28" s="959">
        <v>0</v>
      </c>
    </row>
    <row r="29" spans="1:10" s="255" customFormat="1" x14ac:dyDescent="0.35">
      <c r="A29" s="435" t="s">
        <v>211</v>
      </c>
      <c r="B29" s="951">
        <f>SUM(B21:B28)</f>
        <v>1628759.16</v>
      </c>
      <c r="C29" s="952">
        <f>SUM(C21:C28)</f>
        <v>0</v>
      </c>
      <c r="D29" s="952">
        <f>SUM(D21:D28)</f>
        <v>0</v>
      </c>
      <c r="E29" s="952">
        <f>SUM(E21:E28)</f>
        <v>157695.96288567333</v>
      </c>
      <c r="F29" s="952">
        <f>SUM(F21:F28)</f>
        <v>7165.6350000000002</v>
      </c>
      <c r="G29" s="960">
        <v>0</v>
      </c>
      <c r="H29" s="951">
        <f>SUM(H21:H28)</f>
        <v>1793620.7578856733</v>
      </c>
      <c r="I29" s="954">
        <f>SUM(I21:I28)</f>
        <v>1793504.7578856733</v>
      </c>
      <c r="J29" s="414"/>
    </row>
    <row r="30" spans="1:10" s="255" customFormat="1" x14ac:dyDescent="0.35">
      <c r="A30" s="768"/>
      <c r="B30" s="955"/>
      <c r="C30" s="956"/>
      <c r="D30" s="956"/>
      <c r="E30" s="956"/>
      <c r="F30" s="956"/>
      <c r="G30" s="961"/>
      <c r="H30" s="962"/>
      <c r="I30" s="958"/>
    </row>
    <row r="31" spans="1:10" x14ac:dyDescent="0.35">
      <c r="A31" s="769"/>
      <c r="B31" s="936"/>
      <c r="C31" s="937"/>
      <c r="D31" s="937"/>
      <c r="E31" s="937"/>
      <c r="F31" s="937"/>
      <c r="G31" s="938"/>
      <c r="H31" s="936"/>
      <c r="I31" s="939"/>
    </row>
    <row r="32" spans="1:10" s="255" customFormat="1" x14ac:dyDescent="0.35">
      <c r="A32" s="435" t="s">
        <v>212</v>
      </c>
      <c r="B32" s="951">
        <f>B16-B29</f>
        <v>227808.84000000008</v>
      </c>
      <c r="C32" s="952">
        <f>C16-C29</f>
        <v>0</v>
      </c>
      <c r="D32" s="952">
        <f>D16-D29</f>
        <v>0</v>
      </c>
      <c r="E32" s="952">
        <f>E16-E29</f>
        <v>56162.641923782241</v>
      </c>
      <c r="F32" s="952">
        <f>F16-F29</f>
        <v>13834.365</v>
      </c>
      <c r="G32" s="953">
        <v>0</v>
      </c>
      <c r="H32" s="951">
        <f>H16-H29</f>
        <v>297805.84692378226</v>
      </c>
      <c r="I32" s="954">
        <f>I16-I29</f>
        <v>297805.84692378226</v>
      </c>
      <c r="J32" s="414"/>
    </row>
    <row r="33" spans="1:13" s="255" customFormat="1" x14ac:dyDescent="0.35">
      <c r="A33" s="768"/>
      <c r="B33" s="955"/>
      <c r="C33" s="956"/>
      <c r="D33" s="956"/>
      <c r="E33" s="956"/>
      <c r="F33" s="956"/>
      <c r="G33" s="957"/>
      <c r="H33" s="955"/>
      <c r="I33" s="958"/>
    </row>
    <row r="34" spans="1:13" x14ac:dyDescent="0.35">
      <c r="A34" s="769"/>
      <c r="B34" s="936"/>
      <c r="C34" s="937"/>
      <c r="D34" s="937"/>
      <c r="E34" s="937"/>
      <c r="F34" s="937"/>
      <c r="G34" s="938"/>
      <c r="H34" s="936"/>
      <c r="I34" s="939"/>
    </row>
    <row r="35" spans="1:13" s="255" customFormat="1" ht="13.2" customHeight="1" x14ac:dyDescent="0.35">
      <c r="A35" s="435" t="s">
        <v>652</v>
      </c>
      <c r="B35" s="951">
        <f>'7.2.1 Turnover Vehicles'!C84*'7.4.1 Salaries &amp; Wages'!C77*(1+'7.4.1 Salaries &amp; Wages'!B78)+'7.4.2 Selling &amp; Oper. expenses'!C9*'7.4.2 Selling &amp; Oper. expenses'!E63</f>
        <v>62455.212500000001</v>
      </c>
      <c r="C35" s="952">
        <f>'7.2.1 Turnover Vehicles'!C85*'7.4.1 Salaries &amp; Wages'!C77*(1+'7.4.1 Salaries &amp; Wages'!B78)+'7.4.2 Selling &amp; Oper. expenses'!C9*'7.4.2 Selling &amp; Oper. expenses'!F63</f>
        <v>0</v>
      </c>
      <c r="D35" s="952">
        <f>'7.2.1 Turnover Vehicles'!C86*'7.4.1 Salaries &amp; Wages'!C77*(1+'7.4.1 Salaries &amp; Wages'!B78)+'7.4.2 Selling &amp; Oper. expenses'!C9*'7.4.2 Selling &amp; Oper. expenses'!G63</f>
        <v>0</v>
      </c>
      <c r="E35" s="952">
        <f>('7.4.2 Selling &amp; Oper. expenses'!C9*'7.4.2 Selling &amp; Oper. expenses'!I63)</f>
        <v>0</v>
      </c>
      <c r="F35" s="952">
        <f>'7.4.2 Selling &amp; Oper. expenses'!C9*'7.4.2 Selling &amp; Oper. expenses'!H63</f>
        <v>0</v>
      </c>
      <c r="G35" s="953">
        <f>'7.4.2 Selling &amp; Oper. expenses'!C9*'7.4.2 Selling &amp; Oper. expenses'!J63</f>
        <v>0</v>
      </c>
      <c r="H35" s="951">
        <f>SUM(B35:G35)</f>
        <v>62455.212500000001</v>
      </c>
      <c r="I35" s="954">
        <f>B35+C35+D35+F35+E35+G35</f>
        <v>62455.212500000001</v>
      </c>
    </row>
    <row r="36" spans="1:13" s="255" customFormat="1" ht="13.2" customHeight="1" x14ac:dyDescent="0.35">
      <c r="A36" s="435"/>
      <c r="B36" s="944"/>
      <c r="C36" s="945"/>
      <c r="D36" s="945"/>
      <c r="E36" s="945"/>
      <c r="F36" s="945"/>
      <c r="G36" s="963"/>
      <c r="H36" s="944"/>
      <c r="I36" s="946"/>
    </row>
    <row r="37" spans="1:13" s="255" customFormat="1" x14ac:dyDescent="0.35">
      <c r="A37" s="435" t="s">
        <v>209</v>
      </c>
      <c r="B37" s="951">
        <f>'7.2.1 Turnover Vehicles'!C84*'7.4.1 Salaries &amp; Wages'!C80+(B16/(B16+C16+D16+0.00001)*('7.4.1 Salaries &amp; Wages'!C71+'7.4.1 Salaries &amp; Wages'!C91))-('7.2.1 Turnover Vehicles'!$C$84*'7.4.1 Salaries &amp; Wages'!$C$77*(1+'7.4.1 Salaries &amp; Wages'!$B$78))</f>
        <v>28948.062499897031</v>
      </c>
      <c r="C37" s="951">
        <f>'7.2.1 Turnover Vehicles'!C85*'7.4.1 Salaries &amp; Wages'!C80+(C16/(B16+C16+D16+0.00001)*('7.4.1 Salaries &amp; Wages'!C71+'7.4.1 Salaries &amp; Wages'!C91))-('7.2.1 Turnover Vehicles'!$C$85*'7.4.1 Salaries &amp; Wages'!$C$77*(1+'7.4.1 Salaries &amp; Wages'!$B$78))</f>
        <v>0</v>
      </c>
      <c r="D37" s="951">
        <f>'7.2.1 Turnover Vehicles'!C86*'7.4.1 Salaries &amp; Wages'!C80+(D16/(B16+C16+D16+0.00001)*('7.4.1 Salaries &amp; Wages'!C71+'7.4.1 Salaries &amp; Wages'!C91))-('7.2.1 Turnover Vehicles'!$C$86*'7.4.1 Salaries &amp; Wages'!$C$77*(1+'7.4.1 Salaries &amp; Wages'!$B$78))</f>
        <v>0</v>
      </c>
      <c r="E37" s="952">
        <f>'7.4.1 Salaries &amp; Wages'!C141+'7.4.1 Salaries &amp; Wages'!C150+'7.4.1 Salaries &amp; Wages'!C159+'7.4.1 Salaries &amp; Wages'!C168</f>
        <v>21848.135000000002</v>
      </c>
      <c r="F37" s="952">
        <f>'7.4.1 Salaries &amp; Wages'!C123+'7.4.1 Salaries &amp; Wages'!C132</f>
        <v>13655.41</v>
      </c>
      <c r="G37" s="953">
        <f>'7.4.1 Salaries &amp; Wages'!C35+'7.4.1 Salaries &amp; Wages'!C44+'7.4.1 Salaries &amp; Wages'!C53+'7.4.1 Salaries &amp; Wages'!C62</f>
        <v>47520.409999999996</v>
      </c>
      <c r="H37" s="951">
        <f>SUM(B37:G37)</f>
        <v>111972.01749989702</v>
      </c>
      <c r="I37" s="954">
        <f>B37+C37+D37+F37+E37+G37</f>
        <v>111972.01749989703</v>
      </c>
      <c r="L37" s="414"/>
      <c r="M37" s="414"/>
    </row>
    <row r="38" spans="1:13" x14ac:dyDescent="0.35">
      <c r="A38" s="424"/>
      <c r="B38" s="940"/>
      <c r="C38" s="941"/>
      <c r="D38" s="941"/>
      <c r="E38" s="941"/>
      <c r="F38" s="945"/>
      <c r="G38" s="942"/>
      <c r="H38" s="940"/>
      <c r="I38" s="942"/>
    </row>
    <row r="39" spans="1:13" x14ac:dyDescent="0.35">
      <c r="A39" s="435" t="s">
        <v>654</v>
      </c>
      <c r="B39" s="940"/>
      <c r="C39" s="941"/>
      <c r="D39" s="941"/>
      <c r="E39" s="941"/>
      <c r="F39" s="945"/>
      <c r="G39" s="942"/>
      <c r="H39" s="940"/>
      <c r="I39" s="942"/>
    </row>
    <row r="40" spans="1:13" x14ac:dyDescent="0.35">
      <c r="A40" s="424" t="s">
        <v>83</v>
      </c>
      <c r="B40" s="944">
        <f>'7.4.2 Selling &amp; Oper. expenses'!C37*'7.4.2 Selling &amp; Oper. expenses'!E68</f>
        <v>525</v>
      </c>
      <c r="C40" s="945">
        <f>'7.4.2 Selling &amp; Oper. expenses'!C37*'7.4.2 Selling &amp; Oper. expenses'!F68</f>
        <v>0</v>
      </c>
      <c r="D40" s="945">
        <f>'7.4.2 Selling &amp; Oper. expenses'!C37*'7.4.2 Selling &amp; Oper. expenses'!G68</f>
        <v>0</v>
      </c>
      <c r="E40" s="945">
        <f>'7.4.2 Selling &amp; Oper. expenses'!C37*'7.4.2 Selling &amp; Oper. expenses'!H68</f>
        <v>75</v>
      </c>
      <c r="F40" s="945">
        <f>'7.4.2 Selling &amp; Oper. expenses'!C37*'7.4.2 Selling &amp; Oper. expenses'!I68</f>
        <v>75</v>
      </c>
      <c r="G40" s="963">
        <f>'7.4.2 Selling &amp; Oper. expenses'!C37*'7.4.2 Selling &amp; Oper. expenses'!J68</f>
        <v>75</v>
      </c>
      <c r="H40" s="944">
        <f t="shared" ref="H40:H53" si="3">SUM(B40:G40)</f>
        <v>750</v>
      </c>
      <c r="I40" s="963">
        <f t="shared" ref="I40:I53" si="4">SUM(B40:G40)</f>
        <v>750</v>
      </c>
    </row>
    <row r="41" spans="1:13" x14ac:dyDescent="0.35">
      <c r="A41" s="424" t="s">
        <v>84</v>
      </c>
      <c r="B41" s="944">
        <f>'7.4.2 Selling &amp; Oper. expenses'!C38*'7.4.2 Selling &amp; Oper. expenses'!E69</f>
        <v>1330</v>
      </c>
      <c r="C41" s="945">
        <f>'7.4.2 Selling &amp; Oper. expenses'!C38*'7.4.2 Selling &amp; Oper. expenses'!F69</f>
        <v>0</v>
      </c>
      <c r="D41" s="945">
        <f>'7.4.2 Selling &amp; Oper. expenses'!C38*'7.4.2 Selling &amp; Oper. expenses'!G69</f>
        <v>0</v>
      </c>
      <c r="E41" s="945">
        <f>'7.4.2 Selling &amp; Oper. expenses'!C38*'7.4.2 Selling &amp; Oper. expenses'!H69</f>
        <v>190</v>
      </c>
      <c r="F41" s="945">
        <f>'7.4.2 Selling &amp; Oper. expenses'!C38*'7.4.2 Selling &amp; Oper. expenses'!I69</f>
        <v>190</v>
      </c>
      <c r="G41" s="963">
        <f>'7.4.2 Selling &amp; Oper. expenses'!C38*'7.4.2 Selling &amp; Oper. expenses'!J69</f>
        <v>190</v>
      </c>
      <c r="H41" s="944">
        <f>SUM(B41:G41)</f>
        <v>1900</v>
      </c>
      <c r="I41" s="963">
        <f>SUM(B41:G41)</f>
        <v>1900</v>
      </c>
    </row>
    <row r="42" spans="1:13" x14ac:dyDescent="0.35">
      <c r="A42" s="424" t="s">
        <v>85</v>
      </c>
      <c r="B42" s="944">
        <f>'7.4.2 Selling &amp; Oper. expenses'!C39*'7.4.2 Selling &amp; Oper. expenses'!E70</f>
        <v>640</v>
      </c>
      <c r="C42" s="945">
        <f>'7.4.2 Selling &amp; Oper. expenses'!C39*'7.4.2 Selling &amp; Oper. expenses'!F70</f>
        <v>0</v>
      </c>
      <c r="D42" s="945">
        <f>'7.4.2 Selling &amp; Oper. expenses'!C39*'7.4.2 Selling &amp; Oper. expenses'!G70</f>
        <v>0</v>
      </c>
      <c r="E42" s="945">
        <f>'7.4.2 Selling &amp; Oper. expenses'!C39*'7.4.2 Selling &amp; Oper. expenses'!H70</f>
        <v>400</v>
      </c>
      <c r="F42" s="945">
        <f>'7.4.2 Selling &amp; Oper. expenses'!C39*'7.4.2 Selling &amp; Oper. expenses'!I70</f>
        <v>400</v>
      </c>
      <c r="G42" s="963">
        <f>'7.4.2 Selling &amp; Oper. expenses'!C39*'7.4.2 Selling &amp; Oper. expenses'!J70</f>
        <v>160</v>
      </c>
      <c r="H42" s="944">
        <f t="shared" si="3"/>
        <v>1600</v>
      </c>
      <c r="I42" s="963">
        <f t="shared" si="4"/>
        <v>1600</v>
      </c>
    </row>
    <row r="43" spans="1:13" x14ac:dyDescent="0.35">
      <c r="A43" s="424" t="s">
        <v>86</v>
      </c>
      <c r="B43" s="944">
        <f>'7.4.2 Selling &amp; Oper. expenses'!C40*'7.4.2 Selling &amp; Oper. expenses'!E71</f>
        <v>400</v>
      </c>
      <c r="C43" s="945">
        <f>'7.4.2 Selling &amp; Oper. expenses'!C40*'7.4.2 Selling &amp; Oper. expenses'!F71</f>
        <v>0</v>
      </c>
      <c r="D43" s="945">
        <f>'7.4.2 Selling &amp; Oper. expenses'!C40*'7.4.2 Selling &amp; Oper. expenses'!G71</f>
        <v>0</v>
      </c>
      <c r="E43" s="945">
        <f>'7.4.2 Selling &amp; Oper. expenses'!C40*'7.4.2 Selling &amp; Oper. expenses'!H71</f>
        <v>600</v>
      </c>
      <c r="F43" s="945">
        <f>'7.4.2 Selling &amp; Oper. expenses'!C40*'7.4.2 Selling &amp; Oper. expenses'!I71</f>
        <v>1000</v>
      </c>
      <c r="G43" s="963">
        <f>'7.4.2 Selling &amp; Oper. expenses'!C40*'7.4.2 Selling &amp; Oper. expenses'!J71</f>
        <v>0</v>
      </c>
      <c r="H43" s="944">
        <f t="shared" si="3"/>
        <v>2000</v>
      </c>
      <c r="I43" s="963">
        <f t="shared" si="4"/>
        <v>2000</v>
      </c>
    </row>
    <row r="44" spans="1:13" x14ac:dyDescent="0.35">
      <c r="A44" s="424" t="s">
        <v>88</v>
      </c>
      <c r="B44" s="944">
        <f>'7.4.2 Selling &amp; Oper. expenses'!C41*'7.4.2 Selling &amp; Oper. expenses'!E72</f>
        <v>1400</v>
      </c>
      <c r="C44" s="945">
        <f>'7.4.2 Selling &amp; Oper. expenses'!C41*'7.4.2 Selling &amp; Oper. expenses'!F72</f>
        <v>0</v>
      </c>
      <c r="D44" s="945">
        <f>'7.4.2 Selling &amp; Oper. expenses'!C41*'7.4.2 Selling &amp; Oper. expenses'!G72</f>
        <v>0</v>
      </c>
      <c r="E44" s="945">
        <f>'7.4.2 Selling &amp; Oper. expenses'!C41*'7.4.2 Selling &amp; Oper. expenses'!H72</f>
        <v>1050</v>
      </c>
      <c r="F44" s="945">
        <f>'7.4.2 Selling &amp; Oper. expenses'!C41*'7.4.2 Selling &amp; Oper. expenses'!I72</f>
        <v>4200</v>
      </c>
      <c r="G44" s="963">
        <f>'7.4.2 Selling &amp; Oper. expenses'!C41*'7.4.2 Selling &amp; Oper. expenses'!J72</f>
        <v>350</v>
      </c>
      <c r="H44" s="944">
        <f t="shared" si="3"/>
        <v>7000</v>
      </c>
      <c r="I44" s="963">
        <f t="shared" si="4"/>
        <v>7000</v>
      </c>
    </row>
    <row r="45" spans="1:13" x14ac:dyDescent="0.35">
      <c r="A45" s="424" t="s">
        <v>213</v>
      </c>
      <c r="B45" s="944">
        <f>'7.4.2 Selling &amp; Oper. expenses'!C42*'7.4.2 Selling &amp; Oper. expenses'!E73</f>
        <v>40000</v>
      </c>
      <c r="C45" s="945">
        <f>'7.4.2 Selling &amp; Oper. expenses'!C42*'7.4.2 Selling &amp; Oper. expenses'!F73</f>
        <v>0</v>
      </c>
      <c r="D45" s="945">
        <f>'7.4.2 Selling &amp; Oper. expenses'!C42*'7.4.2 Selling &amp; Oper. expenses'!G73</f>
        <v>0</v>
      </c>
      <c r="E45" s="945">
        <f>'7.4.2 Selling &amp; Oper. expenses'!C42*'7.4.2 Selling &amp; Oper. expenses'!H73</f>
        <v>5000</v>
      </c>
      <c r="F45" s="945">
        <f>'7.4.2 Selling &amp; Oper. expenses'!C42*'7.4.2 Selling &amp; Oper. expenses'!I73</f>
        <v>5000</v>
      </c>
      <c r="G45" s="963">
        <f>'7.4.2 Selling &amp; Oper. expenses'!C42*'7.4.2 Selling &amp; Oper. expenses'!J73</f>
        <v>0</v>
      </c>
      <c r="H45" s="944">
        <f t="shared" si="3"/>
        <v>50000</v>
      </c>
      <c r="I45" s="963">
        <f t="shared" si="4"/>
        <v>50000</v>
      </c>
    </row>
    <row r="46" spans="1:13" x14ac:dyDescent="0.35">
      <c r="A46" s="424" t="s">
        <v>89</v>
      </c>
      <c r="B46" s="944">
        <f>'7.4.2 Selling &amp; Oper. expenses'!C43*'7.4.2 Selling &amp; Oper. expenses'!E74</f>
        <v>10800</v>
      </c>
      <c r="C46" s="945">
        <f>'7.4.2 Selling &amp; Oper. expenses'!C43*'7.4.2 Selling &amp; Oper. expenses'!F74</f>
        <v>0</v>
      </c>
      <c r="D46" s="945">
        <f>'7.4.2 Selling &amp; Oper. expenses'!C43*'7.4.2 Selling &amp; Oper. expenses'!G74</f>
        <v>0</v>
      </c>
      <c r="E46" s="945">
        <f>'7.4.2 Selling &amp; Oper. expenses'!C43*'7.4.2 Selling &amp; Oper. expenses'!H74</f>
        <v>3600</v>
      </c>
      <c r="F46" s="945">
        <f>'7.4.2 Selling &amp; Oper. expenses'!C43*'7.4.2 Selling &amp; Oper. expenses'!I74</f>
        <v>3600</v>
      </c>
      <c r="G46" s="963">
        <f>'7.4.2 Selling &amp; Oper. expenses'!C43*'7.4.2 Selling &amp; Oper. expenses'!J74</f>
        <v>0</v>
      </c>
      <c r="H46" s="944">
        <f t="shared" si="3"/>
        <v>18000</v>
      </c>
      <c r="I46" s="963">
        <f t="shared" si="4"/>
        <v>18000</v>
      </c>
    </row>
    <row r="47" spans="1:13" x14ac:dyDescent="0.35">
      <c r="A47" s="424" t="s">
        <v>90</v>
      </c>
      <c r="B47" s="944">
        <f>'7.4.2 Selling &amp; Oper. expenses'!C44*'7.4.2 Selling &amp; Oper. expenses'!E75</f>
        <v>1200</v>
      </c>
      <c r="C47" s="945">
        <f>'7.4.2 Selling &amp; Oper. expenses'!C44*'7.4.2 Selling &amp; Oper. expenses'!F75</f>
        <v>0</v>
      </c>
      <c r="D47" s="945">
        <f>'7.4.2 Selling &amp; Oper. expenses'!C44*'7.4.2 Selling &amp; Oper. expenses'!G75</f>
        <v>0</v>
      </c>
      <c r="E47" s="945">
        <f>'7.4.2 Selling &amp; Oper. expenses'!C44*'7.4.2 Selling &amp; Oper. expenses'!H75</f>
        <v>600</v>
      </c>
      <c r="F47" s="945">
        <f>'7.4.2 Selling &amp; Oper. expenses'!C44*'7.4.2 Selling &amp; Oper. expenses'!I75</f>
        <v>600</v>
      </c>
      <c r="G47" s="963">
        <f>'7.4.2 Selling &amp; Oper. expenses'!C44*'7.4.2 Selling &amp; Oper. expenses'!J75</f>
        <v>600</v>
      </c>
      <c r="H47" s="944">
        <f t="shared" si="3"/>
        <v>3000</v>
      </c>
      <c r="I47" s="963">
        <f t="shared" si="4"/>
        <v>3000</v>
      </c>
    </row>
    <row r="48" spans="1:13" x14ac:dyDescent="0.35">
      <c r="A48" s="424" t="s">
        <v>214</v>
      </c>
      <c r="B48" s="944">
        <f>'7.4.2 Selling &amp; Oper. expenses'!C45*'7.4.2 Selling &amp; Oper. expenses'!E76</f>
        <v>160</v>
      </c>
      <c r="C48" s="945">
        <f>'7.4.2 Selling &amp; Oper. expenses'!C45*'7.4.2 Selling &amp; Oper. expenses'!F76</f>
        <v>0</v>
      </c>
      <c r="D48" s="945">
        <f>'7.4.2 Selling &amp; Oper. expenses'!C45*'7.4.2 Selling &amp; Oper. expenses'!G76</f>
        <v>0</v>
      </c>
      <c r="E48" s="945">
        <f>'7.4.2 Selling &amp; Oper. expenses'!C45*'7.4.2 Selling &amp; Oper. expenses'!H76</f>
        <v>80</v>
      </c>
      <c r="F48" s="945">
        <f>'7.4.2 Selling &amp; Oper. expenses'!C45*'7.4.2 Selling &amp; Oper. expenses'!I76</f>
        <v>80</v>
      </c>
      <c r="G48" s="963">
        <f>'7.4.2 Selling &amp; Oper. expenses'!C45*'7.4.2 Selling &amp; Oper. expenses'!J76</f>
        <v>80</v>
      </c>
      <c r="H48" s="944">
        <f t="shared" si="3"/>
        <v>400</v>
      </c>
      <c r="I48" s="963">
        <f t="shared" si="4"/>
        <v>400</v>
      </c>
    </row>
    <row r="49" spans="1:10" x14ac:dyDescent="0.35">
      <c r="A49" s="424" t="s">
        <v>92</v>
      </c>
      <c r="B49" s="944">
        <f>'7.4.2 Selling &amp; Oper. expenses'!C46*'7.4.2 Selling &amp; Oper. expenses'!E77</f>
        <v>2500</v>
      </c>
      <c r="C49" s="945">
        <f>'7.4.2 Selling &amp; Oper. expenses'!C46*'7.4.2 Selling &amp; Oper. expenses'!F77</f>
        <v>0</v>
      </c>
      <c r="D49" s="945">
        <f>'7.4.2 Selling &amp; Oper. expenses'!C46*'7.4.2 Selling &amp; Oper. expenses'!G77</f>
        <v>0</v>
      </c>
      <c r="E49" s="945">
        <f>'7.4.2 Selling &amp; Oper. expenses'!C46*'7.4.2 Selling &amp; Oper. expenses'!H77</f>
        <v>1000</v>
      </c>
      <c r="F49" s="945">
        <f>'7.4.2 Selling &amp; Oper. expenses'!C46*'7.4.2 Selling &amp; Oper. expenses'!I77</f>
        <v>500</v>
      </c>
      <c r="G49" s="963">
        <f>'7.4.2 Selling &amp; Oper. expenses'!C46*'7.4.2 Selling &amp; Oper. expenses'!J77</f>
        <v>1000</v>
      </c>
      <c r="H49" s="944">
        <f t="shared" si="3"/>
        <v>5000</v>
      </c>
      <c r="I49" s="963">
        <f t="shared" si="4"/>
        <v>5000</v>
      </c>
    </row>
    <row r="50" spans="1:10" x14ac:dyDescent="0.35">
      <c r="A50" s="424" t="s">
        <v>93</v>
      </c>
      <c r="B50" s="944">
        <f>'7.4.2 Selling &amp; Oper. expenses'!C47*'7.4.2 Selling &amp; Oper. expenses'!E78</f>
        <v>2000</v>
      </c>
      <c r="C50" s="945">
        <f>'7.4.2 Selling &amp; Oper. expenses'!C47*'7.4.2 Selling &amp; Oper. expenses'!F78</f>
        <v>0</v>
      </c>
      <c r="D50" s="945">
        <f>'7.4.2 Selling &amp; Oper. expenses'!C47*'7.4.2 Selling &amp; Oper. expenses'!G78</f>
        <v>0</v>
      </c>
      <c r="E50" s="945">
        <f>'7.4.2 Selling &amp; Oper. expenses'!C47*'7.4.2 Selling &amp; Oper. expenses'!H78</f>
        <v>500</v>
      </c>
      <c r="F50" s="945">
        <f>'7.4.2 Selling &amp; Oper. expenses'!C47*'7.4.2 Selling &amp; Oper. expenses'!I78</f>
        <v>2500</v>
      </c>
      <c r="G50" s="963">
        <f>'7.4.2 Selling &amp; Oper. expenses'!C47*'7.4.2 Selling &amp; Oper. expenses'!J78</f>
        <v>0</v>
      </c>
      <c r="H50" s="944">
        <f t="shared" si="3"/>
        <v>5000</v>
      </c>
      <c r="I50" s="963">
        <f t="shared" si="4"/>
        <v>5000</v>
      </c>
    </row>
    <row r="51" spans="1:10" x14ac:dyDescent="0.35">
      <c r="A51" s="424" t="s">
        <v>94</v>
      </c>
      <c r="B51" s="944">
        <f>'7.4.2 Selling &amp; Oper. expenses'!C48*'7.4.2 Selling &amp; Oper. expenses'!E79</f>
        <v>1200</v>
      </c>
      <c r="C51" s="945">
        <f>'7.4.2 Selling &amp; Oper. expenses'!C48*'7.4.2 Selling &amp; Oper. expenses'!F79</f>
        <v>0</v>
      </c>
      <c r="D51" s="945">
        <f>'7.4.2 Selling &amp; Oper. expenses'!C48*'7.4.2 Selling &amp; Oper. expenses'!G79</f>
        <v>0</v>
      </c>
      <c r="E51" s="945">
        <f>'7.4.2 Selling &amp; Oper. expenses'!C48*'7.4.2 Selling &amp; Oper. expenses'!H79</f>
        <v>800</v>
      </c>
      <c r="F51" s="945">
        <f>'7.4.2 Selling &amp; Oper. expenses'!C48*'7.4.2 Selling &amp; Oper. expenses'!I79</f>
        <v>1600</v>
      </c>
      <c r="G51" s="963">
        <f>'7.4.2 Selling &amp; Oper. expenses'!C48*'7.4.2 Selling &amp; Oper. expenses'!J79</f>
        <v>400</v>
      </c>
      <c r="H51" s="944">
        <f t="shared" si="3"/>
        <v>4000</v>
      </c>
      <c r="I51" s="963">
        <f t="shared" si="4"/>
        <v>4000</v>
      </c>
    </row>
    <row r="52" spans="1:10" x14ac:dyDescent="0.35">
      <c r="A52" s="424" t="s">
        <v>115</v>
      </c>
      <c r="B52" s="944">
        <f>'7.4.2 Selling &amp; Oper. expenses'!C49*'7.4.2 Selling &amp; Oper. expenses'!E80</f>
        <v>0</v>
      </c>
      <c r="C52" s="945">
        <v>0</v>
      </c>
      <c r="D52" s="945">
        <v>0</v>
      </c>
      <c r="E52" s="945">
        <v>0</v>
      </c>
      <c r="F52" s="945">
        <v>0</v>
      </c>
      <c r="G52" s="963">
        <f>'7.4.2 Selling &amp; Oper. expenses'!C49*'7.4.2 Selling &amp; Oper. expenses'!J80</f>
        <v>0</v>
      </c>
      <c r="H52" s="944">
        <f t="shared" si="3"/>
        <v>0</v>
      </c>
      <c r="I52" s="963">
        <f t="shared" si="4"/>
        <v>0</v>
      </c>
    </row>
    <row r="53" spans="1:10" x14ac:dyDescent="0.35">
      <c r="A53" s="424" t="s">
        <v>707</v>
      </c>
      <c r="B53" s="944">
        <f>'7.4.2 Selling &amp; Oper. expenses'!C50*'7.4.2 Selling &amp; Oper. expenses'!E81</f>
        <v>900</v>
      </c>
      <c r="C53" s="945">
        <f>'7.4.2 Selling &amp; Oper. expenses'!C50*'7.4.2 Selling &amp; Oper. expenses'!F81</f>
        <v>0</v>
      </c>
      <c r="D53" s="945">
        <f>'7.4.2 Selling &amp; Oper. expenses'!C50*'7.4.2 Selling &amp; Oper. expenses'!G81</f>
        <v>0</v>
      </c>
      <c r="E53" s="945">
        <f>'7.4.2 Selling &amp; Oper. expenses'!C50*'7.4.2 Selling &amp; Oper. expenses'!H81</f>
        <v>600</v>
      </c>
      <c r="F53" s="945">
        <f>'7.4.2 Selling &amp; Oper. expenses'!C50*'7.4.2 Selling &amp; Oper. expenses'!I81</f>
        <v>600</v>
      </c>
      <c r="G53" s="963">
        <f>'7.4.2 Selling &amp; Oper. expenses'!C50*'7.4.2 Selling &amp; Oper. expenses'!J81</f>
        <v>900</v>
      </c>
      <c r="H53" s="944">
        <f t="shared" si="3"/>
        <v>3000</v>
      </c>
      <c r="I53" s="963">
        <f t="shared" si="4"/>
        <v>3000</v>
      </c>
    </row>
    <row r="54" spans="1:10" x14ac:dyDescent="0.35">
      <c r="A54" s="424" t="s">
        <v>97</v>
      </c>
      <c r="B54" s="944">
        <f>'7.4.2 Selling &amp; Oper. expenses'!C51*'7.4.2 Selling &amp; Oper. expenses'!E82</f>
        <v>15000</v>
      </c>
      <c r="C54" s="945">
        <f>'7.4.2 Selling &amp; Oper. expenses'!C51*'7.4.2 Selling &amp; Oper. expenses'!F82</f>
        <v>0</v>
      </c>
      <c r="D54" s="945">
        <f>'7.4.2 Selling &amp; Oper. expenses'!C51*'7.4.2 Selling &amp; Oper. expenses'!G82</f>
        <v>0</v>
      </c>
      <c r="E54" s="945">
        <f>'7.4.2 Selling &amp; Oper. expenses'!C51*'7.4.2 Selling &amp; Oper. expenses'!H82</f>
        <v>10000</v>
      </c>
      <c r="F54" s="945">
        <f>'7.4.2 Selling &amp; Oper. expenses'!C51*'7.4.2 Selling &amp; Oper. expenses'!I82</f>
        <v>25000</v>
      </c>
      <c r="G54" s="963">
        <f>'7.4.2 Selling &amp; Oper. expenses'!C51*'7.4.2 Selling &amp; Oper. expenses'!J82</f>
        <v>0</v>
      </c>
      <c r="H54" s="944">
        <f>SUM(B54:G54)</f>
        <v>50000</v>
      </c>
      <c r="I54" s="963">
        <f>SUM(B54:G54)</f>
        <v>50000</v>
      </c>
    </row>
    <row r="55" spans="1:10" x14ac:dyDescent="0.35">
      <c r="A55" s="424" t="s">
        <v>217</v>
      </c>
      <c r="B55" s="944">
        <f>'7.4.2 Selling &amp; Oper. expenses'!C52*'7.4.2 Selling &amp; Oper. expenses'!E83</f>
        <v>450</v>
      </c>
      <c r="C55" s="945">
        <f>'7.4.2 Selling &amp; Oper. expenses'!C52*'7.4.2 Selling &amp; Oper. expenses'!F83</f>
        <v>0</v>
      </c>
      <c r="D55" s="945">
        <f>'7.4.2 Selling &amp; Oper. expenses'!C52*'7.4.2 Selling &amp; Oper. expenses'!G83</f>
        <v>0</v>
      </c>
      <c r="E55" s="945">
        <f>'7.4.2 Selling &amp; Oper. expenses'!C52*'7.4.2 Selling &amp; Oper. expenses'!H83</f>
        <v>300</v>
      </c>
      <c r="F55" s="945">
        <f>'7.4.2 Selling &amp; Oper. expenses'!C52*'7.4.2 Selling &amp; Oper. expenses'!I83</f>
        <v>750</v>
      </c>
      <c r="G55" s="963">
        <f>'7.4.2 Selling &amp; Oper. expenses'!C52*'7.4.2 Selling &amp; Oper. expenses'!J83</f>
        <v>0</v>
      </c>
      <c r="H55" s="944">
        <f>SUM(B55:G55)</f>
        <v>1500</v>
      </c>
      <c r="I55" s="963">
        <f>SUM(B55:G55)</f>
        <v>1500</v>
      </c>
    </row>
    <row r="56" spans="1:10" x14ac:dyDescent="0.35">
      <c r="A56" s="424" t="s">
        <v>99</v>
      </c>
      <c r="B56" s="944">
        <f>'7.4.2 Selling &amp; Oper. expenses'!C53*'7.4.2 Selling &amp; Oper. expenses'!E84</f>
        <v>3000</v>
      </c>
      <c r="C56" s="945">
        <f>'7.4.2 Selling &amp; Oper. expenses'!C53*'7.4.2 Selling &amp; Oper. expenses'!F84</f>
        <v>0</v>
      </c>
      <c r="D56" s="945">
        <f>'7.4.2 Selling &amp; Oper. expenses'!C53*'7.4.2 Selling &amp; Oper. expenses'!G84</f>
        <v>0</v>
      </c>
      <c r="E56" s="945">
        <f>'7.4.2 Selling &amp; Oper. expenses'!C53*'7.4.2 Selling &amp; Oper. expenses'!H84</f>
        <v>1500</v>
      </c>
      <c r="F56" s="945">
        <f>'7.4.2 Selling &amp; Oper. expenses'!C53*'7.4.2 Selling &amp; Oper. expenses'!I84</f>
        <v>500</v>
      </c>
      <c r="G56" s="963">
        <f>'7.4.2 Selling &amp; Oper. expenses'!C53*'7.4.2 Selling &amp; Oper. expenses'!J84</f>
        <v>0</v>
      </c>
      <c r="H56" s="944">
        <f>SUM(B56:G56)</f>
        <v>5000</v>
      </c>
      <c r="I56" s="963">
        <f>SUM(B56:G56)</f>
        <v>5000</v>
      </c>
    </row>
    <row r="57" spans="1:10" x14ac:dyDescent="0.35">
      <c r="A57" s="424" t="s">
        <v>96</v>
      </c>
      <c r="B57" s="947">
        <f>'7.4.2 Selling &amp; Oper. expenses'!C54*'7.4.2 Selling &amp; Oper. expenses'!E85</f>
        <v>1500</v>
      </c>
      <c r="C57" s="949">
        <f>'7.4.2 Selling &amp; Oper. expenses'!C54*'7.4.2 Selling &amp; Oper. expenses'!F85</f>
        <v>0</v>
      </c>
      <c r="D57" s="949">
        <f>'7.4.2 Selling &amp; Oper. expenses'!C54*'7.4.2 Selling &amp; Oper. expenses'!G85</f>
        <v>0</v>
      </c>
      <c r="E57" s="949">
        <f>'7.4.2 Selling &amp; Oper. expenses'!C54*'7.4.2 Selling &amp; Oper. expenses'!H85</f>
        <v>600</v>
      </c>
      <c r="F57" s="949">
        <f>'7.4.2 Selling &amp; Oper. expenses'!C54*'7.4.2 Selling &amp; Oper. expenses'!I85</f>
        <v>600</v>
      </c>
      <c r="G57" s="964">
        <f>'7.4.2 Selling &amp; Oper. expenses'!C54*'7.4.2 Selling &amp; Oper. expenses'!J85</f>
        <v>300</v>
      </c>
      <c r="H57" s="947">
        <f>SUM(B57:G57)</f>
        <v>3000</v>
      </c>
      <c r="I57" s="964">
        <f>SUM(B57:G57)</f>
        <v>3000</v>
      </c>
    </row>
    <row r="58" spans="1:10" s="255" customFormat="1" x14ac:dyDescent="0.35">
      <c r="A58" s="435" t="s">
        <v>655</v>
      </c>
      <c r="B58" s="965">
        <f>SUM(B40:B57)</f>
        <v>83005</v>
      </c>
      <c r="C58" s="966">
        <f t="shared" ref="C58:I58" si="5">SUM(C40:C57)</f>
        <v>0</v>
      </c>
      <c r="D58" s="966">
        <f t="shared" si="5"/>
        <v>0</v>
      </c>
      <c r="E58" s="966">
        <f>SUM(E40:E57)</f>
        <v>26895</v>
      </c>
      <c r="F58" s="966">
        <f t="shared" si="5"/>
        <v>47195</v>
      </c>
      <c r="G58" s="967">
        <f t="shared" si="5"/>
        <v>4055</v>
      </c>
      <c r="H58" s="965">
        <f t="shared" si="5"/>
        <v>161150</v>
      </c>
      <c r="I58" s="954">
        <f t="shared" si="5"/>
        <v>161150</v>
      </c>
    </row>
    <row r="59" spans="1:10" x14ac:dyDescent="0.35">
      <c r="A59" s="424"/>
      <c r="B59" s="940"/>
      <c r="C59" s="941"/>
      <c r="D59" s="941"/>
      <c r="E59" s="941"/>
      <c r="F59" s="941"/>
      <c r="G59" s="942"/>
      <c r="H59" s="940"/>
      <c r="I59" s="942"/>
    </row>
    <row r="60" spans="1:10" s="255" customFormat="1" x14ac:dyDescent="0.35">
      <c r="A60" s="435" t="s">
        <v>656</v>
      </c>
      <c r="B60" s="951">
        <f>'7.4.3 Inv. &amp; Depr.'!D126</f>
        <v>0</v>
      </c>
      <c r="C60" s="952">
        <f>'7.4.3 Inv. &amp; Depr.'!D127</f>
        <v>0</v>
      </c>
      <c r="D60" s="952">
        <f>'7.4.3 Inv. &amp; Depr.'!D128</f>
        <v>0</v>
      </c>
      <c r="E60" s="952">
        <f>'7.4.3 Inv. &amp; Depr.'!D129</f>
        <v>16129</v>
      </c>
      <c r="F60" s="952">
        <v>0</v>
      </c>
      <c r="G60" s="953">
        <f>'7.4.3 Inv. &amp; Depr.'!D121+'7.4.3 Inv. &amp; Depr.'!D130</f>
        <v>36686</v>
      </c>
      <c r="H60" s="951">
        <f>SUM(B60:G60)</f>
        <v>52815</v>
      </c>
      <c r="I60" s="953">
        <f>SUM(B60:G60)</f>
        <v>52815</v>
      </c>
    </row>
    <row r="61" spans="1:10" s="255" customFormat="1" x14ac:dyDescent="0.35">
      <c r="A61" s="424"/>
      <c r="B61" s="955"/>
      <c r="C61" s="956"/>
      <c r="D61" s="956"/>
      <c r="E61" s="956"/>
      <c r="F61" s="956"/>
      <c r="G61" s="961"/>
      <c r="H61" s="962"/>
      <c r="I61" s="958"/>
    </row>
    <row r="62" spans="1:10" x14ac:dyDescent="0.35">
      <c r="A62" s="769"/>
      <c r="B62" s="936"/>
      <c r="C62" s="937"/>
      <c r="D62" s="937"/>
      <c r="E62" s="937"/>
      <c r="F62" s="937"/>
      <c r="G62" s="938"/>
      <c r="H62" s="936"/>
      <c r="I62" s="939"/>
    </row>
    <row r="63" spans="1:10" s="255" customFormat="1" x14ac:dyDescent="0.35">
      <c r="A63" s="435" t="s">
        <v>218</v>
      </c>
      <c r="B63" s="951">
        <f t="shared" ref="B63:I63" si="6">B32-B35-B37-B58-B60</f>
        <v>53400.565000103059</v>
      </c>
      <c r="C63" s="952">
        <f t="shared" si="6"/>
        <v>0</v>
      </c>
      <c r="D63" s="952">
        <f t="shared" si="6"/>
        <v>0</v>
      </c>
      <c r="E63" s="952">
        <f>E32-E35-E37-E58-E60</f>
        <v>-8709.493076217761</v>
      </c>
      <c r="F63" s="952">
        <f t="shared" si="6"/>
        <v>-47016.044999999998</v>
      </c>
      <c r="G63" s="953">
        <f t="shared" si="6"/>
        <v>-88261.41</v>
      </c>
      <c r="H63" s="951">
        <f t="shared" si="6"/>
        <v>-90586.383076114755</v>
      </c>
      <c r="I63" s="954">
        <f t="shared" si="6"/>
        <v>-90586.383076114769</v>
      </c>
      <c r="J63" s="414"/>
    </row>
    <row r="64" spans="1:10" s="255" customFormat="1" x14ac:dyDescent="0.35">
      <c r="A64" s="770"/>
      <c r="B64" s="955"/>
      <c r="C64" s="956"/>
      <c r="D64" s="956"/>
      <c r="E64" s="956"/>
      <c r="F64" s="956"/>
      <c r="G64" s="957"/>
      <c r="H64" s="955"/>
      <c r="I64" s="958"/>
    </row>
    <row r="65" spans="1:17" x14ac:dyDescent="0.35">
      <c r="A65" s="424"/>
      <c r="B65" s="936"/>
      <c r="C65" s="937"/>
      <c r="D65" s="937"/>
      <c r="E65" s="937"/>
      <c r="F65" s="937"/>
      <c r="G65" s="938"/>
      <c r="H65" s="936"/>
      <c r="I65" s="939"/>
    </row>
    <row r="66" spans="1:17" x14ac:dyDescent="0.35">
      <c r="A66" s="424" t="s">
        <v>215</v>
      </c>
      <c r="B66" s="944">
        <v>0</v>
      </c>
      <c r="C66" s="945">
        <v>0</v>
      </c>
      <c r="D66" s="945">
        <v>0</v>
      </c>
      <c r="E66" s="945">
        <v>0</v>
      </c>
      <c r="F66" s="945">
        <v>0</v>
      </c>
      <c r="G66" s="963">
        <f ca="1">-'7.5.2 Fin. Income &amp; Expenses '!E70</f>
        <v>0</v>
      </c>
      <c r="H66" s="944">
        <f ca="1">SUM(B66:G66)</f>
        <v>0</v>
      </c>
      <c r="I66" s="963">
        <f ca="1">SUM(B66:G66)</f>
        <v>0</v>
      </c>
    </row>
    <row r="67" spans="1:17" x14ac:dyDescent="0.35">
      <c r="A67" s="424" t="s">
        <v>216</v>
      </c>
      <c r="B67" s="944">
        <v>0</v>
      </c>
      <c r="C67" s="945">
        <v>0</v>
      </c>
      <c r="D67" s="945">
        <v>0</v>
      </c>
      <c r="E67" s="945">
        <v>0</v>
      </c>
      <c r="F67" s="945">
        <v>0</v>
      </c>
      <c r="G67" s="963">
        <f>-'7.5.2 Fin. Income &amp; Expenses '!E71</f>
        <v>-29250</v>
      </c>
      <c r="H67" s="944">
        <f>SUM(B67:G67)</f>
        <v>-29250</v>
      </c>
      <c r="I67" s="963">
        <f>SUM(B67:G67)</f>
        <v>-29250</v>
      </c>
    </row>
    <row r="68" spans="1:17" x14ac:dyDescent="0.35">
      <c r="A68" s="424" t="s">
        <v>564</v>
      </c>
      <c r="B68" s="944">
        <v>0</v>
      </c>
      <c r="C68" s="945">
        <v>0</v>
      </c>
      <c r="D68" s="945">
        <v>0</v>
      </c>
      <c r="E68" s="945">
        <v>0</v>
      </c>
      <c r="F68" s="945">
        <v>0</v>
      </c>
      <c r="G68" s="963">
        <f>-'7.5.2 Fin. Income &amp; Expenses '!E72</f>
        <v>0</v>
      </c>
      <c r="H68" s="944">
        <f>SUM(B68:G68)</f>
        <v>0</v>
      </c>
      <c r="I68" s="963">
        <f>SUM(B68:G68)</f>
        <v>0</v>
      </c>
    </row>
    <row r="69" spans="1:17" s="255" customFormat="1" ht="13.2" customHeight="1" x14ac:dyDescent="0.35">
      <c r="A69" s="424" t="s">
        <v>357</v>
      </c>
      <c r="B69" s="944">
        <f>'7.5.1 Financial Requirements'!D38*'7.5.2 Fin. Income &amp; Expenses '!E52*'7.5.2 Fin. Income &amp; Expenses '!C73</f>
        <v>13572.026333333331</v>
      </c>
      <c r="C69" s="945">
        <f>(('7.2.1 Turnover Vehicles'!C53+'7.2.1 Turnover Vehicles'!C54)/2)*'7.5.2 Fin. Income &amp; Expenses '!E53*'7.5.2 Fin. Income &amp; Expenses '!C73</f>
        <v>0</v>
      </c>
      <c r="D69" s="945">
        <f>'7.5.1 Financial Requirements'!D39*'7.5.2 Fin. Income &amp; Expenses '!E54*'7.5.2 Fin. Income &amp; Expenses '!C73</f>
        <v>0</v>
      </c>
      <c r="E69" s="945">
        <v>0</v>
      </c>
      <c r="F69" s="945">
        <v>0</v>
      </c>
      <c r="G69" s="963">
        <v>0</v>
      </c>
      <c r="H69" s="944">
        <f>SUM(B69:G69)</f>
        <v>13572.026333333331</v>
      </c>
      <c r="I69" s="946">
        <f>SUM(B69:G69)</f>
        <v>13572.026333333331</v>
      </c>
      <c r="J69" s="246"/>
      <c r="K69" s="136"/>
      <c r="L69" s="246"/>
      <c r="M69" s="136"/>
      <c r="N69" s="136"/>
      <c r="O69" s="136"/>
      <c r="P69" s="136"/>
      <c r="Q69" s="136"/>
    </row>
    <row r="70" spans="1:17" s="277" customFormat="1" ht="12.75" customHeight="1" x14ac:dyDescent="0.35">
      <c r="A70" s="771" t="s">
        <v>816</v>
      </c>
      <c r="B70" s="965">
        <f>SUM(B66:B69)</f>
        <v>13572.026333333331</v>
      </c>
      <c r="C70" s="966">
        <f t="shared" ref="C70:I70" si="7">SUM(C66:C69)</f>
        <v>0</v>
      </c>
      <c r="D70" s="966">
        <f t="shared" si="7"/>
        <v>0</v>
      </c>
      <c r="E70" s="966">
        <f>SUM(E66:E69)</f>
        <v>0</v>
      </c>
      <c r="F70" s="966">
        <f t="shared" si="7"/>
        <v>0</v>
      </c>
      <c r="G70" s="967">
        <f t="shared" ca="1" si="7"/>
        <v>-29250</v>
      </c>
      <c r="H70" s="965">
        <f t="shared" ca="1" si="7"/>
        <v>-15677.973666666669</v>
      </c>
      <c r="I70" s="967">
        <f t="shared" ca="1" si="7"/>
        <v>-15677.973666666669</v>
      </c>
      <c r="J70" s="772"/>
      <c r="L70" s="772"/>
    </row>
    <row r="71" spans="1:17" s="164" customFormat="1" ht="12.75" customHeight="1" x14ac:dyDescent="0.35">
      <c r="A71" s="435"/>
      <c r="B71" s="951"/>
      <c r="C71" s="969"/>
      <c r="D71" s="969"/>
      <c r="E71" s="969"/>
      <c r="F71" s="969"/>
      <c r="G71" s="970"/>
      <c r="H71" s="951"/>
      <c r="I71" s="954"/>
      <c r="J71" s="246"/>
      <c r="L71" s="246"/>
    </row>
    <row r="72" spans="1:17" s="164" customFormat="1" ht="12.75" customHeight="1" x14ac:dyDescent="0.35">
      <c r="A72" s="435" t="s">
        <v>660</v>
      </c>
      <c r="B72" s="951">
        <v>0</v>
      </c>
      <c r="C72" s="952">
        <v>0</v>
      </c>
      <c r="D72" s="952">
        <v>0</v>
      </c>
      <c r="E72" s="952">
        <v>0</v>
      </c>
      <c r="F72" s="952">
        <v>0</v>
      </c>
      <c r="G72" s="953">
        <f ca="1">'7.5.2 Fin. Income &amp; Expenses '!E86</f>
        <v>25886.650599507157</v>
      </c>
      <c r="H72" s="951">
        <f ca="1">SUM(B72:G72)</f>
        <v>25886.650599507157</v>
      </c>
      <c r="I72" s="953">
        <f ca="1">SUM(B72:G72)</f>
        <v>25886.650599507157</v>
      </c>
      <c r="J72" s="246"/>
      <c r="L72" s="246"/>
    </row>
    <row r="73" spans="1:17" x14ac:dyDescent="0.35">
      <c r="A73" s="424"/>
      <c r="B73" s="955"/>
      <c r="C73" s="956"/>
      <c r="D73" s="956"/>
      <c r="E73" s="956"/>
      <c r="F73" s="956"/>
      <c r="G73" s="961"/>
      <c r="H73" s="962"/>
      <c r="I73" s="958"/>
    </row>
    <row r="74" spans="1:17" x14ac:dyDescent="0.35">
      <c r="A74" s="769"/>
      <c r="B74" s="936"/>
      <c r="C74" s="937"/>
      <c r="D74" s="937"/>
      <c r="E74" s="937"/>
      <c r="F74" s="937"/>
      <c r="G74" s="938"/>
      <c r="H74" s="936"/>
      <c r="I74" s="939"/>
    </row>
    <row r="75" spans="1:17" x14ac:dyDescent="0.35">
      <c r="A75" s="435" t="s">
        <v>661</v>
      </c>
      <c r="B75" s="951">
        <f t="shared" ref="B75:I75" si="8">B63+B72+B70</f>
        <v>66972.591333436387</v>
      </c>
      <c r="C75" s="952">
        <f t="shared" si="8"/>
        <v>0</v>
      </c>
      <c r="D75" s="952">
        <f t="shared" si="8"/>
        <v>0</v>
      </c>
      <c r="E75" s="952">
        <f t="shared" si="8"/>
        <v>-8709.493076217761</v>
      </c>
      <c r="F75" s="952">
        <f t="shared" si="8"/>
        <v>-47016.044999999998</v>
      </c>
      <c r="G75" s="953">
        <f t="shared" ca="1" si="8"/>
        <v>-91624.759400492854</v>
      </c>
      <c r="H75" s="951">
        <f t="shared" ca="1" si="8"/>
        <v>-80377.706143274263</v>
      </c>
      <c r="I75" s="953">
        <f t="shared" ca="1" si="8"/>
        <v>-80377.706143274278</v>
      </c>
    </row>
    <row r="76" spans="1:17" x14ac:dyDescent="0.35">
      <c r="A76" s="770"/>
      <c r="B76" s="955"/>
      <c r="C76" s="956"/>
      <c r="D76" s="956"/>
      <c r="E76" s="956"/>
      <c r="F76" s="956"/>
      <c r="G76" s="957"/>
      <c r="H76" s="955"/>
      <c r="I76" s="958"/>
    </row>
    <row r="77" spans="1:17" x14ac:dyDescent="0.35">
      <c r="A77" s="184"/>
      <c r="B77" s="734"/>
      <c r="C77" s="734"/>
      <c r="D77" s="734"/>
      <c r="E77" s="734"/>
      <c r="F77" s="734"/>
      <c r="G77" s="734"/>
      <c r="H77" s="734"/>
      <c r="I77" s="734"/>
    </row>
    <row r="78" spans="1:17" ht="28.8" x14ac:dyDescent="0.55000000000000004">
      <c r="A78" s="200" t="s">
        <v>1173</v>
      </c>
      <c r="B78" s="201"/>
      <c r="C78" s="201"/>
      <c r="D78" s="201"/>
      <c r="E78" s="201"/>
      <c r="F78" s="201"/>
      <c r="G78" s="201"/>
      <c r="H78" s="201"/>
      <c r="I78" s="819" t="str">
        <f>I1</f>
        <v>7.6.1 Activity Contribution</v>
      </c>
    </row>
    <row r="79" spans="1:17" x14ac:dyDescent="0.35">
      <c r="A79" s="424"/>
      <c r="B79" s="275"/>
      <c r="C79" s="758"/>
      <c r="D79" s="275"/>
      <c r="E79" s="275"/>
      <c r="F79" s="275"/>
      <c r="G79" s="275"/>
      <c r="H79" s="275"/>
      <c r="I79" s="767"/>
    </row>
    <row r="80" spans="1:17" ht="16.2" x14ac:dyDescent="0.35">
      <c r="A80" s="773" t="s">
        <v>1035</v>
      </c>
      <c r="B80" s="774" t="str">
        <f>'Reference sheet'!$C$12</f>
        <v>TRUCK INTERNATIONAL MOBILITY SA</v>
      </c>
      <c r="D80" s="283" t="s">
        <v>1036</v>
      </c>
      <c r="E80" s="283" t="s">
        <v>1037</v>
      </c>
      <c r="F80" s="282">
        <f>'Reference sheet'!$C$15</f>
        <v>2</v>
      </c>
      <c r="G80" s="759" t="str">
        <f>'Reference sheet'!$C$17</f>
        <v>October</v>
      </c>
      <c r="H80" s="241" t="s">
        <v>1175</v>
      </c>
      <c r="I80" s="775" t="str">
        <f>'Reference sheet'!$C$21</f>
        <v>EUR</v>
      </c>
    </row>
    <row r="81" spans="1:9" x14ac:dyDescent="0.35">
      <c r="A81" s="770"/>
      <c r="B81" s="761"/>
      <c r="C81" s="733"/>
      <c r="D81" s="733"/>
      <c r="E81" s="733"/>
      <c r="F81" s="733"/>
      <c r="G81" s="733"/>
      <c r="H81" s="733"/>
      <c r="I81" s="776"/>
    </row>
    <row r="82" spans="1:9" ht="22.8" thickBot="1" x14ac:dyDescent="0.5">
      <c r="A82" s="777" t="s">
        <v>219</v>
      </c>
      <c r="B82" s="757">
        <f>'7.5.2 Fin. Income &amp; Expenses '!G6</f>
        <v>2020</v>
      </c>
      <c r="C82" s="764"/>
      <c r="D82" s="757"/>
      <c r="E82" s="756"/>
      <c r="F82" s="756"/>
      <c r="G82" s="756"/>
      <c r="H82" s="756"/>
      <c r="I82" s="778"/>
    </row>
    <row r="83" spans="1:9" s="209" customFormat="1" ht="22.2" x14ac:dyDescent="0.45">
      <c r="A83" s="779"/>
      <c r="B83" s="932" t="s">
        <v>196</v>
      </c>
      <c r="C83" s="933" t="s">
        <v>42</v>
      </c>
      <c r="D83" s="933" t="s">
        <v>43</v>
      </c>
      <c r="E83" s="933" t="str">
        <f>E6</f>
        <v>Parts</v>
      </c>
      <c r="F83" s="933" t="str">
        <f>F6</f>
        <v>Service</v>
      </c>
      <c r="G83" s="934" t="s">
        <v>197</v>
      </c>
      <c r="H83" s="932" t="s">
        <v>198</v>
      </c>
      <c r="I83" s="935" t="s">
        <v>199</v>
      </c>
    </row>
    <row r="84" spans="1:9" x14ac:dyDescent="0.35">
      <c r="A84" s="769"/>
      <c r="B84" s="936"/>
      <c r="C84" s="937"/>
      <c r="D84" s="937"/>
      <c r="E84" s="937"/>
      <c r="F84" s="937"/>
      <c r="G84" s="938"/>
      <c r="H84" s="936"/>
      <c r="I84" s="939"/>
    </row>
    <row r="85" spans="1:9" x14ac:dyDescent="0.35">
      <c r="A85" s="435" t="s">
        <v>200</v>
      </c>
      <c r="B85" s="940"/>
      <c r="C85" s="941"/>
      <c r="D85" s="941"/>
      <c r="E85" s="941"/>
      <c r="F85" s="941"/>
      <c r="G85" s="942"/>
      <c r="H85" s="940"/>
      <c r="I85" s="943"/>
    </row>
    <row r="86" spans="1:9" x14ac:dyDescent="0.35">
      <c r="A86" s="424" t="s">
        <v>201</v>
      </c>
      <c r="B86" s="944"/>
      <c r="C86" s="941"/>
      <c r="D86" s="941"/>
      <c r="E86" s="941"/>
      <c r="F86" s="941"/>
      <c r="G86" s="942"/>
      <c r="H86" s="940"/>
      <c r="I86" s="943"/>
    </row>
    <row r="87" spans="1:9" x14ac:dyDescent="0.35">
      <c r="A87" s="424" t="s">
        <v>202</v>
      </c>
      <c r="B87" s="944">
        <f>'7.2.1 Turnover Vehicles'!E36</f>
        <v>4671928.5</v>
      </c>
      <c r="C87" s="941">
        <v>0</v>
      </c>
      <c r="D87" s="941">
        <v>0</v>
      </c>
      <c r="E87" s="945">
        <f ca="1">'7.2.2 Turnover Parts'!E17-'7.2.2 Turnover Parts'!E26</f>
        <v>347867.97640191647</v>
      </c>
      <c r="F87" s="945">
        <f>'7.2.3 Turnover Service &amp; Body'!E38</f>
        <v>40485.941739801259</v>
      </c>
      <c r="G87" s="942">
        <v>0</v>
      </c>
      <c r="H87" s="944">
        <f t="shared" ref="H87:H92" ca="1" si="9">SUM(B87:F87)</f>
        <v>5060282.418141718</v>
      </c>
      <c r="I87" s="946">
        <f ca="1">SUM(B87:F87)</f>
        <v>5060282.418141718</v>
      </c>
    </row>
    <row r="88" spans="1:9" x14ac:dyDescent="0.35">
      <c r="A88" s="424" t="s">
        <v>203</v>
      </c>
      <c r="B88" s="940">
        <v>0</v>
      </c>
      <c r="C88" s="945">
        <f>'7.2.1 Turnover Vehicles'!E48</f>
        <v>0</v>
      </c>
      <c r="D88" s="945">
        <f>'7.2.1 Turnover Vehicles'!E72</f>
        <v>0</v>
      </c>
      <c r="E88" s="945">
        <f>'7.2.2 Turnover Parts'!E18-'7.2.2 Turnover Parts'!E27</f>
        <v>100000</v>
      </c>
      <c r="F88" s="945">
        <f>'7.2.3 Turnover Service &amp; Body'!E41</f>
        <v>6360</v>
      </c>
      <c r="G88" s="942">
        <v>0</v>
      </c>
      <c r="H88" s="944">
        <f t="shared" si="9"/>
        <v>106360</v>
      </c>
      <c r="I88" s="946">
        <f>SUM(B88:F88)</f>
        <v>106360</v>
      </c>
    </row>
    <row r="89" spans="1:9" x14ac:dyDescent="0.35">
      <c r="A89" s="424" t="s">
        <v>204</v>
      </c>
      <c r="B89" s="940">
        <v>0</v>
      </c>
      <c r="C89" s="945">
        <v>0</v>
      </c>
      <c r="D89" s="945">
        <v>0</v>
      </c>
      <c r="E89" s="945">
        <f>'7.2.2 Turnover Parts'!E19</f>
        <v>13200</v>
      </c>
      <c r="F89" s="945">
        <v>0</v>
      </c>
      <c r="G89" s="942">
        <v>0</v>
      </c>
      <c r="H89" s="944">
        <f t="shared" si="9"/>
        <v>13200</v>
      </c>
      <c r="I89" s="946">
        <f>SUM(B89:F89)</f>
        <v>13200</v>
      </c>
    </row>
    <row r="90" spans="1:9" x14ac:dyDescent="0.35">
      <c r="A90" s="424" t="s">
        <v>205</v>
      </c>
      <c r="B90" s="944">
        <v>0</v>
      </c>
      <c r="C90" s="941">
        <v>0</v>
      </c>
      <c r="D90" s="941">
        <v>0</v>
      </c>
      <c r="E90" s="945">
        <f>'7.2.2 Turnover Parts'!E20</f>
        <v>36237.19079605263</v>
      </c>
      <c r="F90" s="945">
        <v>0</v>
      </c>
      <c r="G90" s="942">
        <v>0</v>
      </c>
      <c r="H90" s="944">
        <f t="shared" si="9"/>
        <v>36237.19079605263</v>
      </c>
      <c r="I90" s="946">
        <f>SUM(B90:F90)</f>
        <v>36237.19079605263</v>
      </c>
    </row>
    <row r="91" spans="1:9" x14ac:dyDescent="0.35">
      <c r="A91" s="424" t="s">
        <v>53</v>
      </c>
      <c r="B91" s="944">
        <v>0</v>
      </c>
      <c r="C91" s="941">
        <v>0</v>
      </c>
      <c r="D91" s="941">
        <v>0</v>
      </c>
      <c r="E91" s="945">
        <v>0</v>
      </c>
      <c r="F91" s="945">
        <f>'7.2.3 Turnover Service &amp; Body'!E52</f>
        <v>5000</v>
      </c>
      <c r="G91" s="942">
        <v>0</v>
      </c>
      <c r="H91" s="944">
        <f t="shared" si="9"/>
        <v>5000</v>
      </c>
      <c r="I91" s="946">
        <f>SUM(B91:F91)</f>
        <v>5000</v>
      </c>
    </row>
    <row r="92" spans="1:9" x14ac:dyDescent="0.35">
      <c r="A92" s="424" t="s">
        <v>206</v>
      </c>
      <c r="B92" s="947">
        <v>0</v>
      </c>
      <c r="C92" s="948">
        <v>0</v>
      </c>
      <c r="D92" s="948">
        <v>0</v>
      </c>
      <c r="E92" s="949">
        <f>'7.2.2 Turnover Parts'!E28</f>
        <v>292</v>
      </c>
      <c r="F92" s="949">
        <f>'7.2.3 Turnover Service &amp; Body'!E39+'7.2.3 Turnover Service &amp; Body'!E40</f>
        <v>0</v>
      </c>
      <c r="G92" s="950">
        <v>0</v>
      </c>
      <c r="H92" s="947">
        <f t="shared" si="9"/>
        <v>292</v>
      </c>
      <c r="I92" s="964">
        <v>0</v>
      </c>
    </row>
    <row r="93" spans="1:9" x14ac:dyDescent="0.35">
      <c r="A93" s="435" t="s">
        <v>207</v>
      </c>
      <c r="B93" s="951">
        <f>SUM(B87:B92)</f>
        <v>4671928.5</v>
      </c>
      <c r="C93" s="952">
        <f>SUM(C88:C92)</f>
        <v>0</v>
      </c>
      <c r="D93" s="952">
        <f>SUM(D87:D92)</f>
        <v>0</v>
      </c>
      <c r="E93" s="952">
        <f ca="1">SUM(E87:E92)</f>
        <v>497597.1671979691</v>
      </c>
      <c r="F93" s="952">
        <f>SUM(F87:F92)</f>
        <v>51845.941739801259</v>
      </c>
      <c r="G93" s="953">
        <v>0</v>
      </c>
      <c r="H93" s="951">
        <f ca="1">SUM(H87:H92)</f>
        <v>5221371.6089377711</v>
      </c>
      <c r="I93" s="954">
        <f ca="1">SUM(I87:I92)</f>
        <v>5221079.6089377711</v>
      </c>
    </row>
    <row r="94" spans="1:9" x14ac:dyDescent="0.35">
      <c r="A94" s="768"/>
      <c r="B94" s="955"/>
      <c r="C94" s="956"/>
      <c r="D94" s="956"/>
      <c r="E94" s="956"/>
      <c r="F94" s="956"/>
      <c r="G94" s="957"/>
      <c r="H94" s="955"/>
      <c r="I94" s="958"/>
    </row>
    <row r="95" spans="1:9" x14ac:dyDescent="0.35">
      <c r="A95" s="769"/>
      <c r="B95" s="936"/>
      <c r="C95" s="937"/>
      <c r="D95" s="937"/>
      <c r="E95" s="937"/>
      <c r="F95" s="937"/>
      <c r="G95" s="938"/>
      <c r="H95" s="936"/>
      <c r="I95" s="939"/>
    </row>
    <row r="96" spans="1:9" x14ac:dyDescent="0.35">
      <c r="A96" s="435" t="s">
        <v>208</v>
      </c>
      <c r="B96" s="940"/>
      <c r="C96" s="941"/>
      <c r="D96" s="941"/>
      <c r="E96" s="941"/>
      <c r="F96" s="941"/>
      <c r="G96" s="942"/>
      <c r="H96" s="940"/>
      <c r="I96" s="943"/>
    </row>
    <row r="97" spans="1:9" x14ac:dyDescent="0.35">
      <c r="A97" s="424" t="s">
        <v>201</v>
      </c>
      <c r="B97" s="940"/>
      <c r="C97" s="941"/>
      <c r="D97" s="941"/>
      <c r="E97" s="941"/>
      <c r="F97" s="941"/>
      <c r="G97" s="942"/>
      <c r="H97" s="940"/>
      <c r="I97" s="943"/>
    </row>
    <row r="98" spans="1:9" x14ac:dyDescent="0.35">
      <c r="A98" s="424" t="s">
        <v>202</v>
      </c>
      <c r="B98" s="944">
        <f>'7.3 Cost of sales'!E58+'7.3 Cost of sales'!E59</f>
        <v>4097825.7949999999</v>
      </c>
      <c r="C98" s="941">
        <v>0</v>
      </c>
      <c r="D98" s="941">
        <v>0</v>
      </c>
      <c r="E98" s="945">
        <f ca="1">'7.3 Cost of sales'!E76+'7.3 Cost of sales'!E78+'7.3 Cost of sales'!E80+'7.3 Cost of sales'!E81</f>
        <v>233281.78418928405</v>
      </c>
      <c r="F98" s="941">
        <v>0</v>
      </c>
      <c r="G98" s="942">
        <v>0</v>
      </c>
      <c r="H98" s="944">
        <f t="shared" ref="H98:H105" ca="1" si="10">SUM(B98:F98)</f>
        <v>4331107.5791892838</v>
      </c>
      <c r="I98" s="946">
        <f t="shared" ref="I98:I104" ca="1" si="11">SUM(B98:F98)</f>
        <v>4331107.5791892838</v>
      </c>
    </row>
    <row r="99" spans="1:9" x14ac:dyDescent="0.35">
      <c r="A99" s="424" t="s">
        <v>203</v>
      </c>
      <c r="B99" s="940">
        <v>0</v>
      </c>
      <c r="C99" s="945">
        <f>'7.3 Cost of sales'!E60</f>
        <v>0</v>
      </c>
      <c r="D99" s="945">
        <f>'7.3 Cost of sales'!E61</f>
        <v>0</v>
      </c>
      <c r="E99" s="945">
        <f>'7.3 Cost of sales'!E77+'7.3 Cost of sales'!E79+'7.3 Cost of sales'!E82</f>
        <v>97000</v>
      </c>
      <c r="F99" s="941">
        <v>0</v>
      </c>
      <c r="G99" s="942">
        <v>0</v>
      </c>
      <c r="H99" s="944">
        <f t="shared" si="10"/>
        <v>97000</v>
      </c>
      <c r="I99" s="946">
        <f t="shared" si="11"/>
        <v>97000</v>
      </c>
    </row>
    <row r="100" spans="1:9" x14ac:dyDescent="0.35">
      <c r="A100" s="424" t="s">
        <v>204</v>
      </c>
      <c r="B100" s="940">
        <v>0</v>
      </c>
      <c r="C100" s="945">
        <v>0</v>
      </c>
      <c r="D100" s="945">
        <v>0</v>
      </c>
      <c r="E100" s="945">
        <f>'7.3 Cost of sales'!E83</f>
        <v>10560</v>
      </c>
      <c r="F100" s="941">
        <v>0</v>
      </c>
      <c r="G100" s="942">
        <v>0</v>
      </c>
      <c r="H100" s="944">
        <f t="shared" si="10"/>
        <v>10560</v>
      </c>
      <c r="I100" s="946">
        <f t="shared" si="11"/>
        <v>10560</v>
      </c>
    </row>
    <row r="101" spans="1:9" x14ac:dyDescent="0.35">
      <c r="A101" s="424" t="s">
        <v>205</v>
      </c>
      <c r="B101" s="940">
        <v>0</v>
      </c>
      <c r="C101" s="941">
        <v>0</v>
      </c>
      <c r="D101" s="941">
        <v>0</v>
      </c>
      <c r="E101" s="945">
        <f>'7.3 Cost of sales'!E84</f>
        <v>21742.314477631578</v>
      </c>
      <c r="F101" s="941">
        <v>0</v>
      </c>
      <c r="G101" s="942">
        <v>0</v>
      </c>
      <c r="H101" s="944">
        <f t="shared" si="10"/>
        <v>21742.314477631578</v>
      </c>
      <c r="I101" s="946">
        <f t="shared" si="11"/>
        <v>21742.314477631578</v>
      </c>
    </row>
    <row r="102" spans="1:9" x14ac:dyDescent="0.35">
      <c r="A102" s="424" t="s">
        <v>209</v>
      </c>
      <c r="B102" s="944">
        <v>0</v>
      </c>
      <c r="C102" s="945">
        <v>0</v>
      </c>
      <c r="D102" s="945">
        <v>0</v>
      </c>
      <c r="E102" s="945">
        <v>0</v>
      </c>
      <c r="F102" s="945">
        <f>'7.4.1 Salaries &amp; Wages'!E105+'7.4.1 Salaries &amp; Wages'!E114</f>
        <v>10421.146199999999</v>
      </c>
      <c r="G102" s="942">
        <v>0</v>
      </c>
      <c r="H102" s="944">
        <f t="shared" si="10"/>
        <v>10421.146199999999</v>
      </c>
      <c r="I102" s="946">
        <f t="shared" si="11"/>
        <v>10421.146199999999</v>
      </c>
    </row>
    <row r="103" spans="1:9" x14ac:dyDescent="0.35">
      <c r="A103" s="424" t="s">
        <v>210</v>
      </c>
      <c r="B103" s="944">
        <f>-'7.3 Cost of sales'!E67</f>
        <v>0</v>
      </c>
      <c r="C103" s="941">
        <v>0</v>
      </c>
      <c r="D103" s="945">
        <f>-'7.3 Cost of sales'!E68</f>
        <v>0</v>
      </c>
      <c r="E103" s="945">
        <f ca="1">-'7.3 Cost of sales'!E93</f>
        <v>0</v>
      </c>
      <c r="F103" s="941">
        <v>0</v>
      </c>
      <c r="G103" s="942">
        <v>0</v>
      </c>
      <c r="H103" s="944">
        <f t="shared" ca="1" si="10"/>
        <v>0</v>
      </c>
      <c r="I103" s="946">
        <f t="shared" ca="1" si="11"/>
        <v>0</v>
      </c>
    </row>
    <row r="104" spans="1:9" x14ac:dyDescent="0.35">
      <c r="A104" s="424" t="s">
        <v>53</v>
      </c>
      <c r="B104" s="944">
        <v>0</v>
      </c>
      <c r="C104" s="941">
        <v>0</v>
      </c>
      <c r="D104" s="945">
        <v>0</v>
      </c>
      <c r="E104" s="945">
        <v>0</v>
      </c>
      <c r="F104" s="945">
        <f>'7.3 Cost of sales'!E102</f>
        <v>3750</v>
      </c>
      <c r="G104" s="942">
        <v>0</v>
      </c>
      <c r="H104" s="944">
        <f t="shared" si="10"/>
        <v>3750</v>
      </c>
      <c r="I104" s="946">
        <f t="shared" si="11"/>
        <v>3750</v>
      </c>
    </row>
    <row r="105" spans="1:9" x14ac:dyDescent="0.35">
      <c r="A105" s="424" t="s">
        <v>206</v>
      </c>
      <c r="B105" s="947">
        <f>'7.2.3 Turnover Service &amp; Body'!E39+'7.2.2 Turnover Parts'!E26</f>
        <v>292</v>
      </c>
      <c r="C105" s="949">
        <f>'7.2.3 Turnover Service &amp; Body'!E40+'7.2.2 Turnover Parts'!E27</f>
        <v>0</v>
      </c>
      <c r="D105" s="948">
        <v>0</v>
      </c>
      <c r="E105" s="948">
        <v>0</v>
      </c>
      <c r="F105" s="948">
        <v>0</v>
      </c>
      <c r="G105" s="950">
        <v>0</v>
      </c>
      <c r="H105" s="947">
        <f t="shared" si="10"/>
        <v>292</v>
      </c>
      <c r="I105" s="959">
        <v>0</v>
      </c>
    </row>
    <row r="106" spans="1:9" x14ac:dyDescent="0.35">
      <c r="A106" s="435" t="s">
        <v>211</v>
      </c>
      <c r="B106" s="951">
        <f>SUM(B98:B105)</f>
        <v>4098117.7949999999</v>
      </c>
      <c r="C106" s="952">
        <f>SUM(C98:C105)</f>
        <v>0</v>
      </c>
      <c r="D106" s="952">
        <f>SUM(D98:D105)</f>
        <v>0</v>
      </c>
      <c r="E106" s="952">
        <f ca="1">SUM(E98:E105)</f>
        <v>362584.09866691567</v>
      </c>
      <c r="F106" s="952">
        <f>SUM(F98:F105)</f>
        <v>14171.146199999999</v>
      </c>
      <c r="G106" s="960">
        <v>0</v>
      </c>
      <c r="H106" s="951">
        <f ca="1">SUM(H98:H105)</f>
        <v>4474873.0398669159</v>
      </c>
      <c r="I106" s="954">
        <f ca="1">SUM(I98:I105)</f>
        <v>4474581.0398669159</v>
      </c>
    </row>
    <row r="107" spans="1:9" x14ac:dyDescent="0.35">
      <c r="A107" s="768"/>
      <c r="B107" s="955"/>
      <c r="C107" s="956"/>
      <c r="D107" s="956"/>
      <c r="E107" s="956"/>
      <c r="F107" s="956"/>
      <c r="G107" s="961"/>
      <c r="H107" s="962"/>
      <c r="I107" s="958"/>
    </row>
    <row r="108" spans="1:9" x14ac:dyDescent="0.35">
      <c r="A108" s="769"/>
      <c r="B108" s="936"/>
      <c r="C108" s="937"/>
      <c r="D108" s="937"/>
      <c r="E108" s="937"/>
      <c r="F108" s="937"/>
      <c r="G108" s="938"/>
      <c r="H108" s="936"/>
      <c r="I108" s="939"/>
    </row>
    <row r="109" spans="1:9" x14ac:dyDescent="0.35">
      <c r="A109" s="435" t="s">
        <v>212</v>
      </c>
      <c r="B109" s="951">
        <f>B93-B106</f>
        <v>573810.70500000007</v>
      </c>
      <c r="C109" s="952">
        <f>C93-C106</f>
        <v>0</v>
      </c>
      <c r="D109" s="952">
        <f>D93-D106</f>
        <v>0</v>
      </c>
      <c r="E109" s="952">
        <f ca="1">E93-E106</f>
        <v>135013.06853105343</v>
      </c>
      <c r="F109" s="952">
        <f>F93-F106</f>
        <v>37674.795539801256</v>
      </c>
      <c r="G109" s="953">
        <v>0</v>
      </c>
      <c r="H109" s="951">
        <f ca="1">H93-H106</f>
        <v>746498.56907085516</v>
      </c>
      <c r="I109" s="954">
        <f ca="1">I93-I106</f>
        <v>746498.56907085516</v>
      </c>
    </row>
    <row r="110" spans="1:9" x14ac:dyDescent="0.35">
      <c r="A110" s="768"/>
      <c r="B110" s="955"/>
      <c r="C110" s="956"/>
      <c r="D110" s="956"/>
      <c r="E110" s="956"/>
      <c r="F110" s="956"/>
      <c r="G110" s="957"/>
      <c r="H110" s="955"/>
      <c r="I110" s="958"/>
    </row>
    <row r="111" spans="1:9" x14ac:dyDescent="0.35">
      <c r="A111" s="769"/>
      <c r="B111" s="936"/>
      <c r="C111" s="937"/>
      <c r="D111" s="937"/>
      <c r="E111" s="937"/>
      <c r="F111" s="937"/>
      <c r="G111" s="938"/>
      <c r="H111" s="936"/>
      <c r="I111" s="939"/>
    </row>
    <row r="112" spans="1:9" s="255" customFormat="1" x14ac:dyDescent="0.35">
      <c r="A112" s="435" t="s">
        <v>652</v>
      </c>
      <c r="B112" s="951">
        <f>'7.2.1 Turnover Vehicles'!$E$84*'7.4.1 Salaries &amp; Wages'!$E$77*(1+'7.4.1 Salaries &amp; Wages'!$B$78)+('7.4.2 Selling &amp; Oper. expenses'!E9*'7.4.2 Selling &amp; Oper. expenses'!E63)</f>
        <v>86180.362500000003</v>
      </c>
      <c r="C112" s="952">
        <f>'7.2.1 Turnover Vehicles'!$E$85*'7.4.1 Salaries &amp; Wages'!$E$77*(1+'7.4.1 Salaries &amp; Wages'!$B$78)+('7.4.2 Selling &amp; Oper. expenses'!E9*'7.4.2 Selling &amp; Oper. expenses'!F63)</f>
        <v>0</v>
      </c>
      <c r="D112" s="952">
        <f>'7.2.1 Turnover Vehicles'!$E$86*'7.4.1 Salaries &amp; Wages'!$E$77*(1+'7.4.1 Salaries &amp; Wages'!$B$78)+('7.4.2 Selling &amp; Oper. expenses'!E9*'7.4.2 Selling &amp; Oper. expenses'!G63)</f>
        <v>0</v>
      </c>
      <c r="E112" s="952">
        <f>'7.4.2 Selling &amp; Oper. expenses'!E9*'7.4.2 Selling &amp; Oper. expenses'!I63</f>
        <v>0</v>
      </c>
      <c r="F112" s="952">
        <f>('7.4.2 Selling &amp; Oper. expenses'!E9*'7.4.2 Selling &amp; Oper. expenses'!H63)</f>
        <v>0</v>
      </c>
      <c r="G112" s="953">
        <f>'7.4.2 Selling &amp; Oper. expenses'!E9*'7.4.2 Selling &amp; Oper. expenses'!J63</f>
        <v>0</v>
      </c>
      <c r="H112" s="951">
        <f>SUM(B112:G112)</f>
        <v>86180.362500000003</v>
      </c>
      <c r="I112" s="954">
        <f>B112+C112+D112+F112+E112+G112</f>
        <v>86180.362500000003</v>
      </c>
    </row>
    <row r="113" spans="1:9" x14ac:dyDescent="0.35">
      <c r="A113" s="424"/>
      <c r="B113" s="944"/>
      <c r="C113" s="945"/>
      <c r="D113" s="945"/>
      <c r="E113" s="945"/>
      <c r="F113" s="945"/>
      <c r="G113" s="963"/>
      <c r="H113" s="944"/>
      <c r="I113" s="946"/>
    </row>
    <row r="114" spans="1:9" s="255" customFormat="1" x14ac:dyDescent="0.35">
      <c r="A114" s="435" t="s">
        <v>209</v>
      </c>
      <c r="B114" s="951">
        <f>'7.2.1 Turnover Vehicles'!E84*'7.4.1 Salaries &amp; Wages'!E80+(B93/(B93+C93+D93+0.00001)*('7.4.1 Salaries &amp; Wages'!E71+'7.4.1 Salaries &amp; Wages'!E91))-('7.2.1 Turnover Vehicles'!$E$84*'7.4.1 Salaries &amp; Wages'!$E$77*(1+'7.4.1 Salaries &amp; Wages'!$B$78))</f>
        <v>39369.234749938041</v>
      </c>
      <c r="C114" s="952">
        <f>'7.2.1 Turnover Vehicles'!E85*'7.4.1 Salaries &amp; Wages'!E80+(C93/(B93+C93+D93+0.00001)*('7.4.1 Salaries &amp; Wages'!E71+'7.4.1 Salaries &amp; Wages'!E91))-'7.2.1 Turnover Vehicles'!$E$85*'7.4.1 Salaries &amp; Wages'!$E$77*(1+'7.4.1 Salaries &amp; Wages'!$B$78)</f>
        <v>0</v>
      </c>
      <c r="D114" s="952">
        <f>'7.2.1 Turnover Vehicles'!E86*'7.4.1 Salaries &amp; Wages'!E80+(D93/(B93+C93+D93+0.00001)*('7.4.1 Salaries &amp; Wages'!E71+'7.4.1 Salaries &amp; Wages'!E91))-'7.2.1 Turnover Vehicles'!$E$86*'7.4.1 Salaries &amp; Wages'!$E$77*(1+'7.4.1 Salaries &amp; Wages'!$B$78)</f>
        <v>0</v>
      </c>
      <c r="E114" s="952">
        <f>'7.4.1 Salaries &amp; Wages'!E141+'7.4.1 Salaries &amp; Wages'!E150+'7.4.1 Salaries &amp; Wages'!E159+'7.4.1 Salaries &amp; Wages'!E168</f>
        <v>64846.369200000001</v>
      </c>
      <c r="F114" s="952">
        <f>'7.4.1 Salaries &amp; Wages'!E132+'7.4.1 Salaries &amp; Wages'!E123</f>
        <v>22002.038400000001</v>
      </c>
      <c r="G114" s="953">
        <f>'7.4.1 Salaries &amp; Wages'!E35+'7.4.1 Salaries &amp; Wages'!E44+'7.4.1 Salaries &amp; Wages'!E53+'7.4.1 Salaries &amp; Wages'!E62</f>
        <v>50371.634600000005</v>
      </c>
      <c r="H114" s="951">
        <f>SUM(B114:G114)</f>
        <v>176589.27694993804</v>
      </c>
      <c r="I114" s="954">
        <f>B114+C114+D114+F114+E114+G114</f>
        <v>176589.27694993804</v>
      </c>
    </row>
    <row r="115" spans="1:9" x14ac:dyDescent="0.35">
      <c r="A115" s="435"/>
      <c r="B115" s="940"/>
      <c r="C115" s="941"/>
      <c r="D115" s="941"/>
      <c r="E115" s="941"/>
      <c r="F115" s="945"/>
      <c r="G115" s="942"/>
      <c r="H115" s="940"/>
      <c r="I115" s="942"/>
    </row>
    <row r="116" spans="1:9" x14ac:dyDescent="0.35">
      <c r="A116" s="435" t="s">
        <v>654</v>
      </c>
      <c r="B116" s="940"/>
      <c r="C116" s="941"/>
      <c r="D116" s="941"/>
      <c r="E116" s="941"/>
      <c r="F116" s="945"/>
      <c r="G116" s="942"/>
      <c r="H116" s="940"/>
      <c r="I116" s="942"/>
    </row>
    <row r="117" spans="1:9" x14ac:dyDescent="0.35">
      <c r="A117" s="424" t="s">
        <v>83</v>
      </c>
      <c r="B117" s="944">
        <f>'7.4.2 Selling &amp; Oper. expenses'!E37*'7.4.2 Selling &amp; Oper. expenses'!E68</f>
        <v>1806.6999999999998</v>
      </c>
      <c r="C117" s="945">
        <f>'7.4.2 Selling &amp; Oper. expenses'!E37*'7.4.2 Selling &amp; Oper. expenses'!F68</f>
        <v>0</v>
      </c>
      <c r="D117" s="945">
        <f>'7.4.2 Selling &amp; Oper. expenses'!E37*'7.4.2 Selling &amp; Oper. expenses'!G68</f>
        <v>0</v>
      </c>
      <c r="E117" s="945">
        <f>'7.4.2 Selling &amp; Oper. expenses'!E37*'7.4.2 Selling &amp; Oper. expenses'!H68</f>
        <v>258.10000000000002</v>
      </c>
      <c r="F117" s="945">
        <f>'7.4.2 Selling &amp; Oper. expenses'!E37*'7.4.2 Selling &amp; Oper. expenses'!I68</f>
        <v>258.10000000000002</v>
      </c>
      <c r="G117" s="963">
        <f>'7.4.2 Selling &amp; Oper. expenses'!E37*'7.4.2 Selling &amp; Oper. expenses'!J68</f>
        <v>258.10000000000002</v>
      </c>
      <c r="H117" s="944">
        <f>SUM(B117:G117)</f>
        <v>2580.9999999999995</v>
      </c>
      <c r="I117" s="963">
        <f>SUM(B117:G117)</f>
        <v>2580.9999999999995</v>
      </c>
    </row>
    <row r="118" spans="1:9" x14ac:dyDescent="0.35">
      <c r="A118" s="424" t="s">
        <v>84</v>
      </c>
      <c r="B118" s="944">
        <f>'7.4.2 Selling &amp; Oper. expenses'!E38*'7.4.2 Selling &amp; Oper. expenses'!E69</f>
        <v>4516.3999999999996</v>
      </c>
      <c r="C118" s="945">
        <f>'7.4.2 Selling &amp; Oper. expenses'!E38*'7.4.2 Selling &amp; Oper. expenses'!F69</f>
        <v>0</v>
      </c>
      <c r="D118" s="945">
        <f>'7.4.2 Selling &amp; Oper. expenses'!E38*'7.4.2 Selling &amp; Oper. expenses'!G69</f>
        <v>0</v>
      </c>
      <c r="E118" s="945">
        <f>'7.4.2 Selling &amp; Oper. expenses'!E38*'7.4.2 Selling &amp; Oper. expenses'!H69</f>
        <v>645.20000000000005</v>
      </c>
      <c r="F118" s="945">
        <f>'7.4.2 Selling &amp; Oper. expenses'!E38*'7.4.2 Selling &amp; Oper. expenses'!I69</f>
        <v>645.20000000000005</v>
      </c>
      <c r="G118" s="963">
        <f>'7.4.2 Selling &amp; Oper. expenses'!E38*'7.4.2 Selling &amp; Oper. expenses'!J69</f>
        <v>645.20000000000005</v>
      </c>
      <c r="H118" s="944">
        <f>SUM(B118:G118)</f>
        <v>6451.9999999999991</v>
      </c>
      <c r="I118" s="963">
        <f>SUM(B118:G118)</f>
        <v>6451.9999999999991</v>
      </c>
    </row>
    <row r="119" spans="1:9" x14ac:dyDescent="0.35">
      <c r="A119" s="424" t="s">
        <v>85</v>
      </c>
      <c r="B119" s="944">
        <f>'7.4.2 Selling &amp; Oper. expenses'!E39*'7.4.2 Selling &amp; Oper. expenses'!E70</f>
        <v>2000</v>
      </c>
      <c r="C119" s="945">
        <f>'7.4.2 Selling &amp; Oper. expenses'!E39*'7.4.2 Selling &amp; Oper. expenses'!F70</f>
        <v>0</v>
      </c>
      <c r="D119" s="945">
        <f>'7.4.2 Selling &amp; Oper. expenses'!E39*'7.4.2 Selling &amp; Oper. expenses'!G70</f>
        <v>0</v>
      </c>
      <c r="E119" s="945">
        <f>'7.4.2 Selling &amp; Oper. expenses'!E39*'7.4.2 Selling &amp; Oper. expenses'!H70</f>
        <v>1250</v>
      </c>
      <c r="F119" s="945">
        <f>'7.4.2 Selling &amp; Oper. expenses'!E39*'7.4.2 Selling &amp; Oper. expenses'!I70</f>
        <v>1250</v>
      </c>
      <c r="G119" s="963">
        <f>'7.4.2 Selling &amp; Oper. expenses'!E39*'7.4.2 Selling &amp; Oper. expenses'!J70</f>
        <v>500</v>
      </c>
      <c r="H119" s="944">
        <f t="shared" ref="H119:H130" si="12">SUM(B119:G119)</f>
        <v>5000</v>
      </c>
      <c r="I119" s="963">
        <f t="shared" ref="I119:I130" si="13">SUM(B119:G119)</f>
        <v>5000</v>
      </c>
    </row>
    <row r="120" spans="1:9" x14ac:dyDescent="0.35">
      <c r="A120" s="424" t="s">
        <v>86</v>
      </c>
      <c r="B120" s="944">
        <f>'7.4.2 Selling &amp; Oper. expenses'!E40*'7.4.2 Selling &amp; Oper. expenses'!E71</f>
        <v>1200</v>
      </c>
      <c r="C120" s="945">
        <f>'7.4.2 Selling &amp; Oper. expenses'!E40*'7.4.2 Selling &amp; Oper. expenses'!F71</f>
        <v>0</v>
      </c>
      <c r="D120" s="945">
        <f>'7.4.2 Selling &amp; Oper. expenses'!E40*'7.4.2 Selling &amp; Oper. expenses'!G71</f>
        <v>0</v>
      </c>
      <c r="E120" s="945">
        <f>'7.4.2 Selling &amp; Oper. expenses'!E40*'7.4.2 Selling &amp; Oper. expenses'!H71</f>
        <v>1800</v>
      </c>
      <c r="F120" s="945">
        <f>'7.4.2 Selling &amp; Oper. expenses'!E40*'7.4.2 Selling &amp; Oper. expenses'!I71</f>
        <v>3000</v>
      </c>
      <c r="G120" s="963">
        <f>'7.4.2 Selling &amp; Oper. expenses'!E40*'7.4.2 Selling &amp; Oper. expenses'!J71</f>
        <v>0</v>
      </c>
      <c r="H120" s="944">
        <f t="shared" si="12"/>
        <v>6000</v>
      </c>
      <c r="I120" s="963">
        <f t="shared" si="13"/>
        <v>6000</v>
      </c>
    </row>
    <row r="121" spans="1:9" x14ac:dyDescent="0.35">
      <c r="A121" s="424" t="s">
        <v>88</v>
      </c>
      <c r="B121" s="944">
        <f>'7.4.2 Selling &amp; Oper. expenses'!E41*'7.4.2 Selling &amp; Oper. expenses'!E72</f>
        <v>4200</v>
      </c>
      <c r="C121" s="945">
        <f>'7.4.2 Selling &amp; Oper. expenses'!E41*'7.4.2 Selling &amp; Oper. expenses'!F72</f>
        <v>0</v>
      </c>
      <c r="D121" s="945">
        <f>'7.4.2 Selling &amp; Oper. expenses'!E41*'7.4.2 Selling &amp; Oper. expenses'!G72</f>
        <v>0</v>
      </c>
      <c r="E121" s="945">
        <f>'7.4.2 Selling &amp; Oper. expenses'!E41*'7.4.2 Selling &amp; Oper. expenses'!H72</f>
        <v>3150</v>
      </c>
      <c r="F121" s="945">
        <f>'7.4.2 Selling &amp; Oper. expenses'!E41*'7.4.2 Selling &amp; Oper. expenses'!I72</f>
        <v>12600</v>
      </c>
      <c r="G121" s="963">
        <f>'7.4.2 Selling &amp; Oper. expenses'!E41*'7.4.2 Selling &amp; Oper. expenses'!J72</f>
        <v>1050</v>
      </c>
      <c r="H121" s="944">
        <f t="shared" si="12"/>
        <v>21000</v>
      </c>
      <c r="I121" s="963">
        <f t="shared" si="13"/>
        <v>21000</v>
      </c>
    </row>
    <row r="122" spans="1:9" x14ac:dyDescent="0.35">
      <c r="A122" s="424" t="s">
        <v>213</v>
      </c>
      <c r="B122" s="944">
        <f>'7.4.2 Selling &amp; Oper. expenses'!E42*'7.4.2 Selling &amp; Oper. expenses'!E73</f>
        <v>80000</v>
      </c>
      <c r="C122" s="945">
        <f>'7.4.2 Selling &amp; Oper. expenses'!E42*'7.4.2 Selling &amp; Oper. expenses'!F73</f>
        <v>0</v>
      </c>
      <c r="D122" s="945">
        <f>'7.4.2 Selling &amp; Oper. expenses'!E42*'7.4.2 Selling &amp; Oper. expenses'!G73</f>
        <v>0</v>
      </c>
      <c r="E122" s="945">
        <f>'7.4.2 Selling &amp; Oper. expenses'!E42*'7.4.2 Selling &amp; Oper. expenses'!H73</f>
        <v>10000</v>
      </c>
      <c r="F122" s="945">
        <f>'7.4.2 Selling &amp; Oper. expenses'!E42*'7.4.2 Selling &amp; Oper. expenses'!I73</f>
        <v>10000</v>
      </c>
      <c r="G122" s="963">
        <f>'7.4.2 Selling &amp; Oper. expenses'!E42*'7.4.2 Selling &amp; Oper. expenses'!J73</f>
        <v>0</v>
      </c>
      <c r="H122" s="944">
        <f t="shared" si="12"/>
        <v>100000</v>
      </c>
      <c r="I122" s="963">
        <f t="shared" si="13"/>
        <v>100000</v>
      </c>
    </row>
    <row r="123" spans="1:9" x14ac:dyDescent="0.35">
      <c r="A123" s="424" t="s">
        <v>89</v>
      </c>
      <c r="B123" s="944">
        <f>'7.4.2 Selling &amp; Oper. expenses'!E43*'7.4.2 Selling &amp; Oper. expenses'!E74</f>
        <v>15000</v>
      </c>
      <c r="C123" s="945">
        <f>'7.4.2 Selling &amp; Oper. expenses'!E43*'7.4.2 Selling &amp; Oper. expenses'!F74</f>
        <v>0</v>
      </c>
      <c r="D123" s="945">
        <f>'7.4.2 Selling &amp; Oper. expenses'!E43*'7.4.2 Selling &amp; Oper. expenses'!G74</f>
        <v>0</v>
      </c>
      <c r="E123" s="945">
        <f>'7.4.2 Selling &amp; Oper. expenses'!E43*'7.4.2 Selling &amp; Oper. expenses'!H74</f>
        <v>5000</v>
      </c>
      <c r="F123" s="945">
        <f>'7.4.2 Selling &amp; Oper. expenses'!E43*'7.4.2 Selling &amp; Oper. expenses'!I74</f>
        <v>5000</v>
      </c>
      <c r="G123" s="963">
        <f>'7.4.2 Selling &amp; Oper. expenses'!E43*'7.4.2 Selling &amp; Oper. expenses'!J74</f>
        <v>0</v>
      </c>
      <c r="H123" s="944">
        <f t="shared" si="12"/>
        <v>25000</v>
      </c>
      <c r="I123" s="963">
        <f t="shared" si="13"/>
        <v>25000</v>
      </c>
    </row>
    <row r="124" spans="1:9" x14ac:dyDescent="0.35">
      <c r="A124" s="424" t="s">
        <v>90</v>
      </c>
      <c r="B124" s="944">
        <f>'7.4.2 Selling &amp; Oper. expenses'!E44*'7.4.2 Selling &amp; Oper. expenses'!E75</f>
        <v>1935.6000000000001</v>
      </c>
      <c r="C124" s="945">
        <f>'7.4.2 Selling &amp; Oper. expenses'!E44*'7.4.2 Selling &amp; Oper. expenses'!F75</f>
        <v>0</v>
      </c>
      <c r="D124" s="945">
        <f>'7.4.2 Selling &amp; Oper. expenses'!E44*'7.4.2 Selling &amp; Oper. expenses'!G75</f>
        <v>0</v>
      </c>
      <c r="E124" s="945">
        <f>'7.4.2 Selling &amp; Oper. expenses'!E44*'7.4.2 Selling &amp; Oper. expenses'!H75</f>
        <v>967.80000000000007</v>
      </c>
      <c r="F124" s="945">
        <f>'7.4.2 Selling &amp; Oper. expenses'!E44*'7.4.2 Selling &amp; Oper. expenses'!I75</f>
        <v>967.80000000000007</v>
      </c>
      <c r="G124" s="963">
        <f>'7.4.2 Selling &amp; Oper. expenses'!E44*'7.4.2 Selling &amp; Oper. expenses'!J75</f>
        <v>967.80000000000007</v>
      </c>
      <c r="H124" s="944">
        <f t="shared" si="12"/>
        <v>4839</v>
      </c>
      <c r="I124" s="963">
        <f t="shared" si="13"/>
        <v>4839</v>
      </c>
    </row>
    <row r="125" spans="1:9" x14ac:dyDescent="0.35">
      <c r="A125" s="424" t="s">
        <v>214</v>
      </c>
      <c r="B125" s="944">
        <f>'7.4.2 Selling &amp; Oper. expenses'!E45*'7.4.2 Selling &amp; Oper. expenses'!E76</f>
        <v>774</v>
      </c>
      <c r="C125" s="945">
        <f>'7.4.2 Selling &amp; Oper. expenses'!E45*'7.4.2 Selling &amp; Oper. expenses'!F76</f>
        <v>0</v>
      </c>
      <c r="D125" s="945">
        <f>'7.4.2 Selling &amp; Oper. expenses'!E45*'7.4.2 Selling &amp; Oper. expenses'!G76</f>
        <v>0</v>
      </c>
      <c r="E125" s="945">
        <f>'7.4.2 Selling &amp; Oper. expenses'!E45*'7.4.2 Selling &amp; Oper. expenses'!H76</f>
        <v>387</v>
      </c>
      <c r="F125" s="945">
        <f>'7.4.2 Selling &amp; Oper. expenses'!E45*'7.4.2 Selling &amp; Oper. expenses'!I76</f>
        <v>387</v>
      </c>
      <c r="G125" s="963">
        <f>'7.4.2 Selling &amp; Oper. expenses'!E45*'7.4.2 Selling &amp; Oper. expenses'!J76</f>
        <v>387</v>
      </c>
      <c r="H125" s="944">
        <f t="shared" si="12"/>
        <v>1935</v>
      </c>
      <c r="I125" s="963">
        <f t="shared" si="13"/>
        <v>1935</v>
      </c>
    </row>
    <row r="126" spans="1:9" x14ac:dyDescent="0.35">
      <c r="A126" s="424" t="s">
        <v>92</v>
      </c>
      <c r="B126" s="944">
        <f>'7.4.2 Selling &amp; Oper. expenses'!E46*'7.4.2 Selling &amp; Oper. expenses'!E77</f>
        <v>4838.5</v>
      </c>
      <c r="C126" s="945">
        <f>'7.4.2 Selling &amp; Oper. expenses'!E46*'7.4.2 Selling &amp; Oper. expenses'!F77</f>
        <v>0</v>
      </c>
      <c r="D126" s="945">
        <f>'7.4.2 Selling &amp; Oper. expenses'!E46*'7.4.2 Selling &amp; Oper. expenses'!G77</f>
        <v>0</v>
      </c>
      <c r="E126" s="945">
        <f>'7.4.2 Selling &amp; Oper. expenses'!E46*'7.4.2 Selling &amp; Oper. expenses'!H77</f>
        <v>1935.4</v>
      </c>
      <c r="F126" s="945">
        <f>'7.4.2 Selling &amp; Oper. expenses'!E46*'7.4.2 Selling &amp; Oper. expenses'!I77</f>
        <v>967.7</v>
      </c>
      <c r="G126" s="963">
        <f>'7.4.2 Selling &amp; Oper. expenses'!E46*'7.4.2 Selling &amp; Oper. expenses'!J77</f>
        <v>1935.4</v>
      </c>
      <c r="H126" s="944">
        <f t="shared" si="12"/>
        <v>9677</v>
      </c>
      <c r="I126" s="963">
        <f t="shared" si="13"/>
        <v>9677</v>
      </c>
    </row>
    <row r="127" spans="1:9" x14ac:dyDescent="0.35">
      <c r="A127" s="424" t="s">
        <v>93</v>
      </c>
      <c r="B127" s="944">
        <f>'7.4.2 Selling &amp; Oper. expenses'!E47*'7.4.2 Selling &amp; Oper. expenses'!E78</f>
        <v>6000</v>
      </c>
      <c r="C127" s="945">
        <f>'7.4.2 Selling &amp; Oper. expenses'!E47*'7.4.2 Selling &amp; Oper. expenses'!F78</f>
        <v>0</v>
      </c>
      <c r="D127" s="945">
        <f>'7.4.2 Selling &amp; Oper. expenses'!E47*'7.4.2 Selling &amp; Oper. expenses'!G78</f>
        <v>0</v>
      </c>
      <c r="E127" s="945">
        <f>'7.4.2 Selling &amp; Oper. expenses'!E47*'7.4.2 Selling &amp; Oper. expenses'!H78</f>
        <v>1500</v>
      </c>
      <c r="F127" s="945">
        <f>'7.4.2 Selling &amp; Oper. expenses'!E47*'7.4.2 Selling &amp; Oper. expenses'!I78</f>
        <v>7500</v>
      </c>
      <c r="G127" s="963">
        <f>'7.4.2 Selling &amp; Oper. expenses'!E47*'7.4.2 Selling &amp; Oper. expenses'!J78</f>
        <v>0</v>
      </c>
      <c r="H127" s="944">
        <f t="shared" si="12"/>
        <v>15000</v>
      </c>
      <c r="I127" s="963">
        <f t="shared" si="13"/>
        <v>15000</v>
      </c>
    </row>
    <row r="128" spans="1:9" x14ac:dyDescent="0.35">
      <c r="A128" s="424" t="s">
        <v>94</v>
      </c>
      <c r="B128" s="944">
        <f>'7.4.2 Selling &amp; Oper. expenses'!E48*'7.4.2 Selling &amp; Oper. expenses'!E79</f>
        <v>1935.6</v>
      </c>
      <c r="C128" s="945">
        <f>'7.4.2 Selling &amp; Oper. expenses'!E48*'7.4.2 Selling &amp; Oper. expenses'!F79</f>
        <v>0</v>
      </c>
      <c r="D128" s="945">
        <f>'7.4.2 Selling &amp; Oper. expenses'!E48*'7.4.2 Selling &amp; Oper. expenses'!G79</f>
        <v>0</v>
      </c>
      <c r="E128" s="945">
        <f>'7.4.2 Selling &amp; Oper. expenses'!E48*'7.4.2 Selling &amp; Oper. expenses'!H79</f>
        <v>1290.4000000000001</v>
      </c>
      <c r="F128" s="945">
        <f>'7.4.2 Selling &amp; Oper. expenses'!E48*'7.4.2 Selling &amp; Oper. expenses'!I79</f>
        <v>2580.8000000000002</v>
      </c>
      <c r="G128" s="963">
        <f>'7.4.2 Selling &amp; Oper. expenses'!E48*'7.4.2 Selling &amp; Oper. expenses'!J79</f>
        <v>645.20000000000005</v>
      </c>
      <c r="H128" s="944">
        <f t="shared" si="12"/>
        <v>6452</v>
      </c>
      <c r="I128" s="963">
        <f t="shared" si="13"/>
        <v>6452</v>
      </c>
    </row>
    <row r="129" spans="1:9" x14ac:dyDescent="0.35">
      <c r="A129" s="424" t="s">
        <v>115</v>
      </c>
      <c r="B129" s="944">
        <f>'7.4.2 Selling &amp; Oper. expenses'!E49*'7.4.2 Selling &amp; Oper. expenses'!E80</f>
        <v>1290</v>
      </c>
      <c r="C129" s="945">
        <f>'7.4.2 Selling &amp; Oper. expenses'!E49*'7.4.2 Selling &amp; Oper. expenses'!F80</f>
        <v>0</v>
      </c>
      <c r="D129" s="945">
        <f>'7.4.2 Selling &amp; Oper. expenses'!E49*'7.4.2 Selling &amp; Oper. expenses'!G80</f>
        <v>0</v>
      </c>
      <c r="E129" s="945">
        <f>'7.4.2 Selling &amp; Oper. expenses'!E49*'7.4.2 Selling &amp; Oper. expenses'!H80</f>
        <v>0</v>
      </c>
      <c r="F129" s="945">
        <f>'7.4.2 Selling &amp; Oper. expenses'!E49*'7.4.2 Selling &amp; Oper. expenses'!I80</f>
        <v>0</v>
      </c>
      <c r="G129" s="963">
        <f>'7.4.2 Selling &amp; Oper. expenses'!E49*'7.4.2 Selling &amp; Oper. expenses'!J80</f>
        <v>0</v>
      </c>
      <c r="H129" s="944">
        <f>SUM(B129:G129)</f>
        <v>1290</v>
      </c>
      <c r="I129" s="963">
        <f>SUM(B129:G129)</f>
        <v>1290</v>
      </c>
    </row>
    <row r="130" spans="1:9" x14ac:dyDescent="0.35">
      <c r="A130" s="424" t="s">
        <v>707</v>
      </c>
      <c r="B130" s="944">
        <f>'7.4.2 Selling &amp; Oper. expenses'!E50*'7.4.2 Selling &amp; Oper. expenses'!E81</f>
        <v>3000</v>
      </c>
      <c r="C130" s="945">
        <f>'7.4.2 Selling &amp; Oper. expenses'!E50*'7.4.2 Selling &amp; Oper. expenses'!F81</f>
        <v>0</v>
      </c>
      <c r="D130" s="945">
        <f>'7.4.2 Selling &amp; Oper. expenses'!E50*'7.4.2 Selling &amp; Oper. expenses'!G81</f>
        <v>0</v>
      </c>
      <c r="E130" s="945">
        <f>'7.4.2 Selling &amp; Oper. expenses'!E50*'7.4.2 Selling &amp; Oper. expenses'!H81</f>
        <v>2000</v>
      </c>
      <c r="F130" s="945">
        <f>'7.4.2 Selling &amp; Oper. expenses'!E50*'7.4.2 Selling &amp; Oper. expenses'!I81</f>
        <v>2000</v>
      </c>
      <c r="G130" s="963">
        <f>'7.4.2 Selling &amp; Oper. expenses'!E50*'7.4.2 Selling &amp; Oper. expenses'!J81</f>
        <v>3000</v>
      </c>
      <c r="H130" s="944">
        <f t="shared" si="12"/>
        <v>10000</v>
      </c>
      <c r="I130" s="963">
        <f t="shared" si="13"/>
        <v>10000</v>
      </c>
    </row>
    <row r="131" spans="1:9" x14ac:dyDescent="0.35">
      <c r="A131" s="424" t="s">
        <v>97</v>
      </c>
      <c r="B131" s="944">
        <f>'7.4.2 Selling &amp; Oper. expenses'!E51*'7.4.2 Selling &amp; Oper. expenses'!E82</f>
        <v>30000</v>
      </c>
      <c r="C131" s="945">
        <f>'7.4.2 Selling &amp; Oper. expenses'!E51*'7.4.2 Selling &amp; Oper. expenses'!F82</f>
        <v>0</v>
      </c>
      <c r="D131" s="945">
        <f>'7.4.2 Selling &amp; Oper. expenses'!E51*'7.4.2 Selling &amp; Oper. expenses'!G82</f>
        <v>0</v>
      </c>
      <c r="E131" s="945">
        <f>'7.4.2 Selling &amp; Oper. expenses'!E51*'7.4.2 Selling &amp; Oper. expenses'!H82</f>
        <v>20000</v>
      </c>
      <c r="F131" s="945">
        <f>'7.4.2 Selling &amp; Oper. expenses'!E51*'7.4.2 Selling &amp; Oper. expenses'!I82</f>
        <v>50000</v>
      </c>
      <c r="G131" s="963">
        <f>'7.4.2 Selling &amp; Oper. expenses'!E51*'7.4.2 Selling &amp; Oper. expenses'!J82</f>
        <v>0</v>
      </c>
      <c r="H131" s="944">
        <f>SUM(B131:G131)</f>
        <v>100000</v>
      </c>
      <c r="I131" s="963">
        <f>SUM(B131:G131)</f>
        <v>100000</v>
      </c>
    </row>
    <row r="132" spans="1:9" x14ac:dyDescent="0.35">
      <c r="A132" s="424" t="s">
        <v>217</v>
      </c>
      <c r="B132" s="944">
        <f>'7.4.2 Selling &amp; Oper. expenses'!E52*'7.4.2 Selling &amp; Oper. expenses'!E83</f>
        <v>495.00000000000006</v>
      </c>
      <c r="C132" s="945">
        <f>'7.4.2 Selling &amp; Oper. expenses'!E52*'7.4.2 Selling &amp; Oper. expenses'!F83</f>
        <v>0</v>
      </c>
      <c r="D132" s="945">
        <f>'7.4.2 Selling &amp; Oper. expenses'!E52*'7.4.2 Selling &amp; Oper. expenses'!G83</f>
        <v>0</v>
      </c>
      <c r="E132" s="945">
        <f>'7.4.2 Selling &amp; Oper. expenses'!E52*'7.4.2 Selling &amp; Oper. expenses'!H83</f>
        <v>330.00000000000006</v>
      </c>
      <c r="F132" s="945">
        <f>'7.4.2 Selling &amp; Oper. expenses'!E52*'7.4.2 Selling &amp; Oper. expenses'!I83</f>
        <v>825.00000000000011</v>
      </c>
      <c r="G132" s="963">
        <f>'7.4.2 Selling &amp; Oper. expenses'!E52*'7.4.2 Selling &amp; Oper. expenses'!J83</f>
        <v>0</v>
      </c>
      <c r="H132" s="944">
        <f>SUM(B132:G132)</f>
        <v>1650.0000000000002</v>
      </c>
      <c r="I132" s="963">
        <f>SUM(B132:G132)</f>
        <v>1650.0000000000002</v>
      </c>
    </row>
    <row r="133" spans="1:9" x14ac:dyDescent="0.35">
      <c r="A133" s="424" t="s">
        <v>99</v>
      </c>
      <c r="B133" s="944">
        <f>'7.4.2 Selling &amp; Oper. expenses'!E53*'7.4.2 Selling &amp; Oper. expenses'!E84</f>
        <v>9000</v>
      </c>
      <c r="C133" s="945">
        <f>'7.4.2 Selling &amp; Oper. expenses'!E53*'7.4.2 Selling &amp; Oper. expenses'!F84</f>
        <v>0</v>
      </c>
      <c r="D133" s="945">
        <f>'7.4.2 Selling &amp; Oper. expenses'!E53*'7.4.2 Selling &amp; Oper. expenses'!G84</f>
        <v>0</v>
      </c>
      <c r="E133" s="945">
        <f>'7.4.2 Selling &amp; Oper. expenses'!E53*'7.4.2 Selling &amp; Oper. expenses'!H84</f>
        <v>4500</v>
      </c>
      <c r="F133" s="945">
        <f>'7.4.2 Selling &amp; Oper. expenses'!E53*'7.4.2 Selling &amp; Oper. expenses'!I84</f>
        <v>1500</v>
      </c>
      <c r="G133" s="963">
        <f>'7.4.2 Selling &amp; Oper. expenses'!E53*'7.4.2 Selling &amp; Oper. expenses'!J84</f>
        <v>0</v>
      </c>
      <c r="H133" s="944">
        <f>SUM(B133:G133)</f>
        <v>15000</v>
      </c>
      <c r="I133" s="963">
        <f>SUM(B133:G133)</f>
        <v>15000</v>
      </c>
    </row>
    <row r="134" spans="1:9" x14ac:dyDescent="0.35">
      <c r="A134" s="424" t="s">
        <v>96</v>
      </c>
      <c r="B134" s="947">
        <f>'7.4.2 Selling &amp; Oper. expenses'!E54*'7.4.2 Selling &amp; Oper. expenses'!E85</f>
        <v>1650.0000000000002</v>
      </c>
      <c r="C134" s="949">
        <f>'7.4.2 Selling &amp; Oper. expenses'!E54*'7.4.2 Selling &amp; Oper. expenses'!F85</f>
        <v>0</v>
      </c>
      <c r="D134" s="949">
        <f>'7.4.2 Selling &amp; Oper. expenses'!E54*'7.4.2 Selling &amp; Oper. expenses'!G85</f>
        <v>0</v>
      </c>
      <c r="E134" s="949">
        <f>'7.4.2 Selling &amp; Oper. expenses'!E54*'7.4.2 Selling &amp; Oper. expenses'!H85</f>
        <v>660.00000000000011</v>
      </c>
      <c r="F134" s="949">
        <f>'7.4.2 Selling &amp; Oper. expenses'!E54*'7.4.2 Selling &amp; Oper. expenses'!I85</f>
        <v>660.00000000000011</v>
      </c>
      <c r="G134" s="964">
        <f>'7.4.2 Selling &amp; Oper. expenses'!E54*'7.4.2 Selling &amp; Oper. expenses'!J85</f>
        <v>330.00000000000006</v>
      </c>
      <c r="H134" s="947">
        <f>SUM(B134:G134)</f>
        <v>3300.0000000000005</v>
      </c>
      <c r="I134" s="964">
        <f>SUM(B134:G134)</f>
        <v>3300.0000000000005</v>
      </c>
    </row>
    <row r="135" spans="1:9" x14ac:dyDescent="0.35">
      <c r="A135" s="435" t="s">
        <v>655</v>
      </c>
      <c r="B135" s="965">
        <f>SUM(B117:B134)</f>
        <v>169641.80000000002</v>
      </c>
      <c r="C135" s="966">
        <f t="shared" ref="C135:I135" si="14">SUM(C117:C134)</f>
        <v>0</v>
      </c>
      <c r="D135" s="966">
        <f t="shared" si="14"/>
        <v>0</v>
      </c>
      <c r="E135" s="966">
        <f>SUM(E117:E134)</f>
        <v>55673.9</v>
      </c>
      <c r="F135" s="966">
        <f t="shared" si="14"/>
        <v>100141.6</v>
      </c>
      <c r="G135" s="967">
        <f t="shared" si="14"/>
        <v>9718.7000000000007</v>
      </c>
      <c r="H135" s="965">
        <f t="shared" si="14"/>
        <v>335176</v>
      </c>
      <c r="I135" s="954">
        <f t="shared" si="14"/>
        <v>335176</v>
      </c>
    </row>
    <row r="136" spans="1:9" x14ac:dyDescent="0.35">
      <c r="A136" s="435"/>
      <c r="B136" s="951"/>
      <c r="C136" s="952"/>
      <c r="D136" s="952"/>
      <c r="E136" s="952"/>
      <c r="F136" s="952"/>
      <c r="G136" s="953"/>
      <c r="H136" s="951"/>
      <c r="I136" s="953"/>
    </row>
    <row r="137" spans="1:9" x14ac:dyDescent="0.35">
      <c r="A137" s="435" t="s">
        <v>656</v>
      </c>
      <c r="B137" s="951">
        <f>'7.4.3 Inv. &amp; Depr.'!F126</f>
        <v>0</v>
      </c>
      <c r="C137" s="952">
        <f>'7.4.3 Inv. &amp; Depr.'!F127</f>
        <v>0</v>
      </c>
      <c r="D137" s="952">
        <f>'7.4.3 Inv. &amp; Depr.'!F128</f>
        <v>0</v>
      </c>
      <c r="E137" s="952">
        <f>'7.4.3 Inv. &amp; Depr.'!F129</f>
        <v>0</v>
      </c>
      <c r="F137" s="952">
        <v>0</v>
      </c>
      <c r="G137" s="953">
        <f>'7.4.3 Inv. &amp; Depr.'!F121+'7.4.3 Inv. &amp; Depr.'!F130</f>
        <v>114486.00000000001</v>
      </c>
      <c r="H137" s="951">
        <f>SUM(B137:G137)</f>
        <v>114486.00000000001</v>
      </c>
      <c r="I137" s="969">
        <f>SUM(B137:G137)</f>
        <v>114486.00000000001</v>
      </c>
    </row>
    <row r="138" spans="1:9" x14ac:dyDescent="0.35">
      <c r="A138" s="435"/>
      <c r="B138" s="951"/>
      <c r="C138" s="952"/>
      <c r="D138" s="952"/>
      <c r="E138" s="952"/>
      <c r="F138" s="952"/>
      <c r="G138" s="953"/>
      <c r="H138" s="951"/>
      <c r="I138" s="953"/>
    </row>
    <row r="139" spans="1:9" x14ac:dyDescent="0.35">
      <c r="A139" s="769"/>
      <c r="B139" s="936"/>
      <c r="C139" s="937"/>
      <c r="D139" s="937"/>
      <c r="E139" s="937"/>
      <c r="F139" s="937"/>
      <c r="G139" s="971"/>
      <c r="H139" s="972"/>
      <c r="I139" s="938"/>
    </row>
    <row r="140" spans="1:9" x14ac:dyDescent="0.35">
      <c r="A140" s="435" t="s">
        <v>218</v>
      </c>
      <c r="B140" s="951">
        <f t="shared" ref="B140:I140" si="15">B109-B112-B114-B137-B135</f>
        <v>278619.30775006197</v>
      </c>
      <c r="C140" s="952">
        <f t="shared" si="15"/>
        <v>0</v>
      </c>
      <c r="D140" s="952">
        <f t="shared" si="15"/>
        <v>0</v>
      </c>
      <c r="E140" s="952">
        <f t="shared" ca="1" si="15"/>
        <v>14492.799331053429</v>
      </c>
      <c r="F140" s="952">
        <f t="shared" si="15"/>
        <v>-84468.842860198754</v>
      </c>
      <c r="G140" s="953">
        <f t="shared" si="15"/>
        <v>-174576.33460000003</v>
      </c>
      <c r="H140" s="951">
        <f t="shared" ca="1" si="15"/>
        <v>34066.929620917072</v>
      </c>
      <c r="I140" s="954">
        <f t="shared" ca="1" si="15"/>
        <v>34066.929620917072</v>
      </c>
    </row>
    <row r="141" spans="1:9" ht="15" thickBot="1" x14ac:dyDescent="0.4">
      <c r="A141" s="770"/>
      <c r="B141" s="973"/>
      <c r="C141" s="974"/>
      <c r="D141" s="974"/>
      <c r="E141" s="974"/>
      <c r="F141" s="974"/>
      <c r="G141" s="975"/>
      <c r="H141" s="973"/>
      <c r="I141" s="975"/>
    </row>
    <row r="142" spans="1:9" x14ac:dyDescent="0.35">
      <c r="A142" s="435"/>
      <c r="B142" s="951"/>
      <c r="C142" s="952"/>
      <c r="D142" s="952"/>
      <c r="E142" s="952"/>
      <c r="F142" s="952"/>
      <c r="G142" s="953"/>
      <c r="H142" s="951"/>
      <c r="I142" s="953"/>
    </row>
    <row r="143" spans="1:9" s="255" customFormat="1" x14ac:dyDescent="0.35">
      <c r="A143" s="424" t="s">
        <v>215</v>
      </c>
      <c r="B143" s="944">
        <v>0</v>
      </c>
      <c r="C143" s="945">
        <v>0</v>
      </c>
      <c r="D143" s="945">
        <v>0</v>
      </c>
      <c r="E143" s="945">
        <v>0</v>
      </c>
      <c r="F143" s="945">
        <v>0</v>
      </c>
      <c r="G143" s="963">
        <f ca="1">-'7.5.2 Fin. Income &amp; Expenses '!G70</f>
        <v>-8531.0077993280374</v>
      </c>
      <c r="H143" s="944">
        <f ca="1">SUM(B143:G143)</f>
        <v>-8531.0077993280374</v>
      </c>
      <c r="I143" s="963">
        <f ca="1">SUM(B143:G143)</f>
        <v>-8531.0077993280374</v>
      </c>
    </row>
    <row r="144" spans="1:9" s="255" customFormat="1" x14ac:dyDescent="0.35">
      <c r="A144" s="424" t="s">
        <v>216</v>
      </c>
      <c r="B144" s="944">
        <v>0</v>
      </c>
      <c r="C144" s="945">
        <v>0</v>
      </c>
      <c r="D144" s="945">
        <v>0</v>
      </c>
      <c r="E144" s="945">
        <v>0</v>
      </c>
      <c r="F144" s="945">
        <v>0</v>
      </c>
      <c r="G144" s="963">
        <f>-'7.5.2 Fin. Income &amp; Expenses '!G71</f>
        <v>-24750</v>
      </c>
      <c r="H144" s="944">
        <f>SUM(B144:G144)</f>
        <v>-24750</v>
      </c>
      <c r="I144" s="963">
        <f>SUM(B144:G144)</f>
        <v>-24750</v>
      </c>
    </row>
    <row r="145" spans="1:9" x14ac:dyDescent="0.35">
      <c r="A145" s="424" t="s">
        <v>564</v>
      </c>
      <c r="B145" s="944">
        <v>0</v>
      </c>
      <c r="C145" s="945">
        <v>0</v>
      </c>
      <c r="D145" s="945">
        <v>0</v>
      </c>
      <c r="E145" s="945">
        <v>0</v>
      </c>
      <c r="F145" s="945">
        <v>0</v>
      </c>
      <c r="G145" s="963">
        <f>-'7.5.2 Fin. Income &amp; Expenses '!G72</f>
        <v>0</v>
      </c>
      <c r="H145" s="944">
        <f>SUM(B145:G145)</f>
        <v>0</v>
      </c>
      <c r="I145" s="963">
        <f>SUM(B145:G145)</f>
        <v>0</v>
      </c>
    </row>
    <row r="146" spans="1:9" x14ac:dyDescent="0.35">
      <c r="A146" s="424" t="s">
        <v>357</v>
      </c>
      <c r="B146" s="947">
        <f>'7.5.1 Financial Requirements'!F38*'7.5.2 Fin. Income &amp; Expenses '!G52*'7.5.2 Fin. Income &amp; Expenses '!C73</f>
        <v>34148.548291666666</v>
      </c>
      <c r="C146" s="949">
        <f>(('7.2.1 Turnover Vehicles'!E53+'7.2.1 Turnover Vehicles'!E54)/2)*'7.5.2 Fin. Income &amp; Expenses '!G53*'7.5.2 Fin. Income &amp; Expenses '!C73</f>
        <v>0</v>
      </c>
      <c r="D146" s="949">
        <f>'7.5.1 Financial Requirements'!F39*'7.5.2 Fin. Income &amp; Expenses '!G54*'7.5.2 Fin. Income &amp; Expenses '!C73</f>
        <v>0</v>
      </c>
      <c r="E146" s="949">
        <v>0</v>
      </c>
      <c r="F146" s="949">
        <v>0</v>
      </c>
      <c r="G146" s="963">
        <v>0</v>
      </c>
      <c r="H146" s="947">
        <f>SUM(B146:G146)</f>
        <v>34148.548291666666</v>
      </c>
      <c r="I146" s="959">
        <f>B146+C146+D146+F146+E146+G146</f>
        <v>34148.548291666666</v>
      </c>
    </row>
    <row r="147" spans="1:9" x14ac:dyDescent="0.35">
      <c r="A147" s="771" t="s">
        <v>816</v>
      </c>
      <c r="B147" s="965">
        <f t="shared" ref="B147:I147" si="16">SUM(B143:B146)</f>
        <v>34148.548291666666</v>
      </c>
      <c r="C147" s="966">
        <f t="shared" si="16"/>
        <v>0</v>
      </c>
      <c r="D147" s="966">
        <f t="shared" si="16"/>
        <v>0</v>
      </c>
      <c r="E147" s="966">
        <f t="shared" si="16"/>
        <v>0</v>
      </c>
      <c r="F147" s="966">
        <f t="shared" si="16"/>
        <v>0</v>
      </c>
      <c r="G147" s="967">
        <f t="shared" ca="1" si="16"/>
        <v>-33281.007799328036</v>
      </c>
      <c r="H147" s="965">
        <f t="shared" ca="1" si="16"/>
        <v>867.54049233863043</v>
      </c>
      <c r="I147" s="1635">
        <f t="shared" ca="1" si="16"/>
        <v>867.54049233863043</v>
      </c>
    </row>
    <row r="148" spans="1:9" x14ac:dyDescent="0.35">
      <c r="A148" s="435"/>
      <c r="B148" s="951"/>
      <c r="C148" s="969"/>
      <c r="D148" s="969"/>
      <c r="E148" s="969"/>
      <c r="F148" s="969"/>
      <c r="G148" s="953"/>
      <c r="H148" s="951"/>
      <c r="I148" s="954"/>
    </row>
    <row r="149" spans="1:9" x14ac:dyDescent="0.35">
      <c r="A149" s="780" t="s">
        <v>660</v>
      </c>
      <c r="B149" s="951">
        <v>0</v>
      </c>
      <c r="C149" s="969">
        <v>0</v>
      </c>
      <c r="D149" s="969">
        <v>0</v>
      </c>
      <c r="E149" s="952">
        <v>0</v>
      </c>
      <c r="F149" s="952">
        <v>0</v>
      </c>
      <c r="G149" s="969">
        <f ca="1">'7.5.2 Fin. Income &amp; Expenses '!G86</f>
        <v>0</v>
      </c>
      <c r="H149" s="951"/>
      <c r="I149" s="954"/>
    </row>
    <row r="150" spans="1:9" x14ac:dyDescent="0.35">
      <c r="A150" s="424"/>
      <c r="B150" s="944"/>
      <c r="C150" s="945"/>
      <c r="D150" s="945"/>
      <c r="E150" s="945"/>
      <c r="F150" s="945"/>
      <c r="G150" s="963"/>
      <c r="H150" s="944"/>
      <c r="I150" s="963"/>
    </row>
    <row r="151" spans="1:9" x14ac:dyDescent="0.35">
      <c r="A151" s="769"/>
      <c r="B151" s="972"/>
      <c r="C151" s="976"/>
      <c r="D151" s="976"/>
      <c r="E151" s="976"/>
      <c r="F151" s="976"/>
      <c r="G151" s="971"/>
      <c r="H151" s="972"/>
      <c r="I151" s="977"/>
    </row>
    <row r="152" spans="1:9" x14ac:dyDescent="0.35">
      <c r="A152" s="435" t="s">
        <v>661</v>
      </c>
      <c r="B152" s="951">
        <f t="shared" ref="B152:I152" si="17">B140+B149+B147</f>
        <v>312767.85604172864</v>
      </c>
      <c r="C152" s="952">
        <f t="shared" si="17"/>
        <v>0</v>
      </c>
      <c r="D152" s="952">
        <f t="shared" si="17"/>
        <v>0</v>
      </c>
      <c r="E152" s="952">
        <f t="shared" ca="1" si="17"/>
        <v>14492.799331053429</v>
      </c>
      <c r="F152" s="952">
        <f t="shared" si="17"/>
        <v>-84468.842860198754</v>
      </c>
      <c r="G152" s="953">
        <f t="shared" ca="1" si="17"/>
        <v>-207857.34239932807</v>
      </c>
      <c r="H152" s="951">
        <f t="shared" ca="1" si="17"/>
        <v>34934.470113255702</v>
      </c>
      <c r="I152" s="953">
        <f t="shared" ca="1" si="17"/>
        <v>34934.470113255702</v>
      </c>
    </row>
    <row r="153" spans="1:9" x14ac:dyDescent="0.35">
      <c r="A153" s="768"/>
      <c r="B153" s="962"/>
      <c r="C153" s="978"/>
      <c r="D153" s="978"/>
      <c r="E153" s="978"/>
      <c r="F153" s="978"/>
      <c r="G153" s="957"/>
      <c r="H153" s="955"/>
      <c r="I153" s="961"/>
    </row>
    <row r="154" spans="1:9" x14ac:dyDescent="0.35">
      <c r="A154" s="184"/>
      <c r="B154" s="734"/>
      <c r="C154" s="734"/>
      <c r="D154" s="734"/>
      <c r="E154" s="734"/>
      <c r="F154" s="734"/>
      <c r="G154" s="734"/>
      <c r="H154" s="734"/>
      <c r="I154" s="734"/>
    </row>
    <row r="155" spans="1:9" ht="28.8" x14ac:dyDescent="0.55000000000000004">
      <c r="A155" s="200" t="s">
        <v>1173</v>
      </c>
      <c r="B155" s="201"/>
      <c r="C155" s="201"/>
      <c r="D155" s="201"/>
      <c r="E155" s="201"/>
      <c r="F155" s="201"/>
      <c r="G155" s="201"/>
      <c r="H155" s="201"/>
      <c r="I155" s="819" t="str">
        <f>I1</f>
        <v>7.6.1 Activity Contribution</v>
      </c>
    </row>
    <row r="156" spans="1:9" x14ac:dyDescent="0.35">
      <c r="A156" s="424"/>
      <c r="B156" s="275"/>
      <c r="C156" s="758"/>
      <c r="D156" s="275"/>
      <c r="E156" s="275"/>
      <c r="F156" s="275"/>
      <c r="G156" s="275"/>
      <c r="H156" s="275"/>
      <c r="I156" s="767"/>
    </row>
    <row r="157" spans="1:9" ht="16.2" x14ac:dyDescent="0.35">
      <c r="A157" s="773" t="s">
        <v>1035</v>
      </c>
      <c r="B157" s="774" t="str">
        <f>'Reference sheet'!$C$12</f>
        <v>TRUCK INTERNATIONAL MOBILITY SA</v>
      </c>
      <c r="D157" s="283" t="s">
        <v>1036</v>
      </c>
      <c r="E157" s="283" t="s">
        <v>1037</v>
      </c>
      <c r="F157" s="282">
        <f>'Reference sheet'!$C$15</f>
        <v>2</v>
      </c>
      <c r="G157" s="243" t="str">
        <f>'Reference sheet'!C$17</f>
        <v>October</v>
      </c>
      <c r="H157" s="982">
        <f>'Reference sheet'!D$17</f>
        <v>2018</v>
      </c>
      <c r="I157" s="775" t="str">
        <f>'Reference sheet'!$C$21</f>
        <v>EUR</v>
      </c>
    </row>
    <row r="158" spans="1:9" x14ac:dyDescent="0.35">
      <c r="A158" s="770"/>
      <c r="B158" s="761"/>
      <c r="C158" s="733"/>
      <c r="D158" s="733"/>
      <c r="E158" s="733"/>
      <c r="F158" s="733"/>
      <c r="G158" s="733"/>
      <c r="H158" s="733"/>
      <c r="I158" s="776"/>
    </row>
    <row r="159" spans="1:9" ht="22.8" thickBot="1" x14ac:dyDescent="0.5">
      <c r="A159" s="777" t="s">
        <v>195</v>
      </c>
      <c r="B159" s="757">
        <f>'7.5.2 Fin. Income &amp; Expenses '!I6</f>
        <v>2021</v>
      </c>
      <c r="C159" s="764"/>
      <c r="D159" s="757"/>
      <c r="E159" s="756"/>
      <c r="F159" s="756"/>
      <c r="G159" s="756"/>
      <c r="H159" s="756"/>
      <c r="I159" s="778"/>
    </row>
    <row r="160" spans="1:9" ht="18" x14ac:dyDescent="0.35">
      <c r="A160" s="779"/>
      <c r="B160" s="932" t="s">
        <v>196</v>
      </c>
      <c r="C160" s="933" t="s">
        <v>42</v>
      </c>
      <c r="D160" s="933" t="s">
        <v>43</v>
      </c>
      <c r="E160" s="933" t="str">
        <f>E6</f>
        <v>Parts</v>
      </c>
      <c r="F160" s="933" t="str">
        <f>F6</f>
        <v>Service</v>
      </c>
      <c r="G160" s="934" t="s">
        <v>197</v>
      </c>
      <c r="H160" s="932" t="s">
        <v>198</v>
      </c>
      <c r="I160" s="935" t="s">
        <v>199</v>
      </c>
    </row>
    <row r="161" spans="1:9" x14ac:dyDescent="0.35">
      <c r="A161" s="769"/>
      <c r="B161" s="936"/>
      <c r="C161" s="937"/>
      <c r="D161" s="937"/>
      <c r="E161" s="937"/>
      <c r="F161" s="937"/>
      <c r="G161" s="938"/>
      <c r="H161" s="936"/>
      <c r="I161" s="939"/>
    </row>
    <row r="162" spans="1:9" s="209" customFormat="1" ht="22.2" x14ac:dyDescent="0.45">
      <c r="A162" s="435" t="s">
        <v>200</v>
      </c>
      <c r="B162" s="940"/>
      <c r="C162" s="941"/>
      <c r="D162" s="941"/>
      <c r="E162" s="941"/>
      <c r="F162" s="941"/>
      <c r="G162" s="942"/>
      <c r="H162" s="940"/>
      <c r="I162" s="943"/>
    </row>
    <row r="163" spans="1:9" x14ac:dyDescent="0.35">
      <c r="A163" s="424" t="s">
        <v>201</v>
      </c>
      <c r="B163" s="944"/>
      <c r="C163" s="941"/>
      <c r="D163" s="941"/>
      <c r="E163" s="941"/>
      <c r="F163" s="941"/>
      <c r="G163" s="942"/>
      <c r="H163" s="940"/>
      <c r="I163" s="943"/>
    </row>
    <row r="164" spans="1:9" x14ac:dyDescent="0.35">
      <c r="A164" s="424" t="s">
        <v>202</v>
      </c>
      <c r="B164" s="944">
        <f>'7.2.1 Turnover Vehicles'!G36</f>
        <v>7998064.5</v>
      </c>
      <c r="C164" s="941">
        <v>0</v>
      </c>
      <c r="D164" s="941">
        <v>0</v>
      </c>
      <c r="E164" s="945">
        <f ca="1">'7.2.2 Turnover Parts'!G17-'7.2.2 Turnover Parts'!G26</f>
        <v>459598.00179504091</v>
      </c>
      <c r="F164" s="945">
        <f>'7.2.3 Turnover Service &amp; Body'!G38</f>
        <v>55282.035684660354</v>
      </c>
      <c r="G164" s="942">
        <v>0</v>
      </c>
      <c r="H164" s="944">
        <f t="shared" ref="H164:H169" ca="1" si="18">SUM(B164:F164)</f>
        <v>8512944.5374797005</v>
      </c>
      <c r="I164" s="946">
        <f ca="1">SUM(B164:F164)</f>
        <v>8512944.5374797005</v>
      </c>
    </row>
    <row r="165" spans="1:9" x14ac:dyDescent="0.35">
      <c r="A165" s="424" t="s">
        <v>203</v>
      </c>
      <c r="B165" s="940">
        <v>0</v>
      </c>
      <c r="C165" s="945">
        <f>'7.2.1 Turnover Vehicles'!G48</f>
        <v>0</v>
      </c>
      <c r="D165" s="945">
        <f>'7.2.1 Turnover Vehicles'!G72</f>
        <v>0</v>
      </c>
      <c r="E165" s="945">
        <f>'7.2.2 Turnover Parts'!G18-'7.2.2 Turnover Parts'!G27</f>
        <v>150000</v>
      </c>
      <c r="F165" s="945">
        <f>'7.2.3 Turnover Service &amp; Body'!G41</f>
        <v>13483.200000000003</v>
      </c>
      <c r="G165" s="942">
        <v>0</v>
      </c>
      <c r="H165" s="944">
        <f t="shared" si="18"/>
        <v>163483.20000000001</v>
      </c>
      <c r="I165" s="946">
        <f>SUM(B165:F165)</f>
        <v>163483.20000000001</v>
      </c>
    </row>
    <row r="166" spans="1:9" x14ac:dyDescent="0.35">
      <c r="A166" s="424" t="s">
        <v>204</v>
      </c>
      <c r="B166" s="940">
        <v>0</v>
      </c>
      <c r="C166" s="945">
        <v>0</v>
      </c>
      <c r="D166" s="945">
        <v>0</v>
      </c>
      <c r="E166" s="945">
        <f>'7.2.2 Turnover Parts'!G19</f>
        <v>18200</v>
      </c>
      <c r="F166" s="945">
        <v>0</v>
      </c>
      <c r="G166" s="942">
        <v>0</v>
      </c>
      <c r="H166" s="944">
        <f t="shared" si="18"/>
        <v>18200</v>
      </c>
      <c r="I166" s="946">
        <f>SUM(B166:F166)</f>
        <v>18200</v>
      </c>
    </row>
    <row r="167" spans="1:9" x14ac:dyDescent="0.35">
      <c r="A167" s="424" t="s">
        <v>205</v>
      </c>
      <c r="B167" s="944">
        <v>0</v>
      </c>
      <c r="C167" s="941">
        <v>0</v>
      </c>
      <c r="D167" s="941">
        <v>0</v>
      </c>
      <c r="E167" s="945">
        <f>'7.2.2 Turnover Parts'!G20</f>
        <v>54853.585549342119</v>
      </c>
      <c r="F167" s="945">
        <v>0</v>
      </c>
      <c r="G167" s="942">
        <v>0</v>
      </c>
      <c r="H167" s="944">
        <f t="shared" si="18"/>
        <v>54853.585549342119</v>
      </c>
      <c r="I167" s="946">
        <f>SUM(B167:F167)</f>
        <v>54853.585549342119</v>
      </c>
    </row>
    <row r="168" spans="1:9" x14ac:dyDescent="0.35">
      <c r="A168" s="424" t="s">
        <v>53</v>
      </c>
      <c r="B168" s="944">
        <v>0</v>
      </c>
      <c r="C168" s="941">
        <v>0</v>
      </c>
      <c r="D168" s="941">
        <v>0</v>
      </c>
      <c r="E168" s="945">
        <v>0</v>
      </c>
      <c r="F168" s="945">
        <f>'7.2.3 Turnover Service &amp; Body'!G52</f>
        <v>8000</v>
      </c>
      <c r="G168" s="942">
        <v>0</v>
      </c>
      <c r="H168" s="944">
        <f t="shared" si="18"/>
        <v>8000</v>
      </c>
      <c r="I168" s="946">
        <f>SUM(B168:F168)</f>
        <v>8000</v>
      </c>
    </row>
    <row r="169" spans="1:9" x14ac:dyDescent="0.35">
      <c r="A169" s="424" t="s">
        <v>206</v>
      </c>
      <c r="B169" s="947">
        <v>0</v>
      </c>
      <c r="C169" s="948">
        <v>0</v>
      </c>
      <c r="D169" s="948">
        <v>0</v>
      </c>
      <c r="E169" s="949">
        <f>'7.2.2 Turnover Parts'!G28</f>
        <v>500</v>
      </c>
      <c r="F169" s="949">
        <f>'7.2.3 Turnover Service &amp; Body'!G39+'7.2.3 Turnover Service &amp; Body'!G40</f>
        <v>0</v>
      </c>
      <c r="G169" s="950">
        <v>0</v>
      </c>
      <c r="H169" s="947">
        <f t="shared" si="18"/>
        <v>500</v>
      </c>
      <c r="I169" s="964">
        <v>0</v>
      </c>
    </row>
    <row r="170" spans="1:9" x14ac:dyDescent="0.35">
      <c r="A170" s="435" t="s">
        <v>207</v>
      </c>
      <c r="B170" s="951">
        <f>SUM(B164:B169)</f>
        <v>7998064.5</v>
      </c>
      <c r="C170" s="952">
        <f>SUM(C165:C169)</f>
        <v>0</v>
      </c>
      <c r="D170" s="952">
        <f>SUM(D164:D169)</f>
        <v>0</v>
      </c>
      <c r="E170" s="952">
        <f ca="1">SUM(E164:E169)</f>
        <v>683151.58734438301</v>
      </c>
      <c r="F170" s="952">
        <f>SUM(F164:F169)</f>
        <v>76765.235684660351</v>
      </c>
      <c r="G170" s="953">
        <v>0</v>
      </c>
      <c r="H170" s="951">
        <f ca="1">SUM(H164:H169)</f>
        <v>8757981.3230290413</v>
      </c>
      <c r="I170" s="954">
        <f ca="1">SUM(I164:I169)</f>
        <v>8757481.3230290413</v>
      </c>
    </row>
    <row r="171" spans="1:9" x14ac:dyDescent="0.35">
      <c r="A171" s="768"/>
      <c r="B171" s="955"/>
      <c r="C171" s="956"/>
      <c r="D171" s="956"/>
      <c r="E171" s="956"/>
      <c r="F171" s="956"/>
      <c r="G171" s="957"/>
      <c r="H171" s="955"/>
      <c r="I171" s="958"/>
    </row>
    <row r="172" spans="1:9" x14ac:dyDescent="0.35">
      <c r="A172" s="769"/>
      <c r="B172" s="936"/>
      <c r="C172" s="937"/>
      <c r="D172" s="937"/>
      <c r="E172" s="937"/>
      <c r="F172" s="937"/>
      <c r="G172" s="938"/>
      <c r="H172" s="936"/>
      <c r="I172" s="939"/>
    </row>
    <row r="173" spans="1:9" x14ac:dyDescent="0.35">
      <c r="A173" s="435" t="s">
        <v>208</v>
      </c>
      <c r="B173" s="940"/>
      <c r="C173" s="941"/>
      <c r="D173" s="941"/>
      <c r="E173" s="941"/>
      <c r="F173" s="941"/>
      <c r="G173" s="942"/>
      <c r="H173" s="940"/>
      <c r="I173" s="943"/>
    </row>
    <row r="174" spans="1:9" x14ac:dyDescent="0.35">
      <c r="A174" s="424" t="s">
        <v>201</v>
      </c>
      <c r="B174" s="940"/>
      <c r="C174" s="941"/>
      <c r="D174" s="941"/>
      <c r="E174" s="941"/>
      <c r="F174" s="941"/>
      <c r="G174" s="942"/>
      <c r="H174" s="940"/>
      <c r="I174" s="943"/>
    </row>
    <row r="175" spans="1:9" x14ac:dyDescent="0.35">
      <c r="A175" s="424" t="s">
        <v>202</v>
      </c>
      <c r="B175" s="944">
        <f>'7.3 Cost of sales'!G58+'7.3 Cost of sales'!G59</f>
        <v>7014576.1150000002</v>
      </c>
      <c r="C175" s="941">
        <v>0</v>
      </c>
      <c r="D175" s="941">
        <v>0</v>
      </c>
      <c r="E175" s="945">
        <f ca="1">'7.3 Cost of sales'!G76+'7.3 Cost of sales'!G78+'7.3 Cost of sales'!G80+'7.3 Cost of sales'!G81</f>
        <v>310591.15121165261</v>
      </c>
      <c r="F175" s="941">
        <v>0</v>
      </c>
      <c r="G175" s="942">
        <v>0</v>
      </c>
      <c r="H175" s="944">
        <f t="shared" ref="H175:H182" ca="1" si="19">SUM(B175:F175)</f>
        <v>7325167.2662116531</v>
      </c>
      <c r="I175" s="946">
        <f t="shared" ref="I175:I181" ca="1" si="20">SUM(B175:F175)</f>
        <v>7325167.2662116531</v>
      </c>
    </row>
    <row r="176" spans="1:9" x14ac:dyDescent="0.35">
      <c r="A176" s="424" t="s">
        <v>203</v>
      </c>
      <c r="B176" s="940">
        <v>0</v>
      </c>
      <c r="C176" s="945">
        <f>'7.3 Cost of sales'!G60</f>
        <v>0</v>
      </c>
      <c r="D176" s="945">
        <f>'7.3 Cost of sales'!G61</f>
        <v>0</v>
      </c>
      <c r="E176" s="945">
        <f>'7.3 Cost of sales'!G77+'7.3 Cost of sales'!G79+'7.3 Cost of sales'!G82</f>
        <v>145500</v>
      </c>
      <c r="F176" s="941">
        <v>0</v>
      </c>
      <c r="G176" s="942">
        <v>0</v>
      </c>
      <c r="H176" s="944">
        <f t="shared" si="19"/>
        <v>145500</v>
      </c>
      <c r="I176" s="946">
        <f t="shared" si="20"/>
        <v>145500</v>
      </c>
    </row>
    <row r="177" spans="1:9" x14ac:dyDescent="0.35">
      <c r="A177" s="424" t="s">
        <v>204</v>
      </c>
      <c r="B177" s="940">
        <v>0</v>
      </c>
      <c r="C177" s="945">
        <v>0</v>
      </c>
      <c r="D177" s="945">
        <v>0</v>
      </c>
      <c r="E177" s="945">
        <f>'7.3 Cost of sales'!G83</f>
        <v>14560</v>
      </c>
      <c r="F177" s="941">
        <v>0</v>
      </c>
      <c r="G177" s="942">
        <v>0</v>
      </c>
      <c r="H177" s="944">
        <f t="shared" si="19"/>
        <v>14560</v>
      </c>
      <c r="I177" s="946">
        <f t="shared" si="20"/>
        <v>14560</v>
      </c>
    </row>
    <row r="178" spans="1:9" x14ac:dyDescent="0.35">
      <c r="A178" s="424" t="s">
        <v>205</v>
      </c>
      <c r="B178" s="940">
        <v>0</v>
      </c>
      <c r="C178" s="941">
        <v>0</v>
      </c>
      <c r="D178" s="941">
        <v>0</v>
      </c>
      <c r="E178" s="945">
        <f>'7.3 Cost of sales'!G84</f>
        <v>32912.151329605273</v>
      </c>
      <c r="F178" s="941">
        <v>0</v>
      </c>
      <c r="G178" s="942">
        <v>0</v>
      </c>
      <c r="H178" s="944">
        <f t="shared" si="19"/>
        <v>32912.151329605273</v>
      </c>
      <c r="I178" s="946">
        <f t="shared" si="20"/>
        <v>32912.151329605273</v>
      </c>
    </row>
    <row r="179" spans="1:9" x14ac:dyDescent="0.35">
      <c r="A179" s="424" t="s">
        <v>209</v>
      </c>
      <c r="B179" s="940">
        <v>0</v>
      </c>
      <c r="C179" s="945">
        <v>0</v>
      </c>
      <c r="D179" s="945">
        <v>0</v>
      </c>
      <c r="E179" s="945">
        <v>0</v>
      </c>
      <c r="F179" s="945">
        <f>'7.4.1 Salaries &amp; Wages'!G105+'7.4.1 Salaries &amp; Wages'!G114</f>
        <v>16569.622458000002</v>
      </c>
      <c r="G179" s="942">
        <v>0</v>
      </c>
      <c r="H179" s="944">
        <f t="shared" si="19"/>
        <v>16569.622458000002</v>
      </c>
      <c r="I179" s="946">
        <f t="shared" si="20"/>
        <v>16569.622458000002</v>
      </c>
    </row>
    <row r="180" spans="1:9" x14ac:dyDescent="0.35">
      <c r="A180" s="424" t="s">
        <v>210</v>
      </c>
      <c r="B180" s="944">
        <f>-'7.3 Cost of sales'!G67</f>
        <v>0</v>
      </c>
      <c r="C180" s="941">
        <v>0</v>
      </c>
      <c r="D180" s="945">
        <f>-'7.3 Cost of sales'!G68</f>
        <v>0</v>
      </c>
      <c r="E180" s="945">
        <f ca="1">-'7.3 Cost of sales'!G93</f>
        <v>0</v>
      </c>
      <c r="F180" s="941">
        <v>0</v>
      </c>
      <c r="G180" s="942">
        <v>0</v>
      </c>
      <c r="H180" s="944">
        <f t="shared" ca="1" si="19"/>
        <v>0</v>
      </c>
      <c r="I180" s="946">
        <f t="shared" ca="1" si="20"/>
        <v>0</v>
      </c>
    </row>
    <row r="181" spans="1:9" x14ac:dyDescent="0.35">
      <c r="A181" s="424" t="s">
        <v>53</v>
      </c>
      <c r="B181" s="944">
        <v>0</v>
      </c>
      <c r="C181" s="941">
        <v>0</v>
      </c>
      <c r="D181" s="945">
        <v>0</v>
      </c>
      <c r="E181" s="945">
        <v>0</v>
      </c>
      <c r="F181" s="945">
        <f>'7.3 Cost of sales'!G102</f>
        <v>6000</v>
      </c>
      <c r="G181" s="942">
        <v>0</v>
      </c>
      <c r="H181" s="944">
        <f t="shared" si="19"/>
        <v>6000</v>
      </c>
      <c r="I181" s="946">
        <f t="shared" si="20"/>
        <v>6000</v>
      </c>
    </row>
    <row r="182" spans="1:9" x14ac:dyDescent="0.35">
      <c r="A182" s="424" t="s">
        <v>206</v>
      </c>
      <c r="B182" s="947">
        <f>'7.2.3 Turnover Service &amp; Body'!G39+'7.2.2 Turnover Parts'!G26</f>
        <v>500</v>
      </c>
      <c r="C182" s="949">
        <f>'7.2.3 Turnover Service &amp; Body'!G40+'7.2.2 Turnover Parts'!G27</f>
        <v>0</v>
      </c>
      <c r="D182" s="948">
        <v>0</v>
      </c>
      <c r="E182" s="948">
        <v>0</v>
      </c>
      <c r="F182" s="948">
        <v>0</v>
      </c>
      <c r="G182" s="950">
        <v>0</v>
      </c>
      <c r="H182" s="947">
        <f t="shared" si="19"/>
        <v>500</v>
      </c>
      <c r="I182" s="959">
        <v>0</v>
      </c>
    </row>
    <row r="183" spans="1:9" x14ac:dyDescent="0.35">
      <c r="A183" s="435" t="s">
        <v>211</v>
      </c>
      <c r="B183" s="951">
        <f>SUM(B175:B182)</f>
        <v>7015076.1150000002</v>
      </c>
      <c r="C183" s="952">
        <f>SUM(C175:C182)</f>
        <v>0</v>
      </c>
      <c r="D183" s="952">
        <f>SUM(D175:D182)</f>
        <v>0</v>
      </c>
      <c r="E183" s="952">
        <f ca="1">SUM(E175:E182)</f>
        <v>503563.30254125787</v>
      </c>
      <c r="F183" s="952">
        <f>SUM(F175:F182)</f>
        <v>22569.622458000002</v>
      </c>
      <c r="G183" s="960">
        <v>0</v>
      </c>
      <c r="H183" s="951">
        <f ca="1">SUM(H175:H182)</f>
        <v>7541209.0399992578</v>
      </c>
      <c r="I183" s="954">
        <f ca="1">SUM(I175:I182)</f>
        <v>7540709.0399992578</v>
      </c>
    </row>
    <row r="184" spans="1:9" x14ac:dyDescent="0.35">
      <c r="A184" s="768"/>
      <c r="B184" s="955"/>
      <c r="C184" s="956"/>
      <c r="D184" s="956"/>
      <c r="E184" s="956"/>
      <c r="F184" s="956"/>
      <c r="G184" s="961"/>
      <c r="H184" s="962"/>
      <c r="I184" s="958"/>
    </row>
    <row r="185" spans="1:9" x14ac:dyDescent="0.35">
      <c r="A185" s="769"/>
      <c r="B185" s="936"/>
      <c r="C185" s="937"/>
      <c r="D185" s="937"/>
      <c r="E185" s="937"/>
      <c r="F185" s="937"/>
      <c r="G185" s="938"/>
      <c r="H185" s="936"/>
      <c r="I185" s="939"/>
    </row>
    <row r="186" spans="1:9" x14ac:dyDescent="0.35">
      <c r="A186" s="435" t="s">
        <v>212</v>
      </c>
      <c r="B186" s="951">
        <f t="shared" ref="B186:I186" si="21">B170-B183</f>
        <v>982988.38499999978</v>
      </c>
      <c r="C186" s="952">
        <f t="shared" si="21"/>
        <v>0</v>
      </c>
      <c r="D186" s="952">
        <f t="shared" si="21"/>
        <v>0</v>
      </c>
      <c r="E186" s="952">
        <f ca="1">E170-E183</f>
        <v>179588.28480312513</v>
      </c>
      <c r="F186" s="952">
        <f t="shared" si="21"/>
        <v>54195.613226660353</v>
      </c>
      <c r="G186" s="952">
        <f t="shared" si="21"/>
        <v>0</v>
      </c>
      <c r="H186" s="951">
        <f t="shared" ca="1" si="21"/>
        <v>1216772.2830297835</v>
      </c>
      <c r="I186" s="954">
        <f t="shared" ca="1" si="21"/>
        <v>1216772.2830297835</v>
      </c>
    </row>
    <row r="187" spans="1:9" x14ac:dyDescent="0.35">
      <c r="A187" s="768"/>
      <c r="B187" s="955"/>
      <c r="C187" s="956"/>
      <c r="D187" s="956"/>
      <c r="E187" s="956"/>
      <c r="F187" s="956"/>
      <c r="G187" s="957"/>
      <c r="H187" s="955"/>
      <c r="I187" s="958"/>
    </row>
    <row r="188" spans="1:9" x14ac:dyDescent="0.35">
      <c r="A188" s="769"/>
      <c r="B188" s="936"/>
      <c r="C188" s="937"/>
      <c r="D188" s="937"/>
      <c r="E188" s="937"/>
      <c r="F188" s="937"/>
      <c r="G188" s="938"/>
      <c r="H188" s="936"/>
      <c r="I188" s="939"/>
    </row>
    <row r="189" spans="1:9" s="255" customFormat="1" x14ac:dyDescent="0.35">
      <c r="A189" s="435" t="s">
        <v>652</v>
      </c>
      <c r="B189" s="951">
        <f>'7.2.1 Turnover Vehicles'!$G$84*'7.4.1 Salaries &amp; Wages'!$G$77*(1+'7.4.1 Salaries &amp; Wages'!$B$78)+('7.4.2 Selling &amp; Oper. expenses'!G9*'7.4.2 Selling &amp; Oper. expenses'!E63)</f>
        <v>129582.8125</v>
      </c>
      <c r="C189" s="952">
        <f>'7.2.1 Turnover Vehicles'!$G$85*'7.4.1 Salaries &amp; Wages'!$G$77*(1+'7.4.1 Salaries &amp; Wages'!$B$78)+('7.4.2 Selling &amp; Oper. expenses'!G9*'7.4.2 Selling &amp; Oper. expenses'!F63)</f>
        <v>0</v>
      </c>
      <c r="D189" s="952">
        <f>'7.2.1 Turnover Vehicles'!$G$86*'7.4.1 Salaries &amp; Wages'!$G$77*(1+'7.4.1 Salaries &amp; Wages'!$B$78)+('7.4.2 Selling &amp; Oper. expenses'!G9*'7.4.2 Selling &amp; Oper. expenses'!G63)</f>
        <v>0</v>
      </c>
      <c r="E189" s="952">
        <f>'7.4.2 Selling &amp; Oper. expenses'!G9*'7.4.2 Selling &amp; Oper. expenses'!I63</f>
        <v>0</v>
      </c>
      <c r="F189" s="952">
        <f>'7.4.2 Selling &amp; Oper. expenses'!H63*'7.4.2 Selling &amp; Oper. expenses'!G9</f>
        <v>0</v>
      </c>
      <c r="G189" s="953">
        <f>'7.4.2 Selling &amp; Oper. expenses'!G9*'7.4.2 Selling &amp; Oper. expenses'!J63</f>
        <v>0</v>
      </c>
      <c r="H189" s="951">
        <f>SUM(B189:G189)</f>
        <v>129582.8125</v>
      </c>
      <c r="I189" s="954">
        <f>B189+C189+D189+F189+E189+G189</f>
        <v>129582.8125</v>
      </c>
    </row>
    <row r="190" spans="1:9" x14ac:dyDescent="0.35">
      <c r="A190" s="435"/>
      <c r="B190" s="979"/>
      <c r="C190" s="952"/>
      <c r="D190" s="952"/>
      <c r="E190" s="952"/>
      <c r="F190" s="952"/>
      <c r="G190" s="953"/>
      <c r="H190" s="951"/>
      <c r="I190" s="954"/>
    </row>
    <row r="191" spans="1:9" s="255" customFormat="1" x14ac:dyDescent="0.35">
      <c r="A191" s="435" t="s">
        <v>209</v>
      </c>
      <c r="B191" s="951">
        <f>'7.2.1 Turnover Vehicles'!G84*'7.4.1 Salaries &amp; Wages'!G80+(B170/(B170+C170+D170+0.00001)*('7.4.1 Salaries &amp; Wages'!G71+'7.4.1 Salaries &amp; Wages'!G91))-'7.2.1 Turnover Vehicles'!$G$84*'7.4.1 Salaries &amp; Wages'!$G$77*(1+'7.4.1 Salaries &amp; Wages'!$B$78)</f>
        <v>52777.803806961645</v>
      </c>
      <c r="C191" s="952">
        <f>'7.2.1 Turnover Vehicles'!G85*'7.4.1 Salaries &amp; Wages'!G80+(C170/(B170+C170+D170+0.00001)*('7.4.1 Salaries &amp; Wages'!G71+'7.4.1 Salaries &amp; Wages'!G91))-'7.2.1 Turnover Vehicles'!$G$85*'7.4.1 Salaries &amp; Wages'!$G$77*(1+'7.4.1 Salaries &amp; Wages'!$B$78)</f>
        <v>0</v>
      </c>
      <c r="D191" s="952">
        <f>'7.2.1 Turnover Vehicles'!G86*'7.4.1 Salaries &amp; Wages'!G80+(D170/(B170+C170+D170+0.00001)*('7.4.1 Salaries &amp; Wages'!G71+'7.4.1 Salaries &amp; Wages'!G91))-'7.2.1 Turnover Vehicles'!$G$86*'7.4.1 Salaries &amp; Wages'!$G$77*(1+'7.4.1 Salaries &amp; Wages'!$B$78)</f>
        <v>0</v>
      </c>
      <c r="E191" s="952">
        <f>'7.4.1 Salaries &amp; Wages'!G141+'7.4.1 Salaries &amp; Wages'!G150+'7.4.1 Salaries &amp; Wages'!G159+'7.4.1 Salaries &amp; Wages'!G168</f>
        <v>56461.405620000005</v>
      </c>
      <c r="F191" s="952">
        <f>'7.4.1 Salaries &amp; Wages'!G132+'7.4.1 Salaries &amp; Wages'!G123</f>
        <v>38665.379379999998</v>
      </c>
      <c r="G191" s="953">
        <f>'7.4.1 Salaries &amp; Wages'!G35+'7.4.1 Salaries &amp; Wages'!G44+'7.4.1 Salaries &amp; Wages'!G53+'7.4.1 Salaries &amp; Wages'!G62</f>
        <v>53393.932675999997</v>
      </c>
      <c r="H191" s="951">
        <f>SUM(B191:G191)</f>
        <v>201298.52148296166</v>
      </c>
      <c r="I191" s="953">
        <f>B191+C191+D191+F191+E191+G191</f>
        <v>201298.52148296166</v>
      </c>
    </row>
    <row r="192" spans="1:9" x14ac:dyDescent="0.35">
      <c r="A192" s="424"/>
      <c r="B192" s="944"/>
      <c r="C192" s="945"/>
      <c r="D192" s="945"/>
      <c r="E192" s="945"/>
      <c r="F192" s="945"/>
      <c r="G192" s="963"/>
      <c r="H192" s="944"/>
      <c r="I192" s="963"/>
    </row>
    <row r="193" spans="1:9" x14ac:dyDescent="0.35">
      <c r="A193" s="435" t="s">
        <v>654</v>
      </c>
      <c r="B193" s="944"/>
      <c r="C193" s="945"/>
      <c r="D193" s="945"/>
      <c r="E193" s="945"/>
      <c r="F193" s="945"/>
      <c r="G193" s="963"/>
      <c r="H193" s="944"/>
      <c r="I193" s="963"/>
    </row>
    <row r="194" spans="1:9" x14ac:dyDescent="0.35">
      <c r="A194" s="424" t="s">
        <v>83</v>
      </c>
      <c r="B194" s="944">
        <f>'7.4.2 Selling &amp; Oper. expenses'!G37*'7.4.2 Selling &amp; Oper. expenses'!E68</f>
        <v>2032.1</v>
      </c>
      <c r="C194" s="945">
        <f>'7.4.2 Selling &amp; Oper. expenses'!G37*'7.4.2 Selling &amp; Oper. expenses'!F68</f>
        <v>0</v>
      </c>
      <c r="D194" s="945">
        <f>'7.4.2 Selling &amp; Oper. expenses'!G37*'7.4.2 Selling &amp; Oper. expenses'!G68</f>
        <v>0</v>
      </c>
      <c r="E194" s="945">
        <f>'7.4.2 Selling &amp; Oper. expenses'!G37*'7.4.2 Selling &amp; Oper. expenses'!H68</f>
        <v>290.3</v>
      </c>
      <c r="F194" s="945">
        <f>'7.4.2 Selling &amp; Oper. expenses'!G37*'7.4.2 Selling &amp; Oper. expenses'!I68</f>
        <v>290.3</v>
      </c>
      <c r="G194" s="963">
        <f>'7.4.2 Selling &amp; Oper. expenses'!G37*'7.4.2 Selling &amp; Oper. expenses'!J68</f>
        <v>290.3</v>
      </c>
      <c r="H194" s="944">
        <f>SUM(B194:G194)</f>
        <v>2903.0000000000005</v>
      </c>
      <c r="I194" s="963">
        <f>SUM(B194:G194)</f>
        <v>2903.0000000000005</v>
      </c>
    </row>
    <row r="195" spans="1:9" x14ac:dyDescent="0.35">
      <c r="A195" s="424" t="s">
        <v>84</v>
      </c>
      <c r="B195" s="944">
        <f>'7.4.2 Selling &amp; Oper. expenses'!G38*'7.4.2 Selling &amp; Oper. expenses'!E69</f>
        <v>4967.8999999999996</v>
      </c>
      <c r="C195" s="945">
        <f>'7.4.2 Selling &amp; Oper. expenses'!G38*'7.4.2 Selling &amp; Oper. expenses'!F69</f>
        <v>0</v>
      </c>
      <c r="D195" s="945">
        <f>'7.4.2 Selling &amp; Oper. expenses'!G38*'7.4.2 Selling &amp; Oper. expenses'!G69</f>
        <v>0</v>
      </c>
      <c r="E195" s="945">
        <f>'7.4.2 Selling &amp; Oper. expenses'!G38*'7.4.2 Selling &amp; Oper. expenses'!H69</f>
        <v>709.7</v>
      </c>
      <c r="F195" s="945">
        <f>'7.4.2 Selling &amp; Oper. expenses'!G38*'7.4.2 Selling &amp; Oper. expenses'!I69</f>
        <v>709.7</v>
      </c>
      <c r="G195" s="963">
        <f>'7.4.2 Selling &amp; Oper. expenses'!G38*'7.4.2 Selling &amp; Oper. expenses'!J69</f>
        <v>709.7</v>
      </c>
      <c r="H195" s="944">
        <f>SUM(B195:G195)</f>
        <v>7096.9999999999991</v>
      </c>
      <c r="I195" s="963">
        <f>SUM(B195:G195)</f>
        <v>7096.9999999999991</v>
      </c>
    </row>
    <row r="196" spans="1:9" x14ac:dyDescent="0.35">
      <c r="A196" s="424" t="s">
        <v>85</v>
      </c>
      <c r="B196" s="944">
        <f>'7.4.2 Selling &amp; Oper. expenses'!G39*'7.4.2 Selling &amp; Oper. expenses'!E70</f>
        <v>2000</v>
      </c>
      <c r="C196" s="945">
        <f>'7.4.2 Selling &amp; Oper. expenses'!G39*'7.4.2 Selling &amp; Oper. expenses'!F70</f>
        <v>0</v>
      </c>
      <c r="D196" s="945">
        <f>'7.4.2 Selling &amp; Oper. expenses'!G39*'7.4.2 Selling &amp; Oper. expenses'!G70</f>
        <v>0</v>
      </c>
      <c r="E196" s="945">
        <f>'7.4.2 Selling &amp; Oper. expenses'!G39*'7.4.2 Selling &amp; Oper. expenses'!H70</f>
        <v>1250</v>
      </c>
      <c r="F196" s="945">
        <f>'7.4.2 Selling &amp; Oper. expenses'!G39*'7.4.2 Selling &amp; Oper. expenses'!I70</f>
        <v>1250</v>
      </c>
      <c r="G196" s="963">
        <f>'7.4.2 Selling &amp; Oper. expenses'!G39*'7.4.2 Selling &amp; Oper. expenses'!J70</f>
        <v>500</v>
      </c>
      <c r="H196" s="944">
        <f t="shared" ref="H196:H207" si="22">SUM(B196:G196)</f>
        <v>5000</v>
      </c>
      <c r="I196" s="963">
        <f t="shared" ref="I196:I207" si="23">SUM(B196:G196)</f>
        <v>5000</v>
      </c>
    </row>
    <row r="197" spans="1:9" x14ac:dyDescent="0.35">
      <c r="A197" s="424" t="s">
        <v>86</v>
      </c>
      <c r="B197" s="944">
        <f>'7.4.2 Selling &amp; Oper. expenses'!G40*'7.4.2 Selling &amp; Oper. expenses'!E71</f>
        <v>1200</v>
      </c>
      <c r="C197" s="945">
        <f>'7.4.2 Selling &amp; Oper. expenses'!G40*'7.4.2 Selling &amp; Oper. expenses'!F71</f>
        <v>0</v>
      </c>
      <c r="D197" s="945">
        <f>'7.4.2 Selling &amp; Oper. expenses'!G40*'7.4.2 Selling &amp; Oper. expenses'!G71</f>
        <v>0</v>
      </c>
      <c r="E197" s="945">
        <f>'7.4.2 Selling &amp; Oper. expenses'!G40*'7.4.2 Selling &amp; Oper. expenses'!H71</f>
        <v>1800</v>
      </c>
      <c r="F197" s="945">
        <f>'7.4.2 Selling &amp; Oper. expenses'!G40*'7.4.2 Selling &amp; Oper. expenses'!I71</f>
        <v>3000</v>
      </c>
      <c r="G197" s="963">
        <f>'7.4.2 Selling &amp; Oper. expenses'!G40*'7.4.2 Selling &amp; Oper. expenses'!J71</f>
        <v>0</v>
      </c>
      <c r="H197" s="944">
        <f t="shared" si="22"/>
        <v>6000</v>
      </c>
      <c r="I197" s="963">
        <f t="shared" si="23"/>
        <v>6000</v>
      </c>
    </row>
    <row r="198" spans="1:9" x14ac:dyDescent="0.35">
      <c r="A198" s="424" t="s">
        <v>88</v>
      </c>
      <c r="B198" s="944">
        <f>'7.4.2 Selling &amp; Oper. expenses'!G41*'7.4.2 Selling &amp; Oper. expenses'!E72</f>
        <v>4400</v>
      </c>
      <c r="C198" s="945">
        <f>'7.4.2 Selling &amp; Oper. expenses'!G41*'7.4.2 Selling &amp; Oper. expenses'!F72</f>
        <v>0</v>
      </c>
      <c r="D198" s="945">
        <f>'7.4.2 Selling &amp; Oper. expenses'!G41*'7.4.2 Selling &amp; Oper. expenses'!G72</f>
        <v>0</v>
      </c>
      <c r="E198" s="945">
        <f>'7.4.2 Selling &amp; Oper. expenses'!G41*'7.4.2 Selling &amp; Oper. expenses'!H72</f>
        <v>3300</v>
      </c>
      <c r="F198" s="945">
        <f>'7.4.2 Selling &amp; Oper. expenses'!G41*'7.4.2 Selling &amp; Oper. expenses'!I72</f>
        <v>13200</v>
      </c>
      <c r="G198" s="963">
        <f>'7.4.2 Selling &amp; Oper. expenses'!G41*'7.4.2 Selling &amp; Oper. expenses'!J72</f>
        <v>1100</v>
      </c>
      <c r="H198" s="944">
        <f t="shared" si="22"/>
        <v>22000</v>
      </c>
      <c r="I198" s="963">
        <f t="shared" si="23"/>
        <v>22000</v>
      </c>
    </row>
    <row r="199" spans="1:9" x14ac:dyDescent="0.35">
      <c r="A199" s="424" t="s">
        <v>213</v>
      </c>
      <c r="B199" s="944">
        <f>'7.4.2 Selling &amp; Oper. expenses'!G42*'7.4.2 Selling &amp; Oper. expenses'!E73</f>
        <v>100000</v>
      </c>
      <c r="C199" s="945">
        <f>'7.4.2 Selling &amp; Oper. expenses'!G42*'7.4.2 Selling &amp; Oper. expenses'!F73</f>
        <v>0</v>
      </c>
      <c r="D199" s="945">
        <f>'7.4.2 Selling &amp; Oper. expenses'!G42*'7.4.2 Selling &amp; Oper. expenses'!G73</f>
        <v>0</v>
      </c>
      <c r="E199" s="945">
        <f>'7.4.2 Selling &amp; Oper. expenses'!G42*'7.4.2 Selling &amp; Oper. expenses'!H73</f>
        <v>12500</v>
      </c>
      <c r="F199" s="945">
        <f>'7.4.2 Selling &amp; Oper. expenses'!G42*'7.4.2 Selling &amp; Oper. expenses'!I73</f>
        <v>12500</v>
      </c>
      <c r="G199" s="963">
        <f>'7.4.2 Selling &amp; Oper. expenses'!G42*'7.4.2 Selling &amp; Oper. expenses'!J73</f>
        <v>0</v>
      </c>
      <c r="H199" s="944">
        <f t="shared" si="22"/>
        <v>125000</v>
      </c>
      <c r="I199" s="963">
        <f t="shared" si="23"/>
        <v>125000</v>
      </c>
    </row>
    <row r="200" spans="1:9" x14ac:dyDescent="0.35">
      <c r="A200" s="424" t="s">
        <v>89</v>
      </c>
      <c r="B200" s="944">
        <f>'7.4.2 Selling &amp; Oper. expenses'!G43*'7.4.2 Selling &amp; Oper. expenses'!E74</f>
        <v>15000</v>
      </c>
      <c r="C200" s="945">
        <f>'7.4.2 Selling &amp; Oper. expenses'!G43*'7.4.2 Selling &amp; Oper. expenses'!F74</f>
        <v>0</v>
      </c>
      <c r="D200" s="945">
        <f>'7.4.2 Selling &amp; Oper. expenses'!G43*'7.4.2 Selling &amp; Oper. expenses'!G74</f>
        <v>0</v>
      </c>
      <c r="E200" s="945">
        <f>'7.4.2 Selling &amp; Oper. expenses'!G43*'7.4.2 Selling &amp; Oper. expenses'!H74</f>
        <v>5000</v>
      </c>
      <c r="F200" s="945">
        <f>'7.4.2 Selling &amp; Oper. expenses'!G43*'7.4.2 Selling &amp; Oper. expenses'!I74</f>
        <v>5000</v>
      </c>
      <c r="G200" s="963">
        <f>'7.4.2 Selling &amp; Oper. expenses'!G43*'7.4.2 Selling &amp; Oper. expenses'!J74</f>
        <v>0</v>
      </c>
      <c r="H200" s="944">
        <f t="shared" si="22"/>
        <v>25000</v>
      </c>
      <c r="I200" s="963">
        <f t="shared" si="23"/>
        <v>25000</v>
      </c>
    </row>
    <row r="201" spans="1:9" x14ac:dyDescent="0.35">
      <c r="A201" s="424" t="s">
        <v>90</v>
      </c>
      <c r="B201" s="944">
        <f>'7.4.2 Selling &amp; Oper. expenses'!G44*'7.4.2 Selling &amp; Oper. expenses'!E75</f>
        <v>2580.8000000000002</v>
      </c>
      <c r="C201" s="945">
        <f>'7.4.2 Selling &amp; Oper. expenses'!G44*'7.4.2 Selling &amp; Oper. expenses'!F75</f>
        <v>0</v>
      </c>
      <c r="D201" s="945">
        <f>'7.4.2 Selling &amp; Oper. expenses'!G44*'7.4.2 Selling &amp; Oper. expenses'!G75</f>
        <v>0</v>
      </c>
      <c r="E201" s="945">
        <f>'7.4.2 Selling &amp; Oper. expenses'!G44*'7.4.2 Selling &amp; Oper. expenses'!H75</f>
        <v>1290.4000000000001</v>
      </c>
      <c r="F201" s="945">
        <f>'7.4.2 Selling &amp; Oper. expenses'!G44*'7.4.2 Selling &amp; Oper. expenses'!I75</f>
        <v>1290.4000000000001</v>
      </c>
      <c r="G201" s="963">
        <f>'7.4.2 Selling &amp; Oper. expenses'!G44*'7.4.2 Selling &amp; Oper. expenses'!J75</f>
        <v>1290.4000000000001</v>
      </c>
      <c r="H201" s="944">
        <f t="shared" si="22"/>
        <v>6452</v>
      </c>
      <c r="I201" s="963">
        <f t="shared" si="23"/>
        <v>6452</v>
      </c>
    </row>
    <row r="202" spans="1:9" x14ac:dyDescent="0.35">
      <c r="A202" s="424" t="s">
        <v>214</v>
      </c>
      <c r="B202" s="944">
        <f>'7.4.2 Selling &amp; Oper. expenses'!G45*'7.4.2 Selling &amp; Oper. expenses'!E76</f>
        <v>1032.4000000000001</v>
      </c>
      <c r="C202" s="945">
        <f>'7.4.2 Selling &amp; Oper. expenses'!G45*'7.4.2 Selling &amp; Oper. expenses'!F76</f>
        <v>0</v>
      </c>
      <c r="D202" s="945">
        <f>'7.4.2 Selling &amp; Oper. expenses'!G45*'7.4.2 Selling &amp; Oper. expenses'!G76</f>
        <v>0</v>
      </c>
      <c r="E202" s="945">
        <f>'7.4.2 Selling &amp; Oper. expenses'!G45*'7.4.2 Selling &amp; Oper. expenses'!H76</f>
        <v>516.20000000000005</v>
      </c>
      <c r="F202" s="945">
        <f>'7.4.2 Selling &amp; Oper. expenses'!G45*'7.4.2 Selling &amp; Oper. expenses'!I76</f>
        <v>516.20000000000005</v>
      </c>
      <c r="G202" s="963">
        <f>'7.4.2 Selling &amp; Oper. expenses'!G45*'7.4.2 Selling &amp; Oper. expenses'!J76</f>
        <v>516.20000000000005</v>
      </c>
      <c r="H202" s="944">
        <f t="shared" si="22"/>
        <v>2581</v>
      </c>
      <c r="I202" s="963">
        <f t="shared" si="23"/>
        <v>2581</v>
      </c>
    </row>
    <row r="203" spans="1:9" x14ac:dyDescent="0.35">
      <c r="A203" s="424" t="s">
        <v>92</v>
      </c>
      <c r="B203" s="944">
        <f>'7.4.2 Selling &amp; Oper. expenses'!G46*'7.4.2 Selling &amp; Oper. expenses'!E77</f>
        <v>4838.5</v>
      </c>
      <c r="C203" s="945">
        <f>'7.4.2 Selling &amp; Oper. expenses'!G46*'7.4.2 Selling &amp; Oper. expenses'!F77</f>
        <v>0</v>
      </c>
      <c r="D203" s="945">
        <f>'7.4.2 Selling &amp; Oper. expenses'!G46*'7.4.2 Selling &amp; Oper. expenses'!G77</f>
        <v>0</v>
      </c>
      <c r="E203" s="945">
        <f>'7.4.2 Selling &amp; Oper. expenses'!G46*'7.4.2 Selling &amp; Oper. expenses'!H77</f>
        <v>1935.4</v>
      </c>
      <c r="F203" s="945">
        <f>'7.4.2 Selling &amp; Oper. expenses'!G46*'7.4.2 Selling &amp; Oper. expenses'!I77</f>
        <v>967.7</v>
      </c>
      <c r="G203" s="963">
        <f>'7.4.2 Selling &amp; Oper. expenses'!G46*'7.4.2 Selling &amp; Oper. expenses'!J77</f>
        <v>1935.4</v>
      </c>
      <c r="H203" s="944">
        <f t="shared" si="22"/>
        <v>9677</v>
      </c>
      <c r="I203" s="963">
        <f t="shared" si="23"/>
        <v>9677</v>
      </c>
    </row>
    <row r="204" spans="1:9" x14ac:dyDescent="0.35">
      <c r="A204" s="424" t="s">
        <v>93</v>
      </c>
      <c r="B204" s="944">
        <f>'7.4.2 Selling &amp; Oper. expenses'!G47*'7.4.2 Selling &amp; Oper. expenses'!E78</f>
        <v>6000</v>
      </c>
      <c r="C204" s="945">
        <f>'7.4.2 Selling &amp; Oper. expenses'!G47*'7.4.2 Selling &amp; Oper. expenses'!F78</f>
        <v>0</v>
      </c>
      <c r="D204" s="945">
        <f>'7.4.2 Selling &amp; Oper. expenses'!G47*'7.4.2 Selling &amp; Oper. expenses'!G78</f>
        <v>0</v>
      </c>
      <c r="E204" s="945">
        <f>'7.4.2 Selling &amp; Oper. expenses'!G47*'7.4.2 Selling &amp; Oper. expenses'!H78</f>
        <v>1500</v>
      </c>
      <c r="F204" s="945">
        <f>'7.4.2 Selling &amp; Oper. expenses'!G47*'7.4.2 Selling &amp; Oper. expenses'!I78</f>
        <v>7500</v>
      </c>
      <c r="G204" s="963">
        <f>'7.4.2 Selling &amp; Oper. expenses'!G47*'7.4.2 Selling &amp; Oper. expenses'!J78</f>
        <v>0</v>
      </c>
      <c r="H204" s="944">
        <f t="shared" si="22"/>
        <v>15000</v>
      </c>
      <c r="I204" s="963">
        <f t="shared" si="23"/>
        <v>15000</v>
      </c>
    </row>
    <row r="205" spans="1:9" x14ac:dyDescent="0.35">
      <c r="A205" s="424" t="s">
        <v>94</v>
      </c>
      <c r="B205" s="944">
        <f>'7.4.2 Selling &amp; Oper. expenses'!G48*'7.4.2 Selling &amp; Oper. expenses'!E79</f>
        <v>2903.1</v>
      </c>
      <c r="C205" s="945">
        <f>'7.4.2 Selling &amp; Oper. expenses'!G48*'7.4.2 Selling &amp; Oper. expenses'!F79</f>
        <v>0</v>
      </c>
      <c r="D205" s="945">
        <f>'7.4.2 Selling &amp; Oper. expenses'!G48*'7.4.2 Selling &amp; Oper. expenses'!G79</f>
        <v>0</v>
      </c>
      <c r="E205" s="945">
        <f>'7.4.2 Selling &amp; Oper. expenses'!G48*'7.4.2 Selling &amp; Oper. expenses'!H79</f>
        <v>1935.4</v>
      </c>
      <c r="F205" s="945">
        <f>'7.4.2 Selling &amp; Oper. expenses'!G48*'7.4.2 Selling &amp; Oper. expenses'!I79</f>
        <v>3870.8</v>
      </c>
      <c r="G205" s="963">
        <f>'7.4.2 Selling &amp; Oper. expenses'!G48*'7.4.2 Selling &amp; Oper. expenses'!J79</f>
        <v>967.7</v>
      </c>
      <c r="H205" s="944">
        <f t="shared" si="22"/>
        <v>9677</v>
      </c>
      <c r="I205" s="963">
        <f t="shared" si="23"/>
        <v>9677</v>
      </c>
    </row>
    <row r="206" spans="1:9" x14ac:dyDescent="0.35">
      <c r="A206" s="424" t="s">
        <v>115</v>
      </c>
      <c r="B206" s="944">
        <f>'7.4.2 Selling &amp; Oper. expenses'!G49*'7.4.2 Selling &amp; Oper. expenses'!E80</f>
        <v>1419.0000000000002</v>
      </c>
      <c r="C206" s="945">
        <f>'7.4.2 Selling &amp; Oper. expenses'!G49*'7.4.2 Selling &amp; Oper. expenses'!F80</f>
        <v>0</v>
      </c>
      <c r="D206" s="945">
        <f>'7.4.2 Selling &amp; Oper. expenses'!G49*'7.4.2 Selling &amp; Oper. expenses'!G80</f>
        <v>0</v>
      </c>
      <c r="E206" s="945">
        <f>'7.4.2 Selling &amp; Oper. expenses'!G49*'7.4.2 Selling &amp; Oper. expenses'!H80</f>
        <v>0</v>
      </c>
      <c r="F206" s="945">
        <f>'7.4.2 Selling &amp; Oper. expenses'!G49*'7.4.2 Selling &amp; Oper. expenses'!I80</f>
        <v>0</v>
      </c>
      <c r="G206" s="963">
        <f>'7.4.2 Selling &amp; Oper. expenses'!G49*'7.4.2 Selling &amp; Oper. expenses'!J80</f>
        <v>0</v>
      </c>
      <c r="H206" s="944">
        <f>SUM(B206:G206)</f>
        <v>1419.0000000000002</v>
      </c>
      <c r="I206" s="963">
        <f>SUM(B206:G206)</f>
        <v>1419.0000000000002</v>
      </c>
    </row>
    <row r="207" spans="1:9" x14ac:dyDescent="0.35">
      <c r="A207" s="424" t="s">
        <v>707</v>
      </c>
      <c r="B207" s="944">
        <f>'7.4.2 Selling &amp; Oper. expenses'!G50*'7.4.2 Selling &amp; Oper. expenses'!E81</f>
        <v>3000</v>
      </c>
      <c r="C207" s="945">
        <f>'7.4.2 Selling &amp; Oper. expenses'!G50*'7.4.2 Selling &amp; Oper. expenses'!F81</f>
        <v>0</v>
      </c>
      <c r="D207" s="945">
        <f>'7.4.2 Selling &amp; Oper. expenses'!G50*'7.4.2 Selling &amp; Oper. expenses'!G81</f>
        <v>0</v>
      </c>
      <c r="E207" s="945">
        <f>'7.4.2 Selling &amp; Oper. expenses'!G50*'7.4.2 Selling &amp; Oper. expenses'!H81</f>
        <v>2000</v>
      </c>
      <c r="F207" s="945">
        <f>'7.4.2 Selling &amp; Oper. expenses'!G50*'7.4.2 Selling &amp; Oper. expenses'!I81</f>
        <v>2000</v>
      </c>
      <c r="G207" s="963">
        <f>'7.4.2 Selling &amp; Oper. expenses'!G50*'7.4.2 Selling &amp; Oper. expenses'!J81</f>
        <v>3000</v>
      </c>
      <c r="H207" s="944">
        <f t="shared" si="22"/>
        <v>10000</v>
      </c>
      <c r="I207" s="963">
        <f t="shared" si="23"/>
        <v>10000</v>
      </c>
    </row>
    <row r="208" spans="1:9" x14ac:dyDescent="0.35">
      <c r="A208" s="424" t="s">
        <v>97</v>
      </c>
      <c r="B208" s="944">
        <f>'7.4.2 Selling &amp; Oper. expenses'!G51*'7.4.2 Selling &amp; Oper. expenses'!E82</f>
        <v>30000</v>
      </c>
      <c r="C208" s="945">
        <f>'7.4.2 Selling &amp; Oper. expenses'!G51*'7.4.2 Selling &amp; Oper. expenses'!F82</f>
        <v>0</v>
      </c>
      <c r="D208" s="945">
        <f>'7.4.2 Selling &amp; Oper. expenses'!G51*'7.4.2 Selling &amp; Oper. expenses'!G82</f>
        <v>0</v>
      </c>
      <c r="E208" s="945">
        <f>'7.4.2 Selling &amp; Oper. expenses'!G51*'7.4.2 Selling &amp; Oper. expenses'!H82</f>
        <v>20000</v>
      </c>
      <c r="F208" s="945">
        <f>'7.4.2 Selling &amp; Oper. expenses'!G51*'7.4.2 Selling &amp; Oper. expenses'!I82</f>
        <v>50000</v>
      </c>
      <c r="G208" s="963">
        <f>'7.4.2 Selling &amp; Oper. expenses'!G51*'7.4.2 Selling &amp; Oper. expenses'!J82</f>
        <v>0</v>
      </c>
      <c r="H208" s="944">
        <f>SUM(B208:G208)</f>
        <v>100000</v>
      </c>
      <c r="I208" s="963">
        <f>SUM(B208:G208)</f>
        <v>100000</v>
      </c>
    </row>
    <row r="209" spans="1:9" x14ac:dyDescent="0.35">
      <c r="A209" s="424" t="s">
        <v>217</v>
      </c>
      <c r="B209" s="944">
        <f>'7.4.2 Selling &amp; Oper. expenses'!G52*'7.4.2 Selling &amp; Oper. expenses'!E83</f>
        <v>544.50000000000011</v>
      </c>
      <c r="C209" s="945">
        <f>'7.4.2 Selling &amp; Oper. expenses'!G52*'7.4.2 Selling &amp; Oper. expenses'!F83</f>
        <v>0</v>
      </c>
      <c r="D209" s="945">
        <f>'7.4.2 Selling &amp; Oper. expenses'!G52*'7.4.2 Selling &amp; Oper. expenses'!G83</f>
        <v>0</v>
      </c>
      <c r="E209" s="945">
        <f>'7.4.2 Selling &amp; Oper. expenses'!G52*'7.4.2 Selling &amp; Oper. expenses'!H83</f>
        <v>363.00000000000011</v>
      </c>
      <c r="F209" s="945">
        <f>'7.4.2 Selling &amp; Oper. expenses'!G52*'7.4.2 Selling &amp; Oper. expenses'!I83</f>
        <v>907.50000000000023</v>
      </c>
      <c r="G209" s="963">
        <f>'7.4.2 Selling &amp; Oper. expenses'!G52*'7.4.2 Selling &amp; Oper. expenses'!J83</f>
        <v>0</v>
      </c>
      <c r="H209" s="944">
        <f>SUM(B209:G209)</f>
        <v>1815.0000000000005</v>
      </c>
      <c r="I209" s="963">
        <f>SUM(B209:G209)</f>
        <v>1815.0000000000005</v>
      </c>
    </row>
    <row r="210" spans="1:9" x14ac:dyDescent="0.35">
      <c r="A210" s="424" t="s">
        <v>99</v>
      </c>
      <c r="B210" s="944">
        <f>'7.4.2 Selling &amp; Oper. expenses'!G53*'7.4.2 Selling &amp; Oper. expenses'!E84</f>
        <v>12000</v>
      </c>
      <c r="C210" s="945">
        <f>'7.4.2 Selling &amp; Oper. expenses'!G53*'7.4.2 Selling &amp; Oper. expenses'!F84</f>
        <v>0</v>
      </c>
      <c r="D210" s="945">
        <f>'7.4.2 Selling &amp; Oper. expenses'!G53*'7.4.2 Selling &amp; Oper. expenses'!G84</f>
        <v>0</v>
      </c>
      <c r="E210" s="945">
        <f>'7.4.2 Selling &amp; Oper. expenses'!G53*'7.4.2 Selling &amp; Oper. expenses'!H84</f>
        <v>6000</v>
      </c>
      <c r="F210" s="945">
        <f>'7.4.2 Selling &amp; Oper. expenses'!G53*'7.4.2 Selling &amp; Oper. expenses'!I84</f>
        <v>2000</v>
      </c>
      <c r="G210" s="963">
        <f>'7.4.2 Selling &amp; Oper. expenses'!G53*'7.4.2 Selling &amp; Oper. expenses'!J84</f>
        <v>0</v>
      </c>
      <c r="H210" s="944">
        <f>SUM(B210:G210)</f>
        <v>20000</v>
      </c>
      <c r="I210" s="963">
        <f>SUM(B210:G210)</f>
        <v>20000</v>
      </c>
    </row>
    <row r="211" spans="1:9" x14ac:dyDescent="0.35">
      <c r="A211" s="424" t="s">
        <v>96</v>
      </c>
      <c r="B211" s="947">
        <f>'7.4.2 Selling &amp; Oper. expenses'!G54*'7.4.2 Selling &amp; Oper. expenses'!E85</f>
        <v>1815.0000000000005</v>
      </c>
      <c r="C211" s="949">
        <f>'7.4.2 Selling &amp; Oper. expenses'!G54*'7.4.2 Selling &amp; Oper. expenses'!F85</f>
        <v>0</v>
      </c>
      <c r="D211" s="949">
        <f>'7.4.2 Selling &amp; Oper. expenses'!G54*'7.4.2 Selling &amp; Oper. expenses'!G85</f>
        <v>0</v>
      </c>
      <c r="E211" s="949">
        <f>'7.4.2 Selling &amp; Oper. expenses'!G54*'7.4.2 Selling &amp; Oper. expenses'!H85</f>
        <v>726.00000000000023</v>
      </c>
      <c r="F211" s="949">
        <f>'7.4.2 Selling &amp; Oper. expenses'!G54*'7.4.2 Selling &amp; Oper. expenses'!I85</f>
        <v>726.00000000000023</v>
      </c>
      <c r="G211" s="964">
        <f>'7.4.2 Selling &amp; Oper. expenses'!G54*'7.4.2 Selling &amp; Oper. expenses'!J85</f>
        <v>363.00000000000011</v>
      </c>
      <c r="H211" s="947">
        <f>SUM(B211:G211)</f>
        <v>3630.0000000000009</v>
      </c>
      <c r="I211" s="964">
        <f>SUM(B211:G211)</f>
        <v>3630.0000000000009</v>
      </c>
    </row>
    <row r="212" spans="1:9" s="255" customFormat="1" x14ac:dyDescent="0.35">
      <c r="A212" s="435" t="s">
        <v>655</v>
      </c>
      <c r="B212" s="965">
        <f>SUM(B194:B211)</f>
        <v>195733.3</v>
      </c>
      <c r="C212" s="1634">
        <f t="shared" ref="C212:I212" si="24">SUM(C194:C211)</f>
        <v>0</v>
      </c>
      <c r="D212" s="1634">
        <f t="shared" si="24"/>
        <v>0</v>
      </c>
      <c r="E212" s="966">
        <f>SUM(E194:E211)</f>
        <v>61116.400000000009</v>
      </c>
      <c r="F212" s="966">
        <f t="shared" si="24"/>
        <v>105728.6</v>
      </c>
      <c r="G212" s="1635">
        <f t="shared" si="24"/>
        <v>10672.7</v>
      </c>
      <c r="H212" s="951">
        <f t="shared" si="24"/>
        <v>373251</v>
      </c>
      <c r="I212" s="968">
        <f t="shared" si="24"/>
        <v>373251</v>
      </c>
    </row>
    <row r="213" spans="1:9" x14ac:dyDescent="0.35">
      <c r="A213" s="424"/>
      <c r="B213" s="944"/>
      <c r="C213" s="945"/>
      <c r="D213" s="945"/>
      <c r="E213" s="945"/>
      <c r="F213" s="945"/>
      <c r="G213" s="963"/>
      <c r="H213" s="944"/>
      <c r="I213" s="963"/>
    </row>
    <row r="214" spans="1:9" s="255" customFormat="1" x14ac:dyDescent="0.35">
      <c r="A214" s="435" t="s">
        <v>656</v>
      </c>
      <c r="B214" s="951">
        <f>'7.4.3 Inv. &amp; Depr.'!H126</f>
        <v>0</v>
      </c>
      <c r="C214" s="952">
        <f>'7.4.3 Inv. &amp; Depr.'!H127</f>
        <v>0</v>
      </c>
      <c r="D214" s="952">
        <f>'7.4.3 Inv. &amp; Depr.'!H128</f>
        <v>0</v>
      </c>
      <c r="E214" s="952">
        <f>'7.4.3 Inv. &amp; Depr.'!H129</f>
        <v>0</v>
      </c>
      <c r="F214" s="952">
        <v>0</v>
      </c>
      <c r="G214" s="953">
        <f>'7.4.3 Inv. &amp; Depr.'!H121+'7.4.3 Inv. &amp; Depr.'!H130</f>
        <v>103733.33333333334</v>
      </c>
      <c r="H214" s="951">
        <f>SUM(B214:G214)</f>
        <v>103733.33333333334</v>
      </c>
      <c r="I214" s="953">
        <f>SUM(B214:G214)</f>
        <v>103733.33333333334</v>
      </c>
    </row>
    <row r="215" spans="1:9" x14ac:dyDescent="0.35">
      <c r="A215" s="424"/>
      <c r="B215" s="944"/>
      <c r="C215" s="945"/>
      <c r="D215" s="945"/>
      <c r="E215" s="945"/>
      <c r="F215" s="945"/>
      <c r="G215" s="963"/>
      <c r="H215" s="944"/>
      <c r="I215" s="963"/>
    </row>
    <row r="216" spans="1:9" x14ac:dyDescent="0.35">
      <c r="A216" s="769"/>
      <c r="B216" s="936"/>
      <c r="C216" s="937"/>
      <c r="D216" s="937"/>
      <c r="E216" s="937"/>
      <c r="F216" s="937"/>
      <c r="G216" s="971"/>
      <c r="H216" s="972"/>
      <c r="I216" s="938"/>
    </row>
    <row r="217" spans="1:9" x14ac:dyDescent="0.35">
      <c r="A217" s="435" t="s">
        <v>218</v>
      </c>
      <c r="B217" s="951">
        <f t="shared" ref="B217:G217" si="25">B186-B189-B191-B212-B214</f>
        <v>604894.46869303822</v>
      </c>
      <c r="C217" s="969">
        <f t="shared" si="25"/>
        <v>0</v>
      </c>
      <c r="D217" s="952">
        <f t="shared" si="25"/>
        <v>0</v>
      </c>
      <c r="E217" s="969">
        <f ca="1">E186-E189-E191-E212-E214</f>
        <v>62010.47918312512</v>
      </c>
      <c r="F217" s="952">
        <f t="shared" si="25"/>
        <v>-90198.366153339652</v>
      </c>
      <c r="G217" s="969">
        <f t="shared" si="25"/>
        <v>-167799.96600933332</v>
      </c>
      <c r="H217" s="951">
        <f ca="1">H186-H189-H191-H212-H214</f>
        <v>408906.61571348843</v>
      </c>
      <c r="I217" s="954">
        <f ca="1">I186-I189-I191-I212-I214</f>
        <v>408906.61571348843</v>
      </c>
    </row>
    <row r="218" spans="1:9" ht="15" thickBot="1" x14ac:dyDescent="0.4">
      <c r="A218" s="770"/>
      <c r="B218" s="973"/>
      <c r="C218" s="974"/>
      <c r="D218" s="974"/>
      <c r="E218" s="974"/>
      <c r="F218" s="974"/>
      <c r="G218" s="975"/>
      <c r="H218" s="973"/>
      <c r="I218" s="975"/>
    </row>
    <row r="219" spans="1:9" x14ac:dyDescent="0.35">
      <c r="A219" s="424"/>
      <c r="B219" s="944"/>
      <c r="C219" s="945"/>
      <c r="D219" s="945"/>
      <c r="E219" s="945"/>
      <c r="F219" s="945"/>
      <c r="G219" s="963"/>
      <c r="H219" s="944"/>
      <c r="I219" s="963"/>
    </row>
    <row r="220" spans="1:9" x14ac:dyDescent="0.35">
      <c r="A220" s="424" t="s">
        <v>215</v>
      </c>
      <c r="B220" s="944">
        <v>0</v>
      </c>
      <c r="C220" s="945">
        <v>0</v>
      </c>
      <c r="D220" s="945">
        <v>0</v>
      </c>
      <c r="E220" s="945">
        <v>0</v>
      </c>
      <c r="F220" s="945">
        <v>0</v>
      </c>
      <c r="G220" s="963">
        <f ca="1">-'7.5.2 Fin. Income &amp; Expenses '!I70</f>
        <v>0</v>
      </c>
      <c r="H220" s="944">
        <f ca="1">SUM(B220:G220)</f>
        <v>0</v>
      </c>
      <c r="I220" s="963">
        <f ca="1">SUM(B220:G220)</f>
        <v>0</v>
      </c>
    </row>
    <row r="221" spans="1:9" x14ac:dyDescent="0.35">
      <c r="A221" s="424" t="s">
        <v>216</v>
      </c>
      <c r="B221" s="944">
        <v>0</v>
      </c>
      <c r="C221" s="945">
        <v>0</v>
      </c>
      <c r="D221" s="945">
        <v>0</v>
      </c>
      <c r="E221" s="945">
        <v>0</v>
      </c>
      <c r="F221" s="945">
        <v>0</v>
      </c>
      <c r="G221" s="963">
        <f>-'7.5.2 Fin. Income &amp; Expenses '!I71</f>
        <v>-20250.000000000004</v>
      </c>
      <c r="H221" s="944">
        <f>SUM(B221:G221)</f>
        <v>-20250.000000000004</v>
      </c>
      <c r="I221" s="963">
        <f>SUM(B221:G221)</f>
        <v>-20250.000000000004</v>
      </c>
    </row>
    <row r="222" spans="1:9" x14ac:dyDescent="0.35">
      <c r="A222" s="424" t="s">
        <v>564</v>
      </c>
      <c r="B222" s="944">
        <v>0</v>
      </c>
      <c r="C222" s="945">
        <v>0</v>
      </c>
      <c r="D222" s="945">
        <v>0</v>
      </c>
      <c r="E222" s="945">
        <v>0</v>
      </c>
      <c r="F222" s="945">
        <v>0</v>
      </c>
      <c r="G222" s="963">
        <f>-'7.5.2 Fin. Income &amp; Expenses '!I72</f>
        <v>0</v>
      </c>
      <c r="H222" s="944">
        <f>SUM(B222:G222)</f>
        <v>0</v>
      </c>
      <c r="I222" s="963">
        <f>SUM(B222:G222)</f>
        <v>0</v>
      </c>
    </row>
    <row r="223" spans="1:9" x14ac:dyDescent="0.35">
      <c r="A223" s="424" t="s">
        <v>357</v>
      </c>
      <c r="B223" s="947">
        <f>'7.5.1 Financial Requirements'!H38*'7.5.2 Fin. Income &amp; Expenses '!I52*'7.5.2 Fin. Income &amp; Expenses '!C73</f>
        <v>58454.800958333333</v>
      </c>
      <c r="C223" s="949">
        <f>(('7.2.1 Turnover Vehicles'!G53+'7.2.1 Turnover Vehicles'!G54)/2)*'7.5.2 Fin. Income &amp; Expenses '!I53*'7.5.2 Fin. Income &amp; Expenses '!C73</f>
        <v>0</v>
      </c>
      <c r="D223" s="949">
        <f>'7.5.1 Financial Requirements'!H39*'7.5.2 Fin. Income &amp; Expenses '!I54*'7.5.2 Fin. Income &amp; Expenses '!C73</f>
        <v>0</v>
      </c>
      <c r="E223" s="949">
        <v>0</v>
      </c>
      <c r="F223" s="949">
        <v>0</v>
      </c>
      <c r="G223" s="963">
        <v>0</v>
      </c>
      <c r="H223" s="947">
        <f>SUM(B223:G223)</f>
        <v>58454.800958333333</v>
      </c>
      <c r="I223" s="959">
        <f>B223+C223+D223+F223+E223+G223</f>
        <v>58454.800958333333</v>
      </c>
    </row>
    <row r="224" spans="1:9" x14ac:dyDescent="0.35">
      <c r="A224" s="771" t="s">
        <v>816</v>
      </c>
      <c r="B224" s="965">
        <f t="shared" ref="B224:I224" si="26">SUM(B220:B223)</f>
        <v>58454.800958333333</v>
      </c>
      <c r="C224" s="966">
        <f t="shared" si="26"/>
        <v>0</v>
      </c>
      <c r="D224" s="966">
        <f t="shared" si="26"/>
        <v>0</v>
      </c>
      <c r="E224" s="966">
        <f t="shared" si="26"/>
        <v>0</v>
      </c>
      <c r="F224" s="966">
        <f t="shared" si="26"/>
        <v>0</v>
      </c>
      <c r="G224" s="1634">
        <f t="shared" ca="1" si="26"/>
        <v>-20250.000000000004</v>
      </c>
      <c r="H224" s="965">
        <f t="shared" ca="1" si="26"/>
        <v>38204.800958333333</v>
      </c>
      <c r="I224" s="1635">
        <f t="shared" ca="1" si="26"/>
        <v>38204.800958333333</v>
      </c>
    </row>
    <row r="225" spans="1:16" x14ac:dyDescent="0.35">
      <c r="A225" s="435"/>
      <c r="B225" s="951"/>
      <c r="C225" s="969"/>
      <c r="D225" s="969"/>
      <c r="E225" s="969"/>
      <c r="F225" s="969"/>
      <c r="G225" s="970"/>
      <c r="H225" s="951"/>
      <c r="I225" s="954"/>
    </row>
    <row r="226" spans="1:16" x14ac:dyDescent="0.35">
      <c r="A226" s="435" t="s">
        <v>660</v>
      </c>
      <c r="B226" s="951">
        <v>0</v>
      </c>
      <c r="C226" s="952">
        <v>0</v>
      </c>
      <c r="D226" s="952">
        <v>0</v>
      </c>
      <c r="E226" s="952">
        <v>0</v>
      </c>
      <c r="F226" s="952">
        <v>0</v>
      </c>
      <c r="G226" s="969">
        <f ca="1">'7.5.2 Fin. Income &amp; Expenses '!I86</f>
        <v>8949.100713548949</v>
      </c>
      <c r="H226" s="951">
        <f ca="1">SUM(B226:G226)</f>
        <v>8949.100713548949</v>
      </c>
      <c r="I226" s="969">
        <f ca="1">SUM(B226:G226)</f>
        <v>8949.100713548949</v>
      </c>
    </row>
    <row r="227" spans="1:16" x14ac:dyDescent="0.35">
      <c r="A227" s="424"/>
      <c r="B227" s="944"/>
      <c r="C227" s="945"/>
      <c r="D227" s="945"/>
      <c r="E227" s="945"/>
      <c r="F227" s="945"/>
      <c r="G227" s="963"/>
      <c r="H227" s="944"/>
      <c r="I227" s="963"/>
    </row>
    <row r="228" spans="1:16" x14ac:dyDescent="0.35">
      <c r="A228" s="769"/>
      <c r="B228" s="936"/>
      <c r="C228" s="937"/>
      <c r="D228" s="937"/>
      <c r="E228" s="937"/>
      <c r="F228" s="937"/>
      <c r="G228" s="971"/>
      <c r="H228" s="972"/>
      <c r="I228" s="938"/>
    </row>
    <row r="229" spans="1:16" x14ac:dyDescent="0.35">
      <c r="A229" s="435" t="s">
        <v>661</v>
      </c>
      <c r="B229" s="951">
        <f t="shared" ref="B229:I229" si="27">B217+B226+B224</f>
        <v>663349.26965137152</v>
      </c>
      <c r="C229" s="952">
        <f t="shared" si="27"/>
        <v>0</v>
      </c>
      <c r="D229" s="952">
        <f t="shared" si="27"/>
        <v>0</v>
      </c>
      <c r="E229" s="952">
        <f t="shared" ca="1" si="27"/>
        <v>62010.47918312512</v>
      </c>
      <c r="F229" s="952">
        <f t="shared" si="27"/>
        <v>-90198.366153339652</v>
      </c>
      <c r="G229" s="953">
        <f t="shared" ca="1" si="27"/>
        <v>-179100.86529578437</v>
      </c>
      <c r="H229" s="951">
        <f t="shared" ca="1" si="27"/>
        <v>456060.51738537068</v>
      </c>
      <c r="I229" s="953">
        <f t="shared" ca="1" si="27"/>
        <v>456060.51738537068</v>
      </c>
    </row>
    <row r="230" spans="1:16" ht="15" thickBot="1" x14ac:dyDescent="0.4">
      <c r="A230" s="770"/>
      <c r="B230" s="973"/>
      <c r="C230" s="974"/>
      <c r="D230" s="974"/>
      <c r="E230" s="974"/>
      <c r="F230" s="974"/>
      <c r="G230" s="975"/>
      <c r="H230" s="973"/>
      <c r="I230" s="975"/>
    </row>
    <row r="231" spans="1:16" x14ac:dyDescent="0.35">
      <c r="A231" s="146"/>
      <c r="B231" s="733"/>
      <c r="C231" s="733"/>
      <c r="D231" s="733"/>
      <c r="E231" s="733"/>
      <c r="F231" s="733"/>
      <c r="G231" s="733"/>
      <c r="H231" s="733"/>
      <c r="I231" s="733"/>
    </row>
    <row r="232" spans="1:16" ht="28.8" x14ac:dyDescent="0.55000000000000004">
      <c r="A232" s="200" t="s">
        <v>1173</v>
      </c>
      <c r="B232" s="201"/>
      <c r="C232" s="201"/>
      <c r="D232" s="201"/>
      <c r="E232" s="201"/>
      <c r="F232" s="201"/>
      <c r="G232" s="201"/>
      <c r="H232" s="201"/>
      <c r="I232" s="819" t="str">
        <f>I1</f>
        <v>7.6.1 Activity Contribution</v>
      </c>
      <c r="J232" s="200"/>
      <c r="K232" s="201"/>
      <c r="L232" s="201"/>
      <c r="M232" s="201"/>
      <c r="N232" s="201"/>
      <c r="O232" s="201"/>
      <c r="P232" s="819"/>
    </row>
    <row r="233" spans="1:16" x14ac:dyDescent="0.35">
      <c r="A233" s="424"/>
      <c r="B233" s="275"/>
      <c r="C233" s="758"/>
      <c r="D233" s="275"/>
      <c r="E233" s="275"/>
      <c r="F233" s="275"/>
      <c r="G233" s="275"/>
      <c r="H233" s="275"/>
      <c r="I233" s="767"/>
    </row>
    <row r="234" spans="1:16" ht="16.2" x14ac:dyDescent="0.35">
      <c r="A234" s="773" t="s">
        <v>1035</v>
      </c>
      <c r="B234" s="774" t="str">
        <f>'Reference sheet'!$C$12</f>
        <v>TRUCK INTERNATIONAL MOBILITY SA</v>
      </c>
      <c r="D234" s="283" t="s">
        <v>1036</v>
      </c>
      <c r="E234" s="283" t="s">
        <v>1037</v>
      </c>
      <c r="F234" s="282">
        <f>'Reference sheet'!$C$15</f>
        <v>2</v>
      </c>
      <c r="G234" s="759" t="str">
        <f>'Reference sheet'!C$17</f>
        <v>October</v>
      </c>
      <c r="H234" s="982">
        <f>'Reference sheet'!D$17</f>
        <v>2018</v>
      </c>
      <c r="I234" s="775" t="str">
        <f>'Reference sheet'!$C$21</f>
        <v>EUR</v>
      </c>
    </row>
    <row r="235" spans="1:16" x14ac:dyDescent="0.35">
      <c r="A235" s="770"/>
      <c r="B235" s="761"/>
      <c r="C235" s="733"/>
      <c r="D235" s="733"/>
      <c r="E235" s="733"/>
      <c r="F235" s="733"/>
      <c r="G235" s="733"/>
      <c r="H235" s="733"/>
      <c r="I235" s="776"/>
    </row>
    <row r="236" spans="1:16" ht="22.8" thickBot="1" x14ac:dyDescent="0.5">
      <c r="A236" s="777" t="s">
        <v>195</v>
      </c>
      <c r="B236" s="757">
        <f>'7.5.2 Fin. Income &amp; Expenses '!K6</f>
        <v>2022</v>
      </c>
      <c r="C236" s="764"/>
      <c r="D236" s="757"/>
      <c r="E236" s="756"/>
      <c r="F236" s="756"/>
      <c r="G236" s="756"/>
      <c r="H236" s="756"/>
      <c r="I236" s="778"/>
    </row>
    <row r="237" spans="1:16" ht="18" x14ac:dyDescent="0.35">
      <c r="A237" s="779"/>
      <c r="B237" s="932" t="s">
        <v>196</v>
      </c>
      <c r="C237" s="933" t="s">
        <v>42</v>
      </c>
      <c r="D237" s="933" t="s">
        <v>43</v>
      </c>
      <c r="E237" s="933" t="str">
        <f>E6</f>
        <v>Parts</v>
      </c>
      <c r="F237" s="933" t="str">
        <f>F6</f>
        <v>Service</v>
      </c>
      <c r="G237" s="934" t="s">
        <v>197</v>
      </c>
      <c r="H237" s="932" t="s">
        <v>198</v>
      </c>
      <c r="I237" s="935" t="s">
        <v>199</v>
      </c>
    </row>
    <row r="238" spans="1:16" x14ac:dyDescent="0.35">
      <c r="A238" s="769"/>
      <c r="B238" s="936"/>
      <c r="C238" s="937"/>
      <c r="D238" s="937"/>
      <c r="E238" s="937"/>
      <c r="F238" s="937"/>
      <c r="G238" s="938"/>
      <c r="H238" s="936"/>
      <c r="I238" s="939"/>
    </row>
    <row r="239" spans="1:16" x14ac:dyDescent="0.35">
      <c r="A239" s="435" t="s">
        <v>200</v>
      </c>
      <c r="B239" s="940"/>
      <c r="C239" s="941"/>
      <c r="D239" s="941"/>
      <c r="E239" s="941"/>
      <c r="F239" s="941"/>
      <c r="G239" s="942"/>
      <c r="H239" s="940"/>
      <c r="I239" s="943"/>
    </row>
    <row r="240" spans="1:16" x14ac:dyDescent="0.35">
      <c r="A240" s="424" t="s">
        <v>201</v>
      </c>
      <c r="B240" s="944"/>
      <c r="C240" s="941"/>
      <c r="D240" s="941"/>
      <c r="E240" s="941"/>
      <c r="F240" s="941"/>
      <c r="G240" s="942"/>
      <c r="H240" s="940"/>
      <c r="I240" s="943"/>
    </row>
    <row r="241" spans="1:9" x14ac:dyDescent="0.35">
      <c r="A241" s="424" t="s">
        <v>202</v>
      </c>
      <c r="B241" s="944">
        <f>'7.2.1 Turnover Vehicles'!I36</f>
        <v>10049948.82</v>
      </c>
      <c r="C241" s="941">
        <v>0</v>
      </c>
      <c r="D241" s="941">
        <v>0</v>
      </c>
      <c r="E241" s="945">
        <f ca="1">'7.2.2 Turnover Parts'!I17-'7.2.2 Turnover Parts'!I26</f>
        <v>640062.20919674356</v>
      </c>
      <c r="F241" s="945">
        <f>'7.2.3 Turnover Service &amp; Body'!I38</f>
        <v>77631.531789885077</v>
      </c>
      <c r="G241" s="942">
        <v>0</v>
      </c>
      <c r="H241" s="944">
        <f t="shared" ref="H241:H246" ca="1" si="28">SUM(B241:F241)</f>
        <v>10767642.560986629</v>
      </c>
      <c r="I241" s="946">
        <f ca="1">SUM(B241:F241)</f>
        <v>10767642.560986629</v>
      </c>
    </row>
    <row r="242" spans="1:9" s="209" customFormat="1" ht="22.2" x14ac:dyDescent="0.45">
      <c r="A242" s="424" t="s">
        <v>203</v>
      </c>
      <c r="B242" s="940">
        <v>0</v>
      </c>
      <c r="C242" s="945">
        <f>'7.2.1 Turnover Vehicles'!I48</f>
        <v>0</v>
      </c>
      <c r="D242" s="945">
        <f>'7.2.1 Turnover Vehicles'!I72</f>
        <v>0</v>
      </c>
      <c r="E242" s="945">
        <f>'7.2.2 Turnover Parts'!I18-'7.2.2 Turnover Parts'!I27</f>
        <v>200000</v>
      </c>
      <c r="F242" s="945">
        <f>'7.2.3 Turnover Service &amp; Body'!I41</f>
        <v>21438.288000000004</v>
      </c>
      <c r="G242" s="942">
        <v>0</v>
      </c>
      <c r="H242" s="944">
        <f t="shared" si="28"/>
        <v>221438.288</v>
      </c>
      <c r="I242" s="946">
        <f>SUM(B242:F242)</f>
        <v>221438.288</v>
      </c>
    </row>
    <row r="243" spans="1:9" x14ac:dyDescent="0.35">
      <c r="A243" s="424" t="s">
        <v>204</v>
      </c>
      <c r="B243" s="940">
        <v>0</v>
      </c>
      <c r="C243" s="945">
        <v>0</v>
      </c>
      <c r="D243" s="945">
        <v>0</v>
      </c>
      <c r="E243" s="945">
        <f>'7.2.2 Turnover Parts'!I19</f>
        <v>27600</v>
      </c>
      <c r="F243" s="945">
        <v>0</v>
      </c>
      <c r="G243" s="942">
        <v>0</v>
      </c>
      <c r="H243" s="944">
        <f t="shared" si="28"/>
        <v>27600</v>
      </c>
      <c r="I243" s="946">
        <f>SUM(B243:F243)</f>
        <v>27600</v>
      </c>
    </row>
    <row r="244" spans="1:9" x14ac:dyDescent="0.35">
      <c r="A244" s="424" t="s">
        <v>205</v>
      </c>
      <c r="B244" s="944">
        <v>0</v>
      </c>
      <c r="C244" s="941">
        <v>0</v>
      </c>
      <c r="D244" s="941">
        <v>0</v>
      </c>
      <c r="E244" s="945">
        <f>'7.2.2 Turnover Parts'!I20</f>
        <v>77881.343447368417</v>
      </c>
      <c r="F244" s="945">
        <v>0</v>
      </c>
      <c r="G244" s="942">
        <v>0</v>
      </c>
      <c r="H244" s="944">
        <f t="shared" si="28"/>
        <v>77881.343447368417</v>
      </c>
      <c r="I244" s="946">
        <f>SUM(B244:F244)</f>
        <v>77881.343447368417</v>
      </c>
    </row>
    <row r="245" spans="1:9" x14ac:dyDescent="0.35">
      <c r="A245" s="424" t="s">
        <v>53</v>
      </c>
      <c r="B245" s="944">
        <v>0</v>
      </c>
      <c r="C245" s="941">
        <v>0</v>
      </c>
      <c r="D245" s="941">
        <v>0</v>
      </c>
      <c r="E245" s="945">
        <v>0</v>
      </c>
      <c r="F245" s="945">
        <f>'7.2.3 Turnover Service &amp; Body'!I52</f>
        <v>12000</v>
      </c>
      <c r="G245" s="942">
        <v>0</v>
      </c>
      <c r="H245" s="944">
        <f t="shared" si="28"/>
        <v>12000</v>
      </c>
      <c r="I245" s="946">
        <f>SUM(B245:F245)</f>
        <v>12000</v>
      </c>
    </row>
    <row r="246" spans="1:9" x14ac:dyDescent="0.35">
      <c r="A246" s="424" t="s">
        <v>206</v>
      </c>
      <c r="B246" s="947">
        <v>0</v>
      </c>
      <c r="C246" s="948">
        <v>0</v>
      </c>
      <c r="D246" s="948">
        <v>0</v>
      </c>
      <c r="E246" s="949">
        <f>'7.2.2 Turnover Parts'!I28</f>
        <v>616</v>
      </c>
      <c r="F246" s="949">
        <f>'7.2.3 Turnover Service &amp; Body'!I39+'7.2.3 Turnover Service &amp; Body'!I40</f>
        <v>0</v>
      </c>
      <c r="G246" s="950">
        <v>0</v>
      </c>
      <c r="H246" s="947">
        <f t="shared" si="28"/>
        <v>616</v>
      </c>
      <c r="I246" s="964">
        <v>0</v>
      </c>
    </row>
    <row r="247" spans="1:9" x14ac:dyDescent="0.35">
      <c r="A247" s="435" t="s">
        <v>207</v>
      </c>
      <c r="B247" s="951">
        <f>SUM(B241:B246)</f>
        <v>10049948.82</v>
      </c>
      <c r="C247" s="952">
        <f>SUM(C242:C246)</f>
        <v>0</v>
      </c>
      <c r="D247" s="952">
        <f>SUM(D241:D246)</f>
        <v>0</v>
      </c>
      <c r="E247" s="952">
        <f ca="1">SUM(E241:E246)</f>
        <v>946159.55264411191</v>
      </c>
      <c r="F247" s="952">
        <f>SUM(F241:F246)</f>
        <v>111069.81978988508</v>
      </c>
      <c r="G247" s="953">
        <v>0</v>
      </c>
      <c r="H247" s="951">
        <f ca="1">SUM(H241:H246)</f>
        <v>11107178.192433998</v>
      </c>
      <c r="I247" s="954">
        <f ca="1">SUM(I241:I246)</f>
        <v>11106562.192433998</v>
      </c>
    </row>
    <row r="248" spans="1:9" x14ac:dyDescent="0.35">
      <c r="A248" s="768"/>
      <c r="B248" s="955"/>
      <c r="C248" s="956"/>
      <c r="D248" s="956"/>
      <c r="E248" s="956"/>
      <c r="F248" s="956"/>
      <c r="G248" s="957"/>
      <c r="H248" s="955"/>
      <c r="I248" s="958"/>
    </row>
    <row r="249" spans="1:9" x14ac:dyDescent="0.35">
      <c r="A249" s="769"/>
      <c r="B249" s="936"/>
      <c r="C249" s="937"/>
      <c r="D249" s="937"/>
      <c r="E249" s="937"/>
      <c r="F249" s="937"/>
      <c r="G249" s="938"/>
      <c r="H249" s="936"/>
      <c r="I249" s="939"/>
    </row>
    <row r="250" spans="1:9" x14ac:dyDescent="0.35">
      <c r="A250" s="435" t="s">
        <v>208</v>
      </c>
      <c r="B250" s="940"/>
      <c r="C250" s="941"/>
      <c r="D250" s="941"/>
      <c r="E250" s="941"/>
      <c r="F250" s="941"/>
      <c r="G250" s="942"/>
      <c r="H250" s="940"/>
      <c r="I250" s="943"/>
    </row>
    <row r="251" spans="1:9" x14ac:dyDescent="0.35">
      <c r="A251" s="424" t="s">
        <v>201</v>
      </c>
      <c r="B251" s="940"/>
      <c r="C251" s="941"/>
      <c r="D251" s="941"/>
      <c r="E251" s="941"/>
      <c r="F251" s="941"/>
      <c r="G251" s="942"/>
      <c r="H251" s="940"/>
      <c r="I251" s="943"/>
    </row>
    <row r="252" spans="1:9" x14ac:dyDescent="0.35">
      <c r="A252" s="424" t="s">
        <v>202</v>
      </c>
      <c r="B252" s="944">
        <f>'7.3 Cost of sales'!I58+'7.3 Cost of sales'!I59</f>
        <v>8813892.6733999997</v>
      </c>
      <c r="C252" s="941">
        <v>0</v>
      </c>
      <c r="D252" s="941">
        <v>0</v>
      </c>
      <c r="E252" s="945">
        <f ca="1">'7.3 Cost of sales'!I76+'7.3 Cost of sales'!I78+'7.3 Cost of sales'!I80+'7.3 Cost of sales'!I81</f>
        <v>435691.98225378565</v>
      </c>
      <c r="F252" s="941">
        <v>0</v>
      </c>
      <c r="G252" s="942">
        <v>0</v>
      </c>
      <c r="H252" s="944">
        <f t="shared" ref="H252:H259" ca="1" si="29">SUM(B252:F252)</f>
        <v>9249584.6556537859</v>
      </c>
      <c r="I252" s="946">
        <f t="shared" ref="I252:I258" ca="1" si="30">SUM(B252:F252)</f>
        <v>9249584.6556537859</v>
      </c>
    </row>
    <row r="253" spans="1:9" x14ac:dyDescent="0.35">
      <c r="A253" s="424" t="s">
        <v>203</v>
      </c>
      <c r="B253" s="940">
        <v>0</v>
      </c>
      <c r="C253" s="945">
        <f>'7.3 Cost of sales'!I60</f>
        <v>0</v>
      </c>
      <c r="D253" s="945">
        <f>'7.3 Cost of sales'!I61</f>
        <v>0</v>
      </c>
      <c r="E253" s="945">
        <f>'7.3 Cost of sales'!I77+'7.3 Cost of sales'!I79+'7.3 Cost of sales'!I82</f>
        <v>191000</v>
      </c>
      <c r="F253" s="941">
        <v>0</v>
      </c>
      <c r="G253" s="942">
        <v>0</v>
      </c>
      <c r="H253" s="944">
        <f t="shared" si="29"/>
        <v>191000</v>
      </c>
      <c r="I253" s="946">
        <f t="shared" si="30"/>
        <v>191000</v>
      </c>
    </row>
    <row r="254" spans="1:9" x14ac:dyDescent="0.35">
      <c r="A254" s="424" t="s">
        <v>204</v>
      </c>
      <c r="B254" s="940">
        <v>0</v>
      </c>
      <c r="C254" s="945">
        <v>0</v>
      </c>
      <c r="D254" s="945">
        <v>0</v>
      </c>
      <c r="E254" s="945">
        <f>'7.3 Cost of sales'!I83</f>
        <v>22080</v>
      </c>
      <c r="F254" s="941">
        <v>0</v>
      </c>
      <c r="G254" s="942">
        <v>0</v>
      </c>
      <c r="H254" s="944">
        <f t="shared" si="29"/>
        <v>22080</v>
      </c>
      <c r="I254" s="946">
        <f t="shared" si="30"/>
        <v>22080</v>
      </c>
    </row>
    <row r="255" spans="1:9" x14ac:dyDescent="0.35">
      <c r="A255" s="424" t="s">
        <v>205</v>
      </c>
      <c r="B255" s="940">
        <v>0</v>
      </c>
      <c r="C255" s="941">
        <v>0</v>
      </c>
      <c r="D255" s="941">
        <v>0</v>
      </c>
      <c r="E255" s="945">
        <f>'7.3 Cost of sales'!I84</f>
        <v>46728.80606842105</v>
      </c>
      <c r="F255" s="941">
        <v>0</v>
      </c>
      <c r="G255" s="942">
        <v>0</v>
      </c>
      <c r="H255" s="944">
        <f t="shared" si="29"/>
        <v>46728.80606842105</v>
      </c>
      <c r="I255" s="946">
        <f t="shared" si="30"/>
        <v>46728.80606842105</v>
      </c>
    </row>
    <row r="256" spans="1:9" x14ac:dyDescent="0.35">
      <c r="A256" s="424" t="s">
        <v>209</v>
      </c>
      <c r="B256" s="944">
        <v>0</v>
      </c>
      <c r="C256" s="945">
        <v>0</v>
      </c>
      <c r="D256" s="945">
        <v>0</v>
      </c>
      <c r="E256" s="945">
        <v>0</v>
      </c>
      <c r="F256" s="945">
        <f>'7.4.1 Salaries &amp; Wages'!I105+'7.4.1 Salaries &amp; Wages'!I114</f>
        <v>29272.999675800002</v>
      </c>
      <c r="G256" s="942">
        <v>0</v>
      </c>
      <c r="H256" s="944">
        <f t="shared" si="29"/>
        <v>29272.999675800002</v>
      </c>
      <c r="I256" s="946">
        <f t="shared" si="30"/>
        <v>29272.999675800002</v>
      </c>
    </row>
    <row r="257" spans="1:9" x14ac:dyDescent="0.35">
      <c r="A257" s="424" t="s">
        <v>210</v>
      </c>
      <c r="B257" s="944">
        <f>-'7.3 Cost of sales'!I67</f>
        <v>0</v>
      </c>
      <c r="C257" s="941">
        <v>0</v>
      </c>
      <c r="D257" s="945">
        <f>-'7.3 Cost of sales'!I68</f>
        <v>0</v>
      </c>
      <c r="E257" s="945">
        <f ca="1">-'7.3 Cost of sales'!I93</f>
        <v>0</v>
      </c>
      <c r="F257" s="941">
        <v>0</v>
      </c>
      <c r="G257" s="942">
        <v>0</v>
      </c>
      <c r="H257" s="944">
        <f t="shared" ca="1" si="29"/>
        <v>0</v>
      </c>
      <c r="I257" s="946">
        <f t="shared" ca="1" si="30"/>
        <v>0</v>
      </c>
    </row>
    <row r="258" spans="1:9" x14ac:dyDescent="0.35">
      <c r="A258" s="424" t="s">
        <v>53</v>
      </c>
      <c r="B258" s="944">
        <v>0</v>
      </c>
      <c r="C258" s="941">
        <v>0</v>
      </c>
      <c r="D258" s="945">
        <v>0</v>
      </c>
      <c r="E258" s="945">
        <v>0</v>
      </c>
      <c r="F258" s="945">
        <f>'7.3 Cost of sales'!I102</f>
        <v>9000</v>
      </c>
      <c r="G258" s="942">
        <v>0</v>
      </c>
      <c r="H258" s="944">
        <f t="shared" si="29"/>
        <v>9000</v>
      </c>
      <c r="I258" s="946">
        <f t="shared" si="30"/>
        <v>9000</v>
      </c>
    </row>
    <row r="259" spans="1:9" x14ac:dyDescent="0.35">
      <c r="A259" s="424" t="s">
        <v>206</v>
      </c>
      <c r="B259" s="947">
        <f>'7.2.3 Turnover Service &amp; Body'!I39+'7.2.2 Turnover Parts'!I26</f>
        <v>616</v>
      </c>
      <c r="C259" s="949">
        <f>'7.2.3 Turnover Service &amp; Body'!I40+'7.2.2 Turnover Parts'!I27</f>
        <v>0</v>
      </c>
      <c r="D259" s="948">
        <v>0</v>
      </c>
      <c r="E259" s="948">
        <v>0</v>
      </c>
      <c r="F259" s="948">
        <v>0</v>
      </c>
      <c r="G259" s="950">
        <v>0</v>
      </c>
      <c r="H259" s="947">
        <f t="shared" si="29"/>
        <v>616</v>
      </c>
      <c r="I259" s="959">
        <v>0</v>
      </c>
    </row>
    <row r="260" spans="1:9" x14ac:dyDescent="0.35">
      <c r="A260" s="435" t="s">
        <v>211</v>
      </c>
      <c r="B260" s="951">
        <f>SUM(B252:B259)</f>
        <v>8814508.6733999997</v>
      </c>
      <c r="C260" s="952">
        <f>SUM(C252:C259)</f>
        <v>0</v>
      </c>
      <c r="D260" s="952">
        <f>SUM(D252:D259)</f>
        <v>0</v>
      </c>
      <c r="E260" s="952">
        <f ca="1">SUM(E252:E259)</f>
        <v>695500.78832220682</v>
      </c>
      <c r="F260" s="952">
        <f>SUM(F252:F259)</f>
        <v>38272.999675800005</v>
      </c>
      <c r="G260" s="960">
        <v>0</v>
      </c>
      <c r="H260" s="951">
        <f ca="1">SUM(H252:H259)</f>
        <v>9548282.4613980055</v>
      </c>
      <c r="I260" s="954">
        <f ca="1">SUM(I252:I259)</f>
        <v>9547666.4613980055</v>
      </c>
    </row>
    <row r="261" spans="1:9" x14ac:dyDescent="0.35">
      <c r="A261" s="768"/>
      <c r="B261" s="955"/>
      <c r="C261" s="956"/>
      <c r="D261" s="956"/>
      <c r="E261" s="956"/>
      <c r="F261" s="956"/>
      <c r="G261" s="961"/>
      <c r="H261" s="962"/>
      <c r="I261" s="958"/>
    </row>
    <row r="262" spans="1:9" x14ac:dyDescent="0.35">
      <c r="A262" s="769"/>
      <c r="B262" s="936"/>
      <c r="C262" s="937"/>
      <c r="D262" s="937"/>
      <c r="E262" s="937"/>
      <c r="F262" s="937"/>
      <c r="G262" s="938"/>
      <c r="H262" s="936"/>
      <c r="I262" s="939"/>
    </row>
    <row r="263" spans="1:9" x14ac:dyDescent="0.35">
      <c r="A263" s="435" t="s">
        <v>212</v>
      </c>
      <c r="B263" s="951">
        <f>B247-B260</f>
        <v>1235440.1466000006</v>
      </c>
      <c r="C263" s="952">
        <f>C247-C260</f>
        <v>0</v>
      </c>
      <c r="D263" s="952">
        <f>D247-D260</f>
        <v>0</v>
      </c>
      <c r="E263" s="952">
        <f ca="1">E247-E260</f>
        <v>250658.7643219051</v>
      </c>
      <c r="F263" s="952">
        <f>F247-F260</f>
        <v>72796.820114085072</v>
      </c>
      <c r="G263" s="953">
        <v>0</v>
      </c>
      <c r="H263" s="951">
        <f ca="1">H247-H260</f>
        <v>1558895.7310359925</v>
      </c>
      <c r="I263" s="954">
        <f ca="1">I247-I260</f>
        <v>1558895.7310359925</v>
      </c>
    </row>
    <row r="264" spans="1:9" x14ac:dyDescent="0.35">
      <c r="A264" s="768"/>
      <c r="B264" s="955"/>
      <c r="C264" s="956"/>
      <c r="D264" s="956"/>
      <c r="E264" s="956"/>
      <c r="F264" s="956"/>
      <c r="G264" s="957"/>
      <c r="H264" s="955"/>
      <c r="I264" s="958"/>
    </row>
    <row r="265" spans="1:9" x14ac:dyDescent="0.35">
      <c r="A265" s="769"/>
      <c r="B265" s="936"/>
      <c r="C265" s="937"/>
      <c r="D265" s="937"/>
      <c r="E265" s="937"/>
      <c r="F265" s="937"/>
      <c r="G265" s="938"/>
      <c r="H265" s="936"/>
      <c r="I265" s="939"/>
    </row>
    <row r="266" spans="1:9" s="255" customFormat="1" x14ac:dyDescent="0.35">
      <c r="A266" s="435" t="s">
        <v>652</v>
      </c>
      <c r="B266" s="951">
        <f>'7.2.1 Turnover Vehicles'!$I$84*'7.4.1 Salaries &amp; Wages'!$I$77*(1+'7.4.1 Salaries &amp; Wages'!$B$78)+('7.4.2 Selling &amp; Oper. expenses'!I9*'7.4.2 Selling &amp; Oper. expenses'!E63)</f>
        <v>160038.02499999999</v>
      </c>
      <c r="C266" s="952">
        <f>'7.2.1 Turnover Vehicles'!$I$85*'7.4.1 Salaries &amp; Wages'!$I$77*(1+'7.4.1 Salaries &amp; Wages'!$B$78)+('7.4.2 Selling &amp; Oper. expenses'!I9*'7.4.2 Selling &amp; Oper. expenses'!F63)</f>
        <v>0</v>
      </c>
      <c r="D266" s="952">
        <f>'7.2.1 Turnover Vehicles'!$I$86*'7.4.1 Salaries &amp; Wages'!$I$77*(1+'7.4.1 Salaries &amp; Wages'!$B$78)+('7.4.2 Selling &amp; Oper. expenses'!I9*'7.4.2 Selling &amp; Oper. expenses'!G63)</f>
        <v>0</v>
      </c>
      <c r="E266" s="952">
        <f>'7.4.2 Selling &amp; Oper. expenses'!I9*'7.4.2 Selling &amp; Oper. expenses'!I63</f>
        <v>0</v>
      </c>
      <c r="F266" s="952">
        <f>'7.4.2 Selling &amp; Oper. expenses'!I9*'7.4.2 Selling &amp; Oper. expenses'!H63</f>
        <v>0</v>
      </c>
      <c r="G266" s="953">
        <f>'7.4.2 Selling &amp; Oper. expenses'!I9*'7.4.2 Selling &amp; Oper. expenses'!J63</f>
        <v>0</v>
      </c>
      <c r="H266" s="951">
        <f>SUM(B266:G266)</f>
        <v>160038.02499999999</v>
      </c>
      <c r="I266" s="954">
        <f>B266+C266+D266+F266+E266+G266</f>
        <v>160038.02499999999</v>
      </c>
    </row>
    <row r="267" spans="1:9" x14ac:dyDescent="0.35">
      <c r="A267" s="424"/>
      <c r="B267" s="944"/>
      <c r="C267" s="945"/>
      <c r="D267" s="945"/>
      <c r="E267" s="945"/>
      <c r="F267" s="945"/>
      <c r="G267" s="963"/>
      <c r="H267" s="944"/>
      <c r="I267" s="946"/>
    </row>
    <row r="268" spans="1:9" s="255" customFormat="1" x14ac:dyDescent="0.35">
      <c r="A268" s="435" t="s">
        <v>209</v>
      </c>
      <c r="B268" s="951">
        <f>'7.2.1 Turnover Vehicles'!I84*'7.4.1 Salaries &amp; Wages'!I80+(B247/(B247+C247+D247+0.00001)*('7.4.1 Salaries &amp; Wages'!I71+'7.4.1 Salaries &amp; Wages'!I91))-'7.2.1 Turnover Vehicles'!$I$84*'7.4.1 Salaries &amp; Wages'!$I$77*(1+'7.4.1 Salaries &amp; Wages'!$B$78)</f>
        <v>55944.47203538764</v>
      </c>
      <c r="C268" s="952">
        <f>'7.2.1 Turnover Vehicles'!I85*'7.4.1 Salaries &amp; Wages'!I80+(C247/(B247+C247+D247+0.00001)*('7.4.1 Salaries &amp; Wages'!I71+'7.4.1 Salaries &amp; Wages'!I91))-'7.2.1 Turnover Vehicles'!$I$85*'7.4.1 Salaries &amp; Wages'!$I$77*(1+'7.4.1 Salaries &amp; Wages'!$B$78)</f>
        <v>0</v>
      </c>
      <c r="D268" s="952">
        <f>'7.2.1 Turnover Vehicles'!I86*'7.4.1 Salaries &amp; Wages'!I80+(D247/(B247+C247+D247+0.00001)*('7.4.1 Salaries &amp; Wages'!I71+'7.4.1 Salaries &amp; Wages'!I91))-'7.2.1 Turnover Vehicles'!$I$86*'7.4.1 Salaries &amp; Wages'!$I$77*(1+'7.4.1 Salaries &amp; Wages'!$B$78)</f>
        <v>0</v>
      </c>
      <c r="E268" s="952">
        <f>'7.4.1 Salaries &amp; Wages'!I141+'7.4.1 Salaries &amp; Wages'!I150+'7.4.1 Salaries &amp; Wages'!I159+'7.4.1 Salaries &amp; Wages'!I168</f>
        <v>59849.089957200005</v>
      </c>
      <c r="F268" s="952">
        <f>'7.4.1 Salaries &amp; Wages'!I132+'7.4.1 Salaries &amp; Wages'!I123</f>
        <v>49442.980692480007</v>
      </c>
      <c r="G268" s="953">
        <f>'7.4.1 Salaries &amp; Wages'!I35+'7.4.1 Salaries &amp; Wages'!I44+'7.4.1 Salaries &amp; Wages'!I53+'7.4.1 Salaries &amp; Wages'!I62</f>
        <v>56597.568636560012</v>
      </c>
      <c r="H268" s="951">
        <f>SUM(B268:G268)</f>
        <v>221834.11132162763</v>
      </c>
      <c r="I268" s="954">
        <f>B268+C268+D268+F268+E268+G268</f>
        <v>221834.11132162763</v>
      </c>
    </row>
    <row r="269" spans="1:9" x14ac:dyDescent="0.35">
      <c r="A269" s="424"/>
      <c r="B269" s="944"/>
      <c r="C269" s="945"/>
      <c r="D269" s="945"/>
      <c r="E269" s="945"/>
      <c r="F269" s="945"/>
      <c r="G269" s="963"/>
      <c r="H269" s="944"/>
      <c r="I269" s="963"/>
    </row>
    <row r="270" spans="1:9" x14ac:dyDescent="0.35">
      <c r="A270" s="435" t="s">
        <v>654</v>
      </c>
      <c r="B270" s="940"/>
      <c r="C270" s="941"/>
      <c r="D270" s="941"/>
      <c r="E270" s="941"/>
      <c r="F270" s="945"/>
      <c r="G270" s="942"/>
      <c r="H270" s="940"/>
      <c r="I270" s="942"/>
    </row>
    <row r="271" spans="1:9" x14ac:dyDescent="0.35">
      <c r="A271" s="424" t="s">
        <v>83</v>
      </c>
      <c r="B271" s="944">
        <f>'7.4.2 Selling &amp; Oper. expenses'!I37*'7.4.2 Selling &amp; Oper. expenses'!E68</f>
        <v>2258.1999999999998</v>
      </c>
      <c r="C271" s="945">
        <f>'7.4.2 Selling &amp; Oper. expenses'!I37*'7.4.2 Selling &amp; Oper. expenses'!F68</f>
        <v>0</v>
      </c>
      <c r="D271" s="945">
        <f>'7.4.2 Selling &amp; Oper. expenses'!I37*'7.4.2 Selling &amp; Oper. expenses'!G68</f>
        <v>0</v>
      </c>
      <c r="E271" s="945">
        <f>'7.4.2 Selling &amp; Oper. expenses'!I37*'7.4.2 Selling &amp; Oper. expenses'!H68</f>
        <v>322.60000000000002</v>
      </c>
      <c r="F271" s="945">
        <f>'7.4.2 Selling &amp; Oper. expenses'!I37*'7.4.2 Selling &amp; Oper. expenses'!I68</f>
        <v>322.60000000000002</v>
      </c>
      <c r="G271" s="963">
        <f>'7.4.2 Selling &amp; Oper. expenses'!I37*'7.4.2 Selling &amp; Oper. expenses'!J68</f>
        <v>322.60000000000002</v>
      </c>
      <c r="H271" s="944">
        <f>SUM(B271:G271)</f>
        <v>3225.9999999999995</v>
      </c>
      <c r="I271" s="963">
        <f>SUM(B271:G271)</f>
        <v>3225.9999999999995</v>
      </c>
    </row>
    <row r="272" spans="1:9" x14ac:dyDescent="0.35">
      <c r="A272" s="424" t="s">
        <v>84</v>
      </c>
      <c r="B272" s="944">
        <f>'7.4.2 Selling &amp; Oper. expenses'!I38*'7.4.2 Selling &amp; Oper. expenses'!E69</f>
        <v>5419.4</v>
      </c>
      <c r="C272" s="945">
        <f>'7.4.2 Selling &amp; Oper. expenses'!I38*'7.4.2 Selling &amp; Oper. expenses'!F69</f>
        <v>0</v>
      </c>
      <c r="D272" s="945">
        <f>'7.4.2 Selling &amp; Oper. expenses'!I38*'7.4.2 Selling &amp; Oper. expenses'!G69</f>
        <v>0</v>
      </c>
      <c r="E272" s="945">
        <f>'7.4.2 Selling &amp; Oper. expenses'!I38*'7.4.2 Selling &amp; Oper. expenses'!H69</f>
        <v>774.2</v>
      </c>
      <c r="F272" s="945">
        <f>'7.4.2 Selling &amp; Oper. expenses'!I38*'7.4.2 Selling &amp; Oper. expenses'!I69</f>
        <v>774.2</v>
      </c>
      <c r="G272" s="963">
        <f>'7.4.2 Selling &amp; Oper. expenses'!I38*'7.4.2 Selling &amp; Oper. expenses'!J69</f>
        <v>774.2</v>
      </c>
      <c r="H272" s="944">
        <f>SUM(B272:G272)</f>
        <v>7741.9999999999991</v>
      </c>
      <c r="I272" s="963">
        <f>SUM(B272:G272)</f>
        <v>7741.9999999999991</v>
      </c>
    </row>
    <row r="273" spans="1:9" x14ac:dyDescent="0.35">
      <c r="A273" s="424" t="s">
        <v>85</v>
      </c>
      <c r="B273" s="944">
        <f>'7.4.2 Selling &amp; Oper. expenses'!I39*'7.4.2 Selling &amp; Oper. expenses'!E70</f>
        <v>2000</v>
      </c>
      <c r="C273" s="945">
        <f>'7.4.2 Selling &amp; Oper. expenses'!I39*'7.4.2 Selling &amp; Oper. expenses'!F70</f>
        <v>0</v>
      </c>
      <c r="D273" s="945">
        <f>'7.4.2 Selling &amp; Oper. expenses'!I39*'7.4.2 Selling &amp; Oper. expenses'!G70</f>
        <v>0</v>
      </c>
      <c r="E273" s="945">
        <f>'7.4.2 Selling &amp; Oper. expenses'!I39*'7.4.2 Selling &amp; Oper. expenses'!H70</f>
        <v>1250</v>
      </c>
      <c r="F273" s="945">
        <f>'7.4.2 Selling &amp; Oper. expenses'!I39*'7.4.2 Selling &amp; Oper. expenses'!I70</f>
        <v>1250</v>
      </c>
      <c r="G273" s="963">
        <f>'7.4.2 Selling &amp; Oper. expenses'!I39*'7.4.2 Selling &amp; Oper. expenses'!J70</f>
        <v>500</v>
      </c>
      <c r="H273" s="944">
        <f t="shared" ref="H273:H284" si="31">SUM(B273:G273)</f>
        <v>5000</v>
      </c>
      <c r="I273" s="963">
        <f t="shared" ref="I273:I284" si="32">SUM(B273:G273)</f>
        <v>5000</v>
      </c>
    </row>
    <row r="274" spans="1:9" x14ac:dyDescent="0.35">
      <c r="A274" s="424" t="s">
        <v>86</v>
      </c>
      <c r="B274" s="944">
        <f>'7.4.2 Selling &amp; Oper. expenses'!I40*'7.4.2 Selling &amp; Oper. expenses'!E71</f>
        <v>1200</v>
      </c>
      <c r="C274" s="945">
        <f>'7.4.2 Selling &amp; Oper. expenses'!I40*'7.4.2 Selling &amp; Oper. expenses'!F71</f>
        <v>0</v>
      </c>
      <c r="D274" s="945">
        <f>'7.4.2 Selling &amp; Oper. expenses'!I40*'7.4.2 Selling &amp; Oper. expenses'!G71</f>
        <v>0</v>
      </c>
      <c r="E274" s="945">
        <f>'7.4.2 Selling &amp; Oper. expenses'!I40*'7.4.2 Selling &amp; Oper. expenses'!H71</f>
        <v>1800</v>
      </c>
      <c r="F274" s="945">
        <f>'7.4.2 Selling &amp; Oper. expenses'!I40*'7.4.2 Selling &amp; Oper. expenses'!I71</f>
        <v>3000</v>
      </c>
      <c r="G274" s="963">
        <f>'7.4.2 Selling &amp; Oper. expenses'!I40*'7.4.2 Selling &amp; Oper. expenses'!J71</f>
        <v>0</v>
      </c>
      <c r="H274" s="944">
        <f t="shared" si="31"/>
        <v>6000</v>
      </c>
      <c r="I274" s="963">
        <f t="shared" si="32"/>
        <v>6000</v>
      </c>
    </row>
    <row r="275" spans="1:9" x14ac:dyDescent="0.35">
      <c r="A275" s="424" t="s">
        <v>88</v>
      </c>
      <c r="B275" s="944">
        <f>'7.4.2 Selling &amp; Oper. expenses'!I41*'7.4.2 Selling &amp; Oper. expenses'!E72</f>
        <v>4600</v>
      </c>
      <c r="C275" s="945">
        <f>'7.4.2 Selling &amp; Oper. expenses'!I41*'7.4.2 Selling &amp; Oper. expenses'!F72</f>
        <v>0</v>
      </c>
      <c r="D275" s="945">
        <f>'7.4.2 Selling &amp; Oper. expenses'!I41*'7.4.2 Selling &amp; Oper. expenses'!G72</f>
        <v>0</v>
      </c>
      <c r="E275" s="945">
        <f>'7.4.2 Selling &amp; Oper. expenses'!I41*'7.4.2 Selling &amp; Oper. expenses'!H72</f>
        <v>3450</v>
      </c>
      <c r="F275" s="945">
        <f>'7.4.2 Selling &amp; Oper. expenses'!I41*'7.4.2 Selling &amp; Oper. expenses'!I72</f>
        <v>13800</v>
      </c>
      <c r="G275" s="963">
        <f>'7.4.2 Selling &amp; Oper. expenses'!I41*'7.4.2 Selling &amp; Oper. expenses'!J72</f>
        <v>1150</v>
      </c>
      <c r="H275" s="944">
        <f t="shared" si="31"/>
        <v>23000</v>
      </c>
      <c r="I275" s="963">
        <f t="shared" si="32"/>
        <v>23000</v>
      </c>
    </row>
    <row r="276" spans="1:9" x14ac:dyDescent="0.35">
      <c r="A276" s="424" t="s">
        <v>213</v>
      </c>
      <c r="B276" s="944">
        <f>'7.4.2 Selling &amp; Oper. expenses'!I42*'7.4.2 Selling &amp; Oper. expenses'!E73</f>
        <v>123200</v>
      </c>
      <c r="C276" s="945">
        <f>'7.4.2 Selling &amp; Oper. expenses'!I42*'7.4.2 Selling &amp; Oper. expenses'!F73</f>
        <v>0</v>
      </c>
      <c r="D276" s="945">
        <f>'7.4.2 Selling &amp; Oper. expenses'!I42*'7.4.2 Selling &amp; Oper. expenses'!G73</f>
        <v>0</v>
      </c>
      <c r="E276" s="945">
        <f>'7.4.2 Selling &amp; Oper. expenses'!I42*'7.4.2 Selling &amp; Oper. expenses'!H73</f>
        <v>15400</v>
      </c>
      <c r="F276" s="945">
        <f>'7.4.2 Selling &amp; Oper. expenses'!I42*'7.4.2 Selling &amp; Oper. expenses'!I73</f>
        <v>15400</v>
      </c>
      <c r="G276" s="963">
        <f>'7.4.2 Selling &amp; Oper. expenses'!I42*'7.4.2 Selling &amp; Oper. expenses'!J73</f>
        <v>0</v>
      </c>
      <c r="H276" s="944">
        <f t="shared" si="31"/>
        <v>154000</v>
      </c>
      <c r="I276" s="963">
        <f t="shared" si="32"/>
        <v>154000</v>
      </c>
    </row>
    <row r="277" spans="1:9" x14ac:dyDescent="0.35">
      <c r="A277" s="424" t="s">
        <v>89</v>
      </c>
      <c r="B277" s="944">
        <f>'7.4.2 Selling &amp; Oper. expenses'!I43*'7.4.2 Selling &amp; Oper. expenses'!E74</f>
        <v>15000</v>
      </c>
      <c r="C277" s="945">
        <f>'7.4.2 Selling &amp; Oper. expenses'!I43*'7.4.2 Selling &amp; Oper. expenses'!F74</f>
        <v>0</v>
      </c>
      <c r="D277" s="945">
        <f>'7.4.2 Selling &amp; Oper. expenses'!I43*'7.4.2 Selling &amp; Oper. expenses'!G74</f>
        <v>0</v>
      </c>
      <c r="E277" s="945">
        <f>'7.4.2 Selling &amp; Oper. expenses'!I43*'7.4.2 Selling &amp; Oper. expenses'!H74</f>
        <v>5000</v>
      </c>
      <c r="F277" s="945">
        <f>'7.4.2 Selling &amp; Oper. expenses'!I43*'7.4.2 Selling &amp; Oper. expenses'!I74</f>
        <v>5000</v>
      </c>
      <c r="G277" s="963">
        <f>'7.4.2 Selling &amp; Oper. expenses'!I43*'7.4.2 Selling &amp; Oper. expenses'!J74</f>
        <v>0</v>
      </c>
      <c r="H277" s="944">
        <f t="shared" si="31"/>
        <v>25000</v>
      </c>
      <c r="I277" s="963">
        <f t="shared" si="32"/>
        <v>25000</v>
      </c>
    </row>
    <row r="278" spans="1:9" x14ac:dyDescent="0.35">
      <c r="A278" s="424" t="s">
        <v>90</v>
      </c>
      <c r="B278" s="944">
        <f>'7.4.2 Selling &amp; Oper. expenses'!I44*'7.4.2 Selling &amp; Oper. expenses'!E75</f>
        <v>3226</v>
      </c>
      <c r="C278" s="945">
        <f>'7.4.2 Selling &amp; Oper. expenses'!I44*'7.4.2 Selling &amp; Oper. expenses'!F75</f>
        <v>0</v>
      </c>
      <c r="D278" s="945">
        <f>'7.4.2 Selling &amp; Oper. expenses'!I44*'7.4.2 Selling &amp; Oper. expenses'!G75</f>
        <v>0</v>
      </c>
      <c r="E278" s="945">
        <f>'7.4.2 Selling &amp; Oper. expenses'!I44*'7.4.2 Selling &amp; Oper. expenses'!H75</f>
        <v>1613</v>
      </c>
      <c r="F278" s="945">
        <f>'7.4.2 Selling &amp; Oper. expenses'!I44*'7.4.2 Selling &amp; Oper. expenses'!I75</f>
        <v>1613</v>
      </c>
      <c r="G278" s="963">
        <f>'7.4.2 Selling &amp; Oper. expenses'!I44*'7.4.2 Selling &amp; Oper. expenses'!J75</f>
        <v>1613</v>
      </c>
      <c r="H278" s="944">
        <f t="shared" si="31"/>
        <v>8065</v>
      </c>
      <c r="I278" s="963">
        <f t="shared" si="32"/>
        <v>8065</v>
      </c>
    </row>
    <row r="279" spans="1:9" x14ac:dyDescent="0.35">
      <c r="A279" s="424" t="s">
        <v>214</v>
      </c>
      <c r="B279" s="944">
        <f>'7.4.2 Selling &amp; Oper. expenses'!I45*'7.4.2 Selling &amp; Oper. expenses'!E76</f>
        <v>1290.4000000000001</v>
      </c>
      <c r="C279" s="945">
        <f>'7.4.2 Selling &amp; Oper. expenses'!I45*'7.4.2 Selling &amp; Oper. expenses'!F76</f>
        <v>0</v>
      </c>
      <c r="D279" s="945">
        <f>'7.4.2 Selling &amp; Oper. expenses'!I45*'7.4.2 Selling &amp; Oper. expenses'!G76</f>
        <v>0</v>
      </c>
      <c r="E279" s="945">
        <f>'7.4.2 Selling &amp; Oper. expenses'!I45*'7.4.2 Selling &amp; Oper. expenses'!H76</f>
        <v>645.20000000000005</v>
      </c>
      <c r="F279" s="945">
        <f>'7.4.2 Selling &amp; Oper. expenses'!I45*'7.4.2 Selling &amp; Oper. expenses'!I76</f>
        <v>645.20000000000005</v>
      </c>
      <c r="G279" s="963">
        <f>'7.4.2 Selling &amp; Oper. expenses'!I45*'7.4.2 Selling &amp; Oper. expenses'!J76</f>
        <v>645.20000000000005</v>
      </c>
      <c r="H279" s="944">
        <f t="shared" si="31"/>
        <v>3226</v>
      </c>
      <c r="I279" s="963">
        <f t="shared" si="32"/>
        <v>3226</v>
      </c>
    </row>
    <row r="280" spans="1:9" x14ac:dyDescent="0.35">
      <c r="A280" s="424" t="s">
        <v>92</v>
      </c>
      <c r="B280" s="944">
        <f>'7.4.2 Selling &amp; Oper. expenses'!I46*'7.4.2 Selling &amp; Oper. expenses'!E77</f>
        <v>4838.5</v>
      </c>
      <c r="C280" s="945">
        <f>'7.4.2 Selling &amp; Oper. expenses'!I46*'7.4.2 Selling &amp; Oper. expenses'!F77</f>
        <v>0</v>
      </c>
      <c r="D280" s="945">
        <f>'7.4.2 Selling &amp; Oper. expenses'!I46*'7.4.2 Selling &amp; Oper. expenses'!G77</f>
        <v>0</v>
      </c>
      <c r="E280" s="945">
        <f>'7.4.2 Selling &amp; Oper. expenses'!I46*'7.4.2 Selling &amp; Oper. expenses'!H77</f>
        <v>1935.4</v>
      </c>
      <c r="F280" s="945">
        <f>'7.4.2 Selling &amp; Oper. expenses'!I46*'7.4.2 Selling &amp; Oper. expenses'!I77</f>
        <v>967.7</v>
      </c>
      <c r="G280" s="963">
        <f>'7.4.2 Selling &amp; Oper. expenses'!I46*'7.4.2 Selling &amp; Oper. expenses'!J77</f>
        <v>1935.4</v>
      </c>
      <c r="H280" s="944">
        <f t="shared" si="31"/>
        <v>9677</v>
      </c>
      <c r="I280" s="963">
        <f t="shared" si="32"/>
        <v>9677</v>
      </c>
    </row>
    <row r="281" spans="1:9" x14ac:dyDescent="0.35">
      <c r="A281" s="424" t="s">
        <v>93</v>
      </c>
      <c r="B281" s="944">
        <f>'7.4.2 Selling &amp; Oper. expenses'!I47*'7.4.2 Selling &amp; Oper. expenses'!E78</f>
        <v>6000</v>
      </c>
      <c r="C281" s="945">
        <f>'7.4.2 Selling &amp; Oper. expenses'!I47*'7.4.2 Selling &amp; Oper. expenses'!F78</f>
        <v>0</v>
      </c>
      <c r="D281" s="945">
        <f>'7.4.2 Selling &amp; Oper. expenses'!I47*'7.4.2 Selling &amp; Oper. expenses'!G78</f>
        <v>0</v>
      </c>
      <c r="E281" s="945">
        <f>'7.4.2 Selling &amp; Oper. expenses'!I47*'7.4.2 Selling &amp; Oper. expenses'!H78</f>
        <v>1500</v>
      </c>
      <c r="F281" s="945">
        <f>'7.4.2 Selling &amp; Oper. expenses'!I47*'7.4.2 Selling &amp; Oper. expenses'!I78</f>
        <v>7500</v>
      </c>
      <c r="G281" s="963">
        <f>'7.4.2 Selling &amp; Oper. expenses'!I47*'7.4.2 Selling &amp; Oper. expenses'!J78</f>
        <v>0</v>
      </c>
      <c r="H281" s="944">
        <f t="shared" si="31"/>
        <v>15000</v>
      </c>
      <c r="I281" s="963">
        <f t="shared" si="32"/>
        <v>15000</v>
      </c>
    </row>
    <row r="282" spans="1:9" x14ac:dyDescent="0.35">
      <c r="A282" s="424" t="s">
        <v>94</v>
      </c>
      <c r="B282" s="944">
        <f>'7.4.2 Selling &amp; Oper. expenses'!I48*'7.4.2 Selling &amp; Oper. expenses'!E79</f>
        <v>3387</v>
      </c>
      <c r="C282" s="945">
        <f>'7.4.2 Selling &amp; Oper. expenses'!I48*'7.4.2 Selling &amp; Oper. expenses'!F79</f>
        <v>0</v>
      </c>
      <c r="D282" s="945">
        <f>'7.4.2 Selling &amp; Oper. expenses'!I48*'7.4.2 Selling &amp; Oper. expenses'!G79</f>
        <v>0</v>
      </c>
      <c r="E282" s="945">
        <f>'7.4.2 Selling &amp; Oper. expenses'!I48*'7.4.2 Selling &amp; Oper. expenses'!H79</f>
        <v>2258</v>
      </c>
      <c r="F282" s="945">
        <f>'7.4.2 Selling &amp; Oper. expenses'!I48*'7.4.2 Selling &amp; Oper. expenses'!I79</f>
        <v>4516</v>
      </c>
      <c r="G282" s="963">
        <f>'7.4.2 Selling &amp; Oper. expenses'!I48*'7.4.2 Selling &amp; Oper. expenses'!J79</f>
        <v>1129</v>
      </c>
      <c r="H282" s="944">
        <f t="shared" si="31"/>
        <v>11290</v>
      </c>
      <c r="I282" s="963">
        <f t="shared" si="32"/>
        <v>11290</v>
      </c>
    </row>
    <row r="283" spans="1:9" x14ac:dyDescent="0.35">
      <c r="A283" s="424" t="s">
        <v>115</v>
      </c>
      <c r="B283" s="944">
        <f>'7.4.2 Selling &amp; Oper. expenses'!I49*'7.4.2 Selling &amp; Oper. expenses'!E80</f>
        <v>1613</v>
      </c>
      <c r="C283" s="945">
        <f>'7.4.2 Selling &amp; Oper. expenses'!I49*'7.4.2 Selling &amp; Oper. expenses'!F80</f>
        <v>0</v>
      </c>
      <c r="D283" s="945">
        <f>'7.4.2 Selling &amp; Oper. expenses'!I49*'7.4.2 Selling &amp; Oper. expenses'!G80</f>
        <v>0</v>
      </c>
      <c r="E283" s="945">
        <f>'7.4.2 Selling &amp; Oper. expenses'!I49*'7.4.2 Selling &amp; Oper. expenses'!H80</f>
        <v>0</v>
      </c>
      <c r="F283" s="945">
        <f>'7.4.2 Selling &amp; Oper. expenses'!I49*'7.4.2 Selling &amp; Oper. expenses'!I80</f>
        <v>0</v>
      </c>
      <c r="G283" s="963">
        <f>'7.4.2 Selling &amp; Oper. expenses'!I49*'7.4.2 Selling &amp; Oper. expenses'!J80</f>
        <v>0</v>
      </c>
      <c r="H283" s="944">
        <f>SUM(B283:G283)</f>
        <v>1613</v>
      </c>
      <c r="I283" s="963">
        <f>SUM(B283:G283)</f>
        <v>1613</v>
      </c>
    </row>
    <row r="284" spans="1:9" x14ac:dyDescent="0.35">
      <c r="A284" s="424" t="s">
        <v>707</v>
      </c>
      <c r="B284" s="944">
        <f>'7.4.2 Selling &amp; Oper. expenses'!I50*'7.4.2 Selling &amp; Oper. expenses'!E81</f>
        <v>3000</v>
      </c>
      <c r="C284" s="945">
        <f>'7.4.2 Selling &amp; Oper. expenses'!I50*'7.4.2 Selling &amp; Oper. expenses'!F81</f>
        <v>0</v>
      </c>
      <c r="D284" s="945">
        <f>'7.4.2 Selling &amp; Oper. expenses'!I50*'7.4.2 Selling &amp; Oper. expenses'!G81</f>
        <v>0</v>
      </c>
      <c r="E284" s="945">
        <f>'7.4.2 Selling &amp; Oper. expenses'!I50*'7.4.2 Selling &amp; Oper. expenses'!H81</f>
        <v>2000</v>
      </c>
      <c r="F284" s="945">
        <f>'7.4.2 Selling &amp; Oper. expenses'!I50*'7.4.2 Selling &amp; Oper. expenses'!I81</f>
        <v>2000</v>
      </c>
      <c r="G284" s="963">
        <f>'7.4.2 Selling &amp; Oper. expenses'!I50*'7.4.2 Selling &amp; Oper. expenses'!J81</f>
        <v>3000</v>
      </c>
      <c r="H284" s="944">
        <f t="shared" si="31"/>
        <v>10000</v>
      </c>
      <c r="I284" s="963">
        <f t="shared" si="32"/>
        <v>10000</v>
      </c>
    </row>
    <row r="285" spans="1:9" x14ac:dyDescent="0.35">
      <c r="A285" s="424" t="s">
        <v>97</v>
      </c>
      <c r="B285" s="944">
        <f>'7.4.2 Selling &amp; Oper. expenses'!I51*'7.4.2 Selling &amp; Oper. expenses'!E82</f>
        <v>30000</v>
      </c>
      <c r="C285" s="945">
        <f>'7.4.2 Selling &amp; Oper. expenses'!I51*'7.4.2 Selling &amp; Oper. expenses'!F82</f>
        <v>0</v>
      </c>
      <c r="D285" s="945">
        <f>'7.4.2 Selling &amp; Oper. expenses'!I51*'7.4.2 Selling &amp; Oper. expenses'!G82</f>
        <v>0</v>
      </c>
      <c r="E285" s="945">
        <f>'7.4.2 Selling &amp; Oper. expenses'!I51*'7.4.2 Selling &amp; Oper. expenses'!H82</f>
        <v>20000</v>
      </c>
      <c r="F285" s="945">
        <f>'7.4.2 Selling &amp; Oper. expenses'!I51*'7.4.2 Selling &amp; Oper. expenses'!I82</f>
        <v>50000</v>
      </c>
      <c r="G285" s="963">
        <f>'7.4.2 Selling &amp; Oper. expenses'!I51*'7.4.2 Selling &amp; Oper. expenses'!J82</f>
        <v>0</v>
      </c>
      <c r="H285" s="944">
        <f>SUM(B285:G285)</f>
        <v>100000</v>
      </c>
      <c r="I285" s="963">
        <f>SUM(B285:G285)</f>
        <v>100000</v>
      </c>
    </row>
    <row r="286" spans="1:9" x14ac:dyDescent="0.35">
      <c r="A286" s="424" t="s">
        <v>217</v>
      </c>
      <c r="B286" s="944">
        <f>'7.4.2 Selling &amp; Oper. expenses'!I52*'7.4.2 Selling &amp; Oper. expenses'!E83</f>
        <v>598.95000000000016</v>
      </c>
      <c r="C286" s="945">
        <f>'7.4.2 Selling &amp; Oper. expenses'!I52*'7.4.2 Selling &amp; Oper. expenses'!F83</f>
        <v>0</v>
      </c>
      <c r="D286" s="945">
        <f>'7.4.2 Selling &amp; Oper. expenses'!I52*'7.4.2 Selling &amp; Oper. expenses'!G83</f>
        <v>0</v>
      </c>
      <c r="E286" s="945">
        <f>'7.4.2 Selling &amp; Oper. expenses'!I52*'7.4.2 Selling &amp; Oper. expenses'!H83</f>
        <v>399.30000000000018</v>
      </c>
      <c r="F286" s="945">
        <f>'7.4.2 Selling &amp; Oper. expenses'!I52*'7.4.2 Selling &amp; Oper. expenses'!I83</f>
        <v>998.25000000000034</v>
      </c>
      <c r="G286" s="963">
        <f>'7.4.2 Selling &amp; Oper. expenses'!I52*'7.4.2 Selling &amp; Oper. expenses'!J83</f>
        <v>0</v>
      </c>
      <c r="H286" s="944">
        <f>SUM(B286:G286)</f>
        <v>1996.5000000000007</v>
      </c>
      <c r="I286" s="963">
        <f>SUM(B286:G286)</f>
        <v>1996.5000000000007</v>
      </c>
    </row>
    <row r="287" spans="1:9" x14ac:dyDescent="0.35">
      <c r="A287" s="424" t="s">
        <v>99</v>
      </c>
      <c r="B287" s="944">
        <f>'7.4.2 Selling &amp; Oper. expenses'!I53*'7.4.2 Selling &amp; Oper. expenses'!E84</f>
        <v>12000</v>
      </c>
      <c r="C287" s="945">
        <f>'7.4.2 Selling &amp; Oper. expenses'!I53*'7.4.2 Selling &amp; Oper. expenses'!F84</f>
        <v>0</v>
      </c>
      <c r="D287" s="945">
        <f>'7.4.2 Selling &amp; Oper. expenses'!I53*'7.4.2 Selling &amp; Oper. expenses'!G84</f>
        <v>0</v>
      </c>
      <c r="E287" s="945">
        <f>'7.4.2 Selling &amp; Oper. expenses'!I53*'7.4.2 Selling &amp; Oper. expenses'!H84</f>
        <v>6000</v>
      </c>
      <c r="F287" s="945">
        <f>'7.4.2 Selling &amp; Oper. expenses'!I53*'7.4.2 Selling &amp; Oper. expenses'!I84</f>
        <v>2000</v>
      </c>
      <c r="G287" s="963">
        <f>'7.4.2 Selling &amp; Oper. expenses'!I53*'7.4.2 Selling &amp; Oper. expenses'!J84</f>
        <v>0</v>
      </c>
      <c r="H287" s="944">
        <f>SUM(B287:G287)</f>
        <v>20000</v>
      </c>
      <c r="I287" s="963">
        <f>SUM(B287:G287)</f>
        <v>20000</v>
      </c>
    </row>
    <row r="288" spans="1:9" ht="12" customHeight="1" thickBot="1" x14ac:dyDescent="0.4">
      <c r="A288" s="424" t="s">
        <v>96</v>
      </c>
      <c r="B288" s="944">
        <f>'7.4.2 Selling &amp; Oper. expenses'!I54*'7.4.2 Selling &amp; Oper. expenses'!E85</f>
        <v>1996.5000000000007</v>
      </c>
      <c r="C288" s="945">
        <f>'7.4.2 Selling &amp; Oper. expenses'!I54*'7.4.2 Selling &amp; Oper. expenses'!F85</f>
        <v>0</v>
      </c>
      <c r="D288" s="945">
        <f>'7.4.2 Selling &amp; Oper. expenses'!I54*'7.4.2 Selling &amp; Oper. expenses'!G85</f>
        <v>0</v>
      </c>
      <c r="E288" s="945">
        <f>'7.4.2 Selling &amp; Oper. expenses'!I54*'7.4.2 Selling &amp; Oper. expenses'!H85</f>
        <v>798.60000000000036</v>
      </c>
      <c r="F288" s="945">
        <f>'7.4.2 Selling &amp; Oper. expenses'!I54*'7.4.2 Selling &amp; Oper. expenses'!I85</f>
        <v>798.60000000000036</v>
      </c>
      <c r="G288" s="963">
        <f>'7.4.2 Selling &amp; Oper. expenses'!I54*'7.4.2 Selling &amp; Oper. expenses'!J85</f>
        <v>399.30000000000018</v>
      </c>
      <c r="H288" s="944">
        <f>SUM(B288:G288)</f>
        <v>3993.0000000000018</v>
      </c>
      <c r="I288" s="963">
        <f>SUM(B288:G288)</f>
        <v>3993.0000000000018</v>
      </c>
    </row>
    <row r="289" spans="1:9" s="255" customFormat="1" x14ac:dyDescent="0.35">
      <c r="A289" s="435" t="s">
        <v>655</v>
      </c>
      <c r="B289" s="980">
        <f>SUM(B271:B288)</f>
        <v>221627.95</v>
      </c>
      <c r="C289" s="1632">
        <f t="shared" ref="C289:I289" si="33">SUM(C271:C288)</f>
        <v>0</v>
      </c>
      <c r="D289" s="1633">
        <f t="shared" si="33"/>
        <v>0</v>
      </c>
      <c r="E289" s="1633">
        <f>SUM(E271:E288)</f>
        <v>65146.3</v>
      </c>
      <c r="F289" s="1633">
        <f t="shared" si="33"/>
        <v>110585.55</v>
      </c>
      <c r="G289" s="1632">
        <f t="shared" si="33"/>
        <v>11468.7</v>
      </c>
      <c r="H289" s="980">
        <f t="shared" si="33"/>
        <v>408828.5</v>
      </c>
      <c r="I289" s="1636">
        <f t="shared" si="33"/>
        <v>408828.5</v>
      </c>
    </row>
    <row r="290" spans="1:9" x14ac:dyDescent="0.35">
      <c r="A290" s="435"/>
      <c r="B290" s="944"/>
      <c r="C290" s="945"/>
      <c r="D290" s="945"/>
      <c r="E290" s="945"/>
      <c r="F290" s="945"/>
      <c r="G290" s="963"/>
      <c r="H290" s="944"/>
      <c r="I290" s="963"/>
    </row>
    <row r="291" spans="1:9" s="255" customFormat="1" x14ac:dyDescent="0.35">
      <c r="A291" s="435" t="s">
        <v>656</v>
      </c>
      <c r="B291" s="951">
        <f>'7.4.3 Inv. &amp; Depr.'!J126</f>
        <v>0</v>
      </c>
      <c r="C291" s="952">
        <f>'7.4.3 Inv. &amp; Depr.'!J127</f>
        <v>0</v>
      </c>
      <c r="D291" s="952">
        <f>'7.4.3 Inv. &amp; Depr.'!J128</f>
        <v>0</v>
      </c>
      <c r="E291" s="952">
        <f>'7.4.3 Inv. &amp; Depr.'!J129</f>
        <v>0</v>
      </c>
      <c r="F291" s="952">
        <v>0</v>
      </c>
      <c r="G291" s="953">
        <f>'7.4.3 Inv. &amp; Depr.'!J121+'7.4.3 Inv. &amp; Depr.'!J130</f>
        <v>90400</v>
      </c>
      <c r="H291" s="951">
        <f>SUM(B291:G291)</f>
        <v>90400</v>
      </c>
      <c r="I291" s="953">
        <f>SUM(B291:G291)</f>
        <v>90400</v>
      </c>
    </row>
    <row r="292" spans="1:9" x14ac:dyDescent="0.35">
      <c r="A292" s="424"/>
      <c r="B292" s="944"/>
      <c r="C292" s="945"/>
      <c r="D292" s="945"/>
      <c r="E292" s="945"/>
      <c r="F292" s="945"/>
      <c r="G292" s="963"/>
      <c r="H292" s="944"/>
      <c r="I292" s="963"/>
    </row>
    <row r="293" spans="1:9" x14ac:dyDescent="0.35">
      <c r="A293" s="769"/>
      <c r="B293" s="936"/>
      <c r="C293" s="937"/>
      <c r="D293" s="937"/>
      <c r="E293" s="937"/>
      <c r="F293" s="937"/>
      <c r="G293" s="971"/>
      <c r="H293" s="972"/>
      <c r="I293" s="938"/>
    </row>
    <row r="294" spans="1:9" x14ac:dyDescent="0.35">
      <c r="A294" s="435" t="s">
        <v>218</v>
      </c>
      <c r="B294" s="951">
        <f t="shared" ref="B294:G294" si="34">B263-B266-B268-B289-B291</f>
        <v>797829.69956461294</v>
      </c>
      <c r="C294" s="952">
        <f t="shared" si="34"/>
        <v>0</v>
      </c>
      <c r="D294" s="952">
        <f t="shared" si="34"/>
        <v>0</v>
      </c>
      <c r="E294" s="952">
        <f ca="1">E263-E266-E268-E289-E291</f>
        <v>125663.3743647051</v>
      </c>
      <c r="F294" s="952">
        <f t="shared" si="34"/>
        <v>-87231.710578394937</v>
      </c>
      <c r="G294" s="969">
        <f t="shared" si="34"/>
        <v>-158466.26863656001</v>
      </c>
      <c r="H294" s="951">
        <f ca="1">H263-H266-H268-H289-H291</f>
        <v>677795.09471436497</v>
      </c>
      <c r="I294" s="954">
        <f ca="1">I263-I266-I268-I289-I291</f>
        <v>677795.09471436497</v>
      </c>
    </row>
    <row r="295" spans="1:9" ht="15" thickBot="1" x14ac:dyDescent="0.4">
      <c r="A295" s="770"/>
      <c r="B295" s="973"/>
      <c r="C295" s="974"/>
      <c r="D295" s="974"/>
      <c r="E295" s="974"/>
      <c r="F295" s="974"/>
      <c r="G295" s="975"/>
      <c r="H295" s="973"/>
      <c r="I295" s="975"/>
    </row>
    <row r="296" spans="1:9" x14ac:dyDescent="0.35">
      <c r="A296" s="424"/>
      <c r="B296" s="944"/>
      <c r="C296" s="945"/>
      <c r="D296" s="945"/>
      <c r="E296" s="945"/>
      <c r="F296" s="945"/>
      <c r="G296" s="963"/>
      <c r="H296" s="944"/>
      <c r="I296" s="963"/>
    </row>
    <row r="297" spans="1:9" x14ac:dyDescent="0.35">
      <c r="A297" s="424" t="s">
        <v>215</v>
      </c>
      <c r="B297" s="944">
        <v>0</v>
      </c>
      <c r="C297" s="945">
        <v>0</v>
      </c>
      <c r="D297" s="945">
        <v>0</v>
      </c>
      <c r="E297" s="945">
        <v>0</v>
      </c>
      <c r="F297" s="945">
        <v>0</v>
      </c>
      <c r="G297" s="963">
        <f ca="1">-'7.5.2 Fin. Income &amp; Expenses '!K70</f>
        <v>0</v>
      </c>
      <c r="H297" s="944">
        <f ca="1">SUM(B297:G297)</f>
        <v>0</v>
      </c>
      <c r="I297" s="963">
        <f ca="1">SUM(B297:G297)</f>
        <v>0</v>
      </c>
    </row>
    <row r="298" spans="1:9" x14ac:dyDescent="0.35">
      <c r="A298" s="424" t="s">
        <v>216</v>
      </c>
      <c r="B298" s="944">
        <v>0</v>
      </c>
      <c r="C298" s="945">
        <v>0</v>
      </c>
      <c r="D298" s="945">
        <v>0</v>
      </c>
      <c r="E298" s="945">
        <v>0</v>
      </c>
      <c r="F298" s="945">
        <v>0</v>
      </c>
      <c r="G298" s="963">
        <f>-'7.5.2 Fin. Income &amp; Expenses '!K71</f>
        <v>-15750.000000000005</v>
      </c>
      <c r="H298" s="944">
        <f>SUM(B298:G298)</f>
        <v>-15750.000000000005</v>
      </c>
      <c r="I298" s="963">
        <f>SUM(B298:G298)</f>
        <v>-15750.000000000005</v>
      </c>
    </row>
    <row r="299" spans="1:9" x14ac:dyDescent="0.35">
      <c r="A299" s="424" t="s">
        <v>564</v>
      </c>
      <c r="B299" s="944">
        <v>0</v>
      </c>
      <c r="C299" s="945">
        <v>0</v>
      </c>
      <c r="D299" s="945">
        <v>0</v>
      </c>
      <c r="E299" s="945">
        <v>0</v>
      </c>
      <c r="F299" s="945">
        <v>0</v>
      </c>
      <c r="G299" s="963">
        <f>-'7.5.2 Fin. Income &amp; Expenses '!K72</f>
        <v>0</v>
      </c>
      <c r="H299" s="944">
        <f>SUM(B299:G299)</f>
        <v>0</v>
      </c>
      <c r="I299" s="963">
        <f>SUM(B299:G299)</f>
        <v>0</v>
      </c>
    </row>
    <row r="300" spans="1:9" x14ac:dyDescent="0.35">
      <c r="A300" s="424" t="s">
        <v>357</v>
      </c>
      <c r="B300" s="947">
        <f>'7.5.1 Financial Requirements'!J38*'7.5.2 Fin. Income &amp; Expenses '!K52*'7.5.2 Fin. Income &amp; Expenses '!C73</f>
        <v>73449.105611666673</v>
      </c>
      <c r="C300" s="949">
        <f ca="1">(('7.2.1 Turnover Vehicles'!I87+'7.2.1 Turnover Vehicles'!I88)/2)*'7.5.2 Fin. Income &amp; Expenses '!K86*'7.5.2 Fin. Income &amp; Expenses '!C104</f>
        <v>0</v>
      </c>
      <c r="D300" s="949">
        <f>'7.5.1 Financial Requirements'!J72*'7.5.2 Fin. Income &amp; Expenses '!K87*'7.5.2 Fin. Income &amp; Expenses '!C104</f>
        <v>0</v>
      </c>
      <c r="E300" s="949">
        <v>0</v>
      </c>
      <c r="F300" s="949">
        <v>0</v>
      </c>
      <c r="G300" s="964">
        <v>0</v>
      </c>
      <c r="H300" s="947">
        <f ca="1">SUM(B300:G300)</f>
        <v>73449.105611666673</v>
      </c>
      <c r="I300" s="959">
        <f ca="1">B300+C300+D300+F300+E300+G300</f>
        <v>73449.105611666673</v>
      </c>
    </row>
    <row r="301" spans="1:9" x14ac:dyDescent="0.35">
      <c r="A301" s="771" t="s">
        <v>816</v>
      </c>
      <c r="B301" s="965">
        <f t="shared" ref="B301:I301" si="35">SUM(B297:B300)</f>
        <v>73449.105611666673</v>
      </c>
      <c r="C301" s="966">
        <f t="shared" ca="1" si="35"/>
        <v>0</v>
      </c>
      <c r="D301" s="966">
        <f t="shared" si="35"/>
        <v>0</v>
      </c>
      <c r="E301" s="966">
        <f t="shared" si="35"/>
        <v>0</v>
      </c>
      <c r="F301" s="966">
        <f t="shared" si="35"/>
        <v>0</v>
      </c>
      <c r="G301" s="967">
        <f t="shared" ca="1" si="35"/>
        <v>-15750.000000000005</v>
      </c>
      <c r="H301" s="972">
        <f t="shared" ca="1" si="35"/>
        <v>57699.105611666666</v>
      </c>
      <c r="I301" s="946">
        <f t="shared" ca="1" si="35"/>
        <v>57699.105611666666</v>
      </c>
    </row>
    <row r="302" spans="1:9" x14ac:dyDescent="0.35">
      <c r="A302" s="435"/>
      <c r="B302" s="944"/>
      <c r="C302" s="981"/>
      <c r="D302" s="981"/>
      <c r="E302" s="981"/>
      <c r="F302" s="981"/>
      <c r="G302" s="946"/>
      <c r="H302" s="944"/>
      <c r="I302" s="946"/>
    </row>
    <row r="303" spans="1:9" x14ac:dyDescent="0.35">
      <c r="A303" s="435" t="s">
        <v>662</v>
      </c>
      <c r="B303" s="951">
        <v>0</v>
      </c>
      <c r="C303" s="952">
        <v>0</v>
      </c>
      <c r="D303" s="952">
        <v>0</v>
      </c>
      <c r="E303" s="952">
        <v>0</v>
      </c>
      <c r="F303" s="952">
        <v>0</v>
      </c>
      <c r="G303" s="953">
        <f ca="1">'7.5.2 Fin. Income &amp; Expenses '!K86</f>
        <v>31945.615019056178</v>
      </c>
      <c r="H303" s="951">
        <f ca="1">SUM(B303:G303)</f>
        <v>31945.615019056178</v>
      </c>
      <c r="I303" s="969">
        <f ca="1">SUM(B303:G303)</f>
        <v>31945.615019056178</v>
      </c>
    </row>
    <row r="304" spans="1:9" x14ac:dyDescent="0.35">
      <c r="A304" s="768"/>
      <c r="B304" s="962"/>
      <c r="C304" s="978"/>
      <c r="D304" s="978"/>
      <c r="E304" s="978"/>
      <c r="F304" s="978"/>
      <c r="G304" s="957"/>
      <c r="H304" s="955"/>
      <c r="I304" s="961"/>
    </row>
    <row r="305" spans="1:9" x14ac:dyDescent="0.35">
      <c r="A305" s="424"/>
      <c r="B305" s="940"/>
      <c r="C305" s="941"/>
      <c r="D305" s="941"/>
      <c r="E305" s="941"/>
      <c r="F305" s="941"/>
      <c r="G305" s="963"/>
      <c r="H305" s="944"/>
      <c r="I305" s="942"/>
    </row>
    <row r="306" spans="1:9" x14ac:dyDescent="0.35">
      <c r="A306" s="435" t="s">
        <v>218</v>
      </c>
      <c r="B306" s="951">
        <f t="shared" ref="B306:I306" si="36">B294+B303+B301</f>
        <v>871278.80517627962</v>
      </c>
      <c r="C306" s="952">
        <f t="shared" ca="1" si="36"/>
        <v>0</v>
      </c>
      <c r="D306" s="952">
        <f t="shared" si="36"/>
        <v>0</v>
      </c>
      <c r="E306" s="952">
        <f t="shared" ca="1" si="36"/>
        <v>125663.3743647051</v>
      </c>
      <c r="F306" s="952">
        <f t="shared" si="36"/>
        <v>-87231.710578394937</v>
      </c>
      <c r="G306" s="953">
        <f t="shared" ca="1" si="36"/>
        <v>-142270.65361750385</v>
      </c>
      <c r="H306" s="951">
        <f t="shared" ca="1" si="36"/>
        <v>767439.81534508779</v>
      </c>
      <c r="I306" s="953">
        <f t="shared" ca="1" si="36"/>
        <v>767439.81534508779</v>
      </c>
    </row>
    <row r="307" spans="1:9" ht="15" thickBot="1" x14ac:dyDescent="0.4">
      <c r="A307" s="770"/>
      <c r="B307" s="973"/>
      <c r="C307" s="974"/>
      <c r="D307" s="974"/>
      <c r="E307" s="974"/>
      <c r="F307" s="974"/>
      <c r="G307" s="975"/>
      <c r="H307" s="973"/>
      <c r="I307" s="975"/>
    </row>
    <row r="308" spans="1:9" x14ac:dyDescent="0.35">
      <c r="A308" s="146"/>
      <c r="B308" s="733"/>
      <c r="C308" s="733"/>
      <c r="D308" s="733"/>
      <c r="E308" s="733"/>
      <c r="F308" s="733"/>
      <c r="G308" s="733"/>
      <c r="H308" s="733"/>
      <c r="I308" s="733"/>
    </row>
    <row r="309" spans="1:9" ht="28.8" x14ac:dyDescent="0.55000000000000004">
      <c r="A309" s="200" t="s">
        <v>1173</v>
      </c>
      <c r="B309" s="201"/>
      <c r="C309" s="201"/>
      <c r="D309" s="201"/>
      <c r="E309" s="201"/>
      <c r="F309" s="201"/>
      <c r="G309" s="201"/>
      <c r="H309" s="201"/>
      <c r="I309" s="819" t="str">
        <f>I1</f>
        <v>7.6.1 Activity Contribution</v>
      </c>
    </row>
    <row r="310" spans="1:9" x14ac:dyDescent="0.35">
      <c r="A310" s="424"/>
      <c r="B310" s="275"/>
      <c r="C310" s="758"/>
      <c r="D310" s="275"/>
      <c r="E310" s="275"/>
      <c r="F310" s="275"/>
      <c r="G310" s="275"/>
      <c r="H310" s="275"/>
      <c r="I310" s="767"/>
    </row>
    <row r="311" spans="1:9" ht="16.2" x14ac:dyDescent="0.35">
      <c r="A311" s="773" t="s">
        <v>1035</v>
      </c>
      <c r="B311" s="774" t="str">
        <f>'Reference sheet'!$C$12</f>
        <v>TRUCK INTERNATIONAL MOBILITY SA</v>
      </c>
      <c r="D311" s="283" t="s">
        <v>1036</v>
      </c>
      <c r="E311" s="283" t="s">
        <v>1037</v>
      </c>
      <c r="F311" s="282">
        <f>'Reference sheet'!$C$15</f>
        <v>2</v>
      </c>
      <c r="G311" s="243" t="str">
        <f>'Reference sheet'!C$17</f>
        <v>October</v>
      </c>
      <c r="H311" s="982">
        <f>'Reference sheet'!D$17</f>
        <v>2018</v>
      </c>
      <c r="I311" s="775" t="str">
        <f>'Reference sheet'!$C$21</f>
        <v>EUR</v>
      </c>
    </row>
    <row r="312" spans="1:9" x14ac:dyDescent="0.35">
      <c r="A312" s="770"/>
      <c r="B312" s="761"/>
      <c r="C312" s="733"/>
      <c r="D312" s="733"/>
      <c r="E312" s="733"/>
      <c r="F312" s="733"/>
      <c r="G312" s="733"/>
      <c r="H312" s="733"/>
      <c r="I312" s="776"/>
    </row>
    <row r="313" spans="1:9" ht="22.8" thickBot="1" x14ac:dyDescent="0.5">
      <c r="A313" s="777" t="s">
        <v>195</v>
      </c>
      <c r="B313" s="757">
        <f>'7.5.2 Fin. Income &amp; Expenses '!M6</f>
        <v>2023</v>
      </c>
      <c r="C313" s="764"/>
      <c r="D313" s="757"/>
      <c r="E313" s="756"/>
      <c r="F313" s="756"/>
      <c r="G313" s="756"/>
      <c r="H313" s="756"/>
      <c r="I313" s="778"/>
    </row>
    <row r="314" spans="1:9" ht="18" x14ac:dyDescent="0.35">
      <c r="A314" s="779"/>
      <c r="B314" s="932" t="s">
        <v>196</v>
      </c>
      <c r="C314" s="933" t="s">
        <v>42</v>
      </c>
      <c r="D314" s="933" t="s">
        <v>43</v>
      </c>
      <c r="E314" s="933" t="str">
        <f>E6</f>
        <v>Parts</v>
      </c>
      <c r="F314" s="933" t="str">
        <f>F6</f>
        <v>Service</v>
      </c>
      <c r="G314" s="934" t="s">
        <v>197</v>
      </c>
      <c r="H314" s="932" t="s">
        <v>198</v>
      </c>
      <c r="I314" s="935" t="s">
        <v>199</v>
      </c>
    </row>
    <row r="315" spans="1:9" x14ac:dyDescent="0.35">
      <c r="A315" s="769"/>
      <c r="B315" s="936"/>
      <c r="C315" s="937"/>
      <c r="D315" s="937"/>
      <c r="E315" s="937"/>
      <c r="F315" s="937"/>
      <c r="G315" s="938"/>
      <c r="H315" s="936"/>
      <c r="I315" s="939"/>
    </row>
    <row r="316" spans="1:9" x14ac:dyDescent="0.35">
      <c r="A316" s="435" t="s">
        <v>200</v>
      </c>
      <c r="B316" s="940"/>
      <c r="C316" s="941"/>
      <c r="D316" s="941"/>
      <c r="E316" s="941"/>
      <c r="F316" s="941"/>
      <c r="G316" s="942"/>
      <c r="H316" s="940"/>
      <c r="I316" s="943"/>
    </row>
    <row r="317" spans="1:9" x14ac:dyDescent="0.35">
      <c r="A317" s="424" t="s">
        <v>201</v>
      </c>
      <c r="B317" s="944"/>
      <c r="C317" s="941"/>
      <c r="D317" s="941"/>
      <c r="E317" s="941"/>
      <c r="F317" s="941"/>
      <c r="G317" s="942"/>
      <c r="H317" s="940"/>
      <c r="I317" s="943"/>
    </row>
    <row r="318" spans="1:9" x14ac:dyDescent="0.35">
      <c r="A318" s="424" t="s">
        <v>202</v>
      </c>
      <c r="B318" s="944">
        <f>'7.2.1 Turnover Vehicles'!K36</f>
        <v>12007661.85</v>
      </c>
      <c r="C318" s="941">
        <v>0</v>
      </c>
      <c r="D318" s="941">
        <v>0</v>
      </c>
      <c r="E318" s="945">
        <f ca="1">'7.2.2 Turnover Parts'!K17-'7.2.2 Turnover Parts'!K26</f>
        <v>886794.58080437069</v>
      </c>
      <c r="F318" s="945">
        <f>'7.2.3 Turnover Service &amp; Body'!K38</f>
        <v>104841.09359900617</v>
      </c>
      <c r="G318" s="942">
        <v>0</v>
      </c>
      <c r="H318" s="944">
        <f t="shared" ref="H318:H323" ca="1" si="37">SUM(B318:F318)</f>
        <v>12999297.524403377</v>
      </c>
      <c r="I318" s="946">
        <f ca="1">SUM(B318:F318)</f>
        <v>12999297.524403377</v>
      </c>
    </row>
    <row r="319" spans="1:9" x14ac:dyDescent="0.35">
      <c r="A319" s="424" t="s">
        <v>203</v>
      </c>
      <c r="B319" s="940">
        <v>0</v>
      </c>
      <c r="C319" s="945">
        <f>'7.2.1 Turnover Vehicles'!K48</f>
        <v>0</v>
      </c>
      <c r="D319" s="945">
        <f>'7.2.1 Turnover Vehicles'!K72</f>
        <v>0</v>
      </c>
      <c r="E319" s="945">
        <f>'7.2.2 Turnover Parts'!K18-'7.2.2 Turnover Parts'!K27</f>
        <v>250000</v>
      </c>
      <c r="F319" s="945">
        <f>'7.2.3 Turnover Service &amp; Body'!K41</f>
        <v>30299.447040000006</v>
      </c>
      <c r="G319" s="942">
        <v>0</v>
      </c>
      <c r="H319" s="944">
        <f t="shared" si="37"/>
        <v>280299.44704</v>
      </c>
      <c r="I319" s="946">
        <f>SUM(B319:F319)</f>
        <v>280299.44704</v>
      </c>
    </row>
    <row r="320" spans="1:9" x14ac:dyDescent="0.35">
      <c r="A320" s="424" t="s">
        <v>204</v>
      </c>
      <c r="B320" s="940">
        <v>0</v>
      </c>
      <c r="C320" s="945">
        <v>0</v>
      </c>
      <c r="D320" s="945">
        <v>0</v>
      </c>
      <c r="E320" s="945">
        <f>'7.2.2 Turnover Parts'!K19</f>
        <v>32200</v>
      </c>
      <c r="F320" s="945">
        <v>0</v>
      </c>
      <c r="G320" s="942">
        <v>0</v>
      </c>
      <c r="H320" s="944">
        <f t="shared" si="37"/>
        <v>32200</v>
      </c>
      <c r="I320" s="946">
        <f>SUM(B320:F320)</f>
        <v>32200</v>
      </c>
    </row>
    <row r="321" spans="1:9" s="209" customFormat="1" ht="22.2" x14ac:dyDescent="0.45">
      <c r="A321" s="424" t="s">
        <v>205</v>
      </c>
      <c r="B321" s="944">
        <v>0</v>
      </c>
      <c r="C321" s="941">
        <v>0</v>
      </c>
      <c r="D321" s="941">
        <v>0</v>
      </c>
      <c r="E321" s="945">
        <f>'7.2.2 Turnover Parts'!K20</f>
        <v>102840.14063486841</v>
      </c>
      <c r="F321" s="945">
        <v>0</v>
      </c>
      <c r="G321" s="942">
        <v>0</v>
      </c>
      <c r="H321" s="944">
        <f t="shared" si="37"/>
        <v>102840.14063486841</v>
      </c>
      <c r="I321" s="946">
        <f>SUM(B321:F321)</f>
        <v>102840.14063486841</v>
      </c>
    </row>
    <row r="322" spans="1:9" x14ac:dyDescent="0.35">
      <c r="A322" s="424" t="s">
        <v>53</v>
      </c>
      <c r="B322" s="944">
        <v>0</v>
      </c>
      <c r="C322" s="941">
        <v>0</v>
      </c>
      <c r="D322" s="941">
        <v>0</v>
      </c>
      <c r="E322" s="945">
        <v>0</v>
      </c>
      <c r="F322" s="945">
        <f>'7.2.3 Turnover Service &amp; Body'!K52</f>
        <v>16000</v>
      </c>
      <c r="G322" s="942">
        <v>0</v>
      </c>
      <c r="H322" s="944">
        <f t="shared" si="37"/>
        <v>16000</v>
      </c>
      <c r="I322" s="946">
        <f>SUM(B322:F322)</f>
        <v>16000</v>
      </c>
    </row>
    <row r="323" spans="1:9" x14ac:dyDescent="0.35">
      <c r="A323" s="424" t="s">
        <v>206</v>
      </c>
      <c r="B323" s="947">
        <v>0</v>
      </c>
      <c r="C323" s="948">
        <v>0</v>
      </c>
      <c r="D323" s="948">
        <v>0</v>
      </c>
      <c r="E323" s="949">
        <f>'7.2.2 Turnover Parts'!K28</f>
        <v>736</v>
      </c>
      <c r="F323" s="949">
        <f>'7.2.3 Turnover Service &amp; Body'!K39+'7.2.3 Turnover Service &amp; Body'!K40</f>
        <v>0</v>
      </c>
      <c r="G323" s="950">
        <v>0</v>
      </c>
      <c r="H323" s="947">
        <f t="shared" si="37"/>
        <v>736</v>
      </c>
      <c r="I323" s="964">
        <v>0</v>
      </c>
    </row>
    <row r="324" spans="1:9" x14ac:dyDescent="0.35">
      <c r="A324" s="435" t="s">
        <v>207</v>
      </c>
      <c r="B324" s="951">
        <f>SUM(B318:B323)</f>
        <v>12007661.85</v>
      </c>
      <c r="C324" s="952">
        <f>SUM(C319:C323)</f>
        <v>0</v>
      </c>
      <c r="D324" s="952">
        <f>SUM(D318:D323)</f>
        <v>0</v>
      </c>
      <c r="E324" s="952">
        <f ca="1">SUM(E318:E323)</f>
        <v>1272570.7214392391</v>
      </c>
      <c r="F324" s="952">
        <f>SUM(F318:F323)</f>
        <v>151140.54063900618</v>
      </c>
      <c r="G324" s="953">
        <v>0</v>
      </c>
      <c r="H324" s="951">
        <f ca="1">SUM(H318:H323)</f>
        <v>13431373.112078246</v>
      </c>
      <c r="I324" s="954">
        <f ca="1">SUM(I318:I323)</f>
        <v>13430637.112078246</v>
      </c>
    </row>
    <row r="325" spans="1:9" x14ac:dyDescent="0.35">
      <c r="A325" s="768"/>
      <c r="B325" s="955"/>
      <c r="C325" s="956"/>
      <c r="D325" s="956"/>
      <c r="E325" s="956"/>
      <c r="F325" s="956"/>
      <c r="G325" s="957"/>
      <c r="H325" s="955"/>
      <c r="I325" s="958"/>
    </row>
    <row r="326" spans="1:9" x14ac:dyDescent="0.35">
      <c r="A326" s="769"/>
      <c r="B326" s="936"/>
      <c r="C326" s="937"/>
      <c r="D326" s="937"/>
      <c r="E326" s="937"/>
      <c r="F326" s="937"/>
      <c r="G326" s="938"/>
      <c r="H326" s="936"/>
      <c r="I326" s="939"/>
    </row>
    <row r="327" spans="1:9" x14ac:dyDescent="0.35">
      <c r="A327" s="435" t="s">
        <v>208</v>
      </c>
      <c r="B327" s="940"/>
      <c r="C327" s="941"/>
      <c r="D327" s="941"/>
      <c r="E327" s="941"/>
      <c r="F327" s="941"/>
      <c r="G327" s="942"/>
      <c r="H327" s="940"/>
      <c r="I327" s="943"/>
    </row>
    <row r="328" spans="1:9" x14ac:dyDescent="0.35">
      <c r="A328" s="424" t="s">
        <v>201</v>
      </c>
      <c r="B328" s="940"/>
      <c r="C328" s="941"/>
      <c r="D328" s="941"/>
      <c r="E328" s="941"/>
      <c r="F328" s="941"/>
      <c r="G328" s="942"/>
      <c r="H328" s="940"/>
      <c r="I328" s="943"/>
    </row>
    <row r="329" spans="1:9" x14ac:dyDescent="0.35">
      <c r="A329" s="424" t="s">
        <v>202</v>
      </c>
      <c r="B329" s="944">
        <f>'7.3 Cost of sales'!K58+'7.3 Cost of sales'!K59</f>
        <v>10530798.909499999</v>
      </c>
      <c r="C329" s="941">
        <v>0</v>
      </c>
      <c r="D329" s="941">
        <v>0</v>
      </c>
      <c r="E329" s="945">
        <f ca="1">'7.3 Cost of sales'!K76+'7.3 Cost of sales'!K78+'7.3 Cost of sales'!K80+'7.3 Cost of sales'!K81</f>
        <v>607995.24785099388</v>
      </c>
      <c r="F329" s="941">
        <v>0</v>
      </c>
      <c r="G329" s="942">
        <v>0</v>
      </c>
      <c r="H329" s="944">
        <f t="shared" ref="H329:H336" ca="1" si="38">SUM(B329:F329)</f>
        <v>11138794.157350993</v>
      </c>
      <c r="I329" s="946">
        <f t="shared" ref="I329:I335" ca="1" si="39">SUM(B329:F329)</f>
        <v>11138794.157350993</v>
      </c>
    </row>
    <row r="330" spans="1:9" x14ac:dyDescent="0.35">
      <c r="A330" s="424" t="s">
        <v>203</v>
      </c>
      <c r="B330" s="940">
        <v>0</v>
      </c>
      <c r="C330" s="945">
        <f>'7.3 Cost of sales'!K60</f>
        <v>0</v>
      </c>
      <c r="D330" s="945">
        <f>'7.3 Cost of sales'!K61</f>
        <v>0</v>
      </c>
      <c r="E330" s="945">
        <f>'7.3 Cost of sales'!K77+'7.3 Cost of sales'!K79+'7.3 Cost of sales'!K82</f>
        <v>238750</v>
      </c>
      <c r="F330" s="941">
        <v>0</v>
      </c>
      <c r="G330" s="942">
        <v>0</v>
      </c>
      <c r="H330" s="944">
        <f t="shared" si="38"/>
        <v>238750</v>
      </c>
      <c r="I330" s="946">
        <f t="shared" si="39"/>
        <v>238750</v>
      </c>
    </row>
    <row r="331" spans="1:9" x14ac:dyDescent="0.35">
      <c r="A331" s="424" t="s">
        <v>204</v>
      </c>
      <c r="B331" s="940">
        <v>0</v>
      </c>
      <c r="C331" s="945">
        <v>0</v>
      </c>
      <c r="D331" s="945">
        <v>0</v>
      </c>
      <c r="E331" s="945">
        <f>'7.3 Cost of sales'!K83</f>
        <v>25760</v>
      </c>
      <c r="F331" s="941">
        <v>0</v>
      </c>
      <c r="G331" s="942">
        <v>0</v>
      </c>
      <c r="H331" s="944">
        <f t="shared" si="38"/>
        <v>25760</v>
      </c>
      <c r="I331" s="946">
        <f t="shared" si="39"/>
        <v>25760</v>
      </c>
    </row>
    <row r="332" spans="1:9" x14ac:dyDescent="0.35">
      <c r="A332" s="424" t="s">
        <v>205</v>
      </c>
      <c r="B332" s="940">
        <v>0</v>
      </c>
      <c r="C332" s="941">
        <v>0</v>
      </c>
      <c r="D332" s="941">
        <v>0</v>
      </c>
      <c r="E332" s="945">
        <f>'7.3 Cost of sales'!K84</f>
        <v>61704.084380921042</v>
      </c>
      <c r="F332" s="941">
        <v>0</v>
      </c>
      <c r="G332" s="942">
        <v>0</v>
      </c>
      <c r="H332" s="944">
        <f t="shared" si="38"/>
        <v>61704.084380921042</v>
      </c>
      <c r="I332" s="946">
        <f t="shared" si="39"/>
        <v>61704.084380921042</v>
      </c>
    </row>
    <row r="333" spans="1:9" x14ac:dyDescent="0.35">
      <c r="A333" s="424" t="s">
        <v>209</v>
      </c>
      <c r="B333" s="944">
        <v>0</v>
      </c>
      <c r="C333" s="945">
        <v>0</v>
      </c>
      <c r="D333" s="945">
        <v>0</v>
      </c>
      <c r="E333" s="945">
        <v>0</v>
      </c>
      <c r="F333" s="945">
        <f>'7.4.1 Salaries &amp; Wages'!K105+'7.4.1 Salaries &amp; Wages'!K114</f>
        <v>49647.007450156809</v>
      </c>
      <c r="G333" s="942">
        <v>0</v>
      </c>
      <c r="H333" s="944">
        <f t="shared" si="38"/>
        <v>49647.007450156809</v>
      </c>
      <c r="I333" s="946">
        <f t="shared" si="39"/>
        <v>49647.007450156809</v>
      </c>
    </row>
    <row r="334" spans="1:9" x14ac:dyDescent="0.35">
      <c r="A334" s="424" t="s">
        <v>210</v>
      </c>
      <c r="B334" s="944">
        <f>-'7.3 Cost of sales'!K67</f>
        <v>0</v>
      </c>
      <c r="C334" s="941">
        <v>0</v>
      </c>
      <c r="D334" s="945">
        <f>-'7.3 Cost of sales'!K68</f>
        <v>0</v>
      </c>
      <c r="E334" s="945">
        <f ca="1">-'7.3 Cost of sales'!K93</f>
        <v>0</v>
      </c>
      <c r="F334" s="941">
        <v>0</v>
      </c>
      <c r="G334" s="942">
        <v>0</v>
      </c>
      <c r="H334" s="944">
        <f t="shared" ca="1" si="38"/>
        <v>0</v>
      </c>
      <c r="I334" s="946">
        <f t="shared" ca="1" si="39"/>
        <v>0</v>
      </c>
    </row>
    <row r="335" spans="1:9" x14ac:dyDescent="0.35">
      <c r="A335" s="424" t="s">
        <v>53</v>
      </c>
      <c r="B335" s="944">
        <v>0</v>
      </c>
      <c r="C335" s="941">
        <v>0</v>
      </c>
      <c r="D335" s="945">
        <v>0</v>
      </c>
      <c r="E335" s="945">
        <v>0</v>
      </c>
      <c r="F335" s="945">
        <f>'7.3 Cost of sales'!K102</f>
        <v>12000</v>
      </c>
      <c r="G335" s="942">
        <v>0</v>
      </c>
      <c r="H335" s="944">
        <f t="shared" si="38"/>
        <v>12000</v>
      </c>
      <c r="I335" s="946">
        <f t="shared" si="39"/>
        <v>12000</v>
      </c>
    </row>
    <row r="336" spans="1:9" x14ac:dyDescent="0.35">
      <c r="A336" s="424" t="s">
        <v>206</v>
      </c>
      <c r="B336" s="947">
        <f>'7.2.3 Turnover Service &amp; Body'!K39+'7.2.2 Turnover Parts'!K26</f>
        <v>736</v>
      </c>
      <c r="C336" s="949">
        <f>'7.2.3 Turnover Service &amp; Body'!K40+'7.2.2 Turnover Parts'!K27</f>
        <v>0</v>
      </c>
      <c r="D336" s="948">
        <v>0</v>
      </c>
      <c r="E336" s="948">
        <v>0</v>
      </c>
      <c r="F336" s="948">
        <v>0</v>
      </c>
      <c r="G336" s="950">
        <v>0</v>
      </c>
      <c r="H336" s="947">
        <f t="shared" si="38"/>
        <v>736</v>
      </c>
      <c r="I336" s="959">
        <v>0</v>
      </c>
    </row>
    <row r="337" spans="1:9" x14ac:dyDescent="0.35">
      <c r="A337" s="435" t="s">
        <v>211</v>
      </c>
      <c r="B337" s="951">
        <f>SUM(B329:B336)</f>
        <v>10531534.909499999</v>
      </c>
      <c r="C337" s="952">
        <f>SUM(C329:C336)</f>
        <v>0</v>
      </c>
      <c r="D337" s="952">
        <f>SUM(D329:D336)</f>
        <v>0</v>
      </c>
      <c r="E337" s="952">
        <f ca="1">SUM(E329:E336)</f>
        <v>934209.33223191497</v>
      </c>
      <c r="F337" s="952">
        <f>SUM(F329:F336)</f>
        <v>61647.007450156809</v>
      </c>
      <c r="G337" s="960">
        <v>0</v>
      </c>
      <c r="H337" s="951">
        <f ca="1">SUM(H329:H336)</f>
        <v>11527391.24918207</v>
      </c>
      <c r="I337" s="954">
        <f ca="1">SUM(I329:I336)</f>
        <v>11526655.24918207</v>
      </c>
    </row>
    <row r="338" spans="1:9" x14ac:dyDescent="0.35">
      <c r="A338" s="768"/>
      <c r="B338" s="955"/>
      <c r="C338" s="956"/>
      <c r="D338" s="956"/>
      <c r="E338" s="956"/>
      <c r="F338" s="956"/>
      <c r="G338" s="961"/>
      <c r="H338" s="962"/>
      <c r="I338" s="958"/>
    </row>
    <row r="339" spans="1:9" x14ac:dyDescent="0.35">
      <c r="A339" s="769"/>
      <c r="B339" s="936"/>
      <c r="C339" s="937"/>
      <c r="D339" s="937"/>
      <c r="E339" s="937"/>
      <c r="F339" s="937"/>
      <c r="G339" s="938"/>
      <c r="H339" s="936"/>
      <c r="I339" s="939"/>
    </row>
    <row r="340" spans="1:9" x14ac:dyDescent="0.35">
      <c r="A340" s="435" t="s">
        <v>212</v>
      </c>
      <c r="B340" s="951">
        <f>B324-B337</f>
        <v>1476126.9405000005</v>
      </c>
      <c r="C340" s="952">
        <f>C324-C337</f>
        <v>0</v>
      </c>
      <c r="D340" s="952">
        <f>D324-D337</f>
        <v>0</v>
      </c>
      <c r="E340" s="952">
        <f ca="1">E324-E337</f>
        <v>338361.38920732413</v>
      </c>
      <c r="F340" s="952">
        <f>F324-F337</f>
        <v>89493.533188849367</v>
      </c>
      <c r="G340" s="953">
        <v>0</v>
      </c>
      <c r="H340" s="951">
        <f ca="1">H324-H337</f>
        <v>1903981.8628961761</v>
      </c>
      <c r="I340" s="954">
        <f ca="1">I324-I337</f>
        <v>1903981.8628961761</v>
      </c>
    </row>
    <row r="341" spans="1:9" x14ac:dyDescent="0.35">
      <c r="A341" s="768"/>
      <c r="B341" s="955"/>
      <c r="C341" s="956"/>
      <c r="D341" s="956"/>
      <c r="E341" s="956"/>
      <c r="F341" s="956"/>
      <c r="G341" s="957"/>
      <c r="H341" s="955"/>
      <c r="I341" s="958"/>
    </row>
    <row r="342" spans="1:9" x14ac:dyDescent="0.35">
      <c r="A342" s="769"/>
      <c r="B342" s="936"/>
      <c r="C342" s="937"/>
      <c r="D342" s="937"/>
      <c r="E342" s="937"/>
      <c r="F342" s="937"/>
      <c r="G342" s="938"/>
      <c r="H342" s="936"/>
      <c r="I342" s="939"/>
    </row>
    <row r="343" spans="1:9" s="255" customFormat="1" x14ac:dyDescent="0.35">
      <c r="A343" s="435" t="s">
        <v>652</v>
      </c>
      <c r="B343" s="951">
        <f>'7.2.1 Turnover Vehicles'!$K$84*'7.4.1 Salaries &amp; Wages'!$K$77*(1+'7.4.1 Salaries &amp; Wages'!$B$78)+('7.4.2 Selling &amp; Oper. expenses'!K9*'7.4.2 Selling &amp; Oper. expenses'!E63)</f>
        <v>192577.9</v>
      </c>
      <c r="C343" s="952">
        <f>'7.2.1 Turnover Vehicles'!$K$85*'7.4.1 Salaries &amp; Wages'!$K$77*(1+'7.4.1 Salaries &amp; Wages'!$B$78)+('7.4.2 Selling &amp; Oper. expenses'!K9*'7.4.2 Selling &amp; Oper. expenses'!F63)</f>
        <v>0</v>
      </c>
      <c r="D343" s="952">
        <f>'7.2.1 Turnover Vehicles'!$K$86*'7.4.1 Salaries &amp; Wages'!$K$77*(1+'7.4.1 Salaries &amp; Wages'!$B$78)+('7.4.2 Selling &amp; Oper. expenses'!K9*'7.4.2 Selling &amp; Oper. expenses'!G63)</f>
        <v>0</v>
      </c>
      <c r="E343" s="952">
        <f>'7.4.2 Selling &amp; Oper. expenses'!K9*'7.4.2 Selling &amp; Oper. expenses'!I63</f>
        <v>0</v>
      </c>
      <c r="F343" s="952">
        <f>'7.4.2 Selling &amp; Oper. expenses'!K9*'7.4.2 Selling &amp; Oper. expenses'!H63</f>
        <v>0</v>
      </c>
      <c r="G343" s="953">
        <f>'7.4.2 Selling &amp; Oper. expenses'!K9*'7.4.2 Selling &amp; Oper. expenses'!J63</f>
        <v>0</v>
      </c>
      <c r="H343" s="951">
        <f>SUM(B343:G343)</f>
        <v>192577.9</v>
      </c>
      <c r="I343" s="954">
        <f>B343+C343+D343+F343+E343+G343</f>
        <v>192577.9</v>
      </c>
    </row>
    <row r="344" spans="1:9" x14ac:dyDescent="0.35">
      <c r="A344" s="435"/>
      <c r="B344" s="944"/>
      <c r="C344" s="945"/>
      <c r="D344" s="945"/>
      <c r="E344" s="945"/>
      <c r="F344" s="945"/>
      <c r="G344" s="963"/>
      <c r="H344" s="944"/>
      <c r="I344" s="946"/>
    </row>
    <row r="345" spans="1:9" s="255" customFormat="1" x14ac:dyDescent="0.35">
      <c r="A345" s="435" t="s">
        <v>209</v>
      </c>
      <c r="B345" s="951">
        <f>'7.2.1 Turnover Vehicles'!K84*'7.4.1 Salaries &amp; Wages'!K80+(B324/(B324+C324+D324+0.00001)*('7.4.1 Salaries &amp; Wages'!K71+'7.4.1 Salaries &amp; Wages'!K91))-'7.2.1 Turnover Vehicles'!$K$84*'7.4.1 Salaries &amp; Wages'!$K$77*(1+'7.4.1 Salaries &amp; Wages'!$B$78)</f>
        <v>59301.140357516495</v>
      </c>
      <c r="C345" s="952">
        <f>'7.2.1 Turnover Vehicles'!K85*'7.4.1 Salaries &amp; Wages'!K80+(C324/(B324+C324+D324+0.00001)*('7.4.1 Salaries &amp; Wages'!K71+'7.4.1 Salaries &amp; Wages'!K91))-'7.2.1 Turnover Vehicles'!$K$85*'7.4.1 Salaries &amp; Wages'!$K$77*(1+'7.4.1 Salaries &amp; Wages'!$B$78)</f>
        <v>0</v>
      </c>
      <c r="D345" s="952">
        <f>'7.2.1 Turnover Vehicles'!K86*'7.4.1 Salaries &amp; Wages'!K80+(D324/(B324+C324+D324+0.00001)*('7.4.1 Salaries &amp; Wages'!K71+'7.4.1 Salaries &amp; Wages'!K91))-'7.2.1 Turnover Vehicles'!$K$86*'7.4.1 Salaries &amp; Wages'!$K$77*(1+'7.4.1 Salaries &amp; Wages'!$B$78)</f>
        <v>0</v>
      </c>
      <c r="E345" s="952">
        <f>'7.4.1 Salaries &amp; Wages'!K141+'7.4.1 Salaries &amp; Wages'!K150+'7.4.1 Salaries &amp; Wages'!K159+'7.4.1 Salaries &amp; Wages'!K168</f>
        <v>63440.035354632018</v>
      </c>
      <c r="F345" s="952">
        <f>'7.4.1 Salaries &amp; Wages'!K132+'7.4.1 Salaries &amp; Wages'!K123</f>
        <v>52409.559534028813</v>
      </c>
      <c r="G345" s="953">
        <f>'7.4.1 Salaries &amp; Wages'!K35+'7.4.1 Salaries &amp; Wages'!K44+'7.4.1 Salaries &amp; Wages'!K53+'7.4.1 Salaries &amp; Wages'!K62</f>
        <v>59993.422754753607</v>
      </c>
      <c r="H345" s="951">
        <f>SUM(B345:G345)</f>
        <v>235144.15800093094</v>
      </c>
      <c r="I345" s="954">
        <f>B345+C345+D345+F345+E345+G345</f>
        <v>235144.15800093094</v>
      </c>
    </row>
    <row r="346" spans="1:9" x14ac:dyDescent="0.35">
      <c r="A346" s="435"/>
      <c r="B346" s="940"/>
      <c r="C346" s="941"/>
      <c r="D346" s="941"/>
      <c r="E346" s="941"/>
      <c r="F346" s="945"/>
      <c r="G346" s="942"/>
      <c r="H346" s="940"/>
      <c r="I346" s="942"/>
    </row>
    <row r="347" spans="1:9" x14ac:dyDescent="0.35">
      <c r="A347" s="435" t="s">
        <v>654</v>
      </c>
      <c r="B347" s="940"/>
      <c r="C347" s="941"/>
      <c r="D347" s="941"/>
      <c r="E347" s="941"/>
      <c r="F347" s="945"/>
      <c r="G347" s="942"/>
      <c r="H347" s="940"/>
      <c r="I347" s="942"/>
    </row>
    <row r="348" spans="1:9" x14ac:dyDescent="0.35">
      <c r="A348" s="424" t="s">
        <v>83</v>
      </c>
      <c r="B348" s="944">
        <f>'7.4.2 Selling &amp; Oper. expenses'!K37*'7.4.2 Selling &amp; Oper. expenses'!E68</f>
        <v>2483.6</v>
      </c>
      <c r="C348" s="945">
        <f>'7.4.2 Selling &amp; Oper. expenses'!K37*'7.4.2 Selling &amp; Oper. expenses'!F68</f>
        <v>0</v>
      </c>
      <c r="D348" s="945">
        <f>'7.4.2 Selling &amp; Oper. expenses'!K37*'7.4.2 Selling &amp; Oper. expenses'!G68</f>
        <v>0</v>
      </c>
      <c r="E348" s="945">
        <f>'7.4.2 Selling &amp; Oper. expenses'!K37*'7.4.2 Selling &amp; Oper. expenses'!H68</f>
        <v>354.8</v>
      </c>
      <c r="F348" s="945">
        <f>'7.4.2 Selling &amp; Oper. expenses'!K37*'7.4.2 Selling &amp; Oper. expenses'!I68</f>
        <v>354.8</v>
      </c>
      <c r="G348" s="963">
        <f>'7.4.2 Selling &amp; Oper. expenses'!K37*'7.4.2 Selling &amp; Oper. expenses'!J68</f>
        <v>354.8</v>
      </c>
      <c r="H348" s="944">
        <f>SUM(B348:G348)</f>
        <v>3548.0000000000005</v>
      </c>
      <c r="I348" s="963">
        <f>SUM(B348:G348)</f>
        <v>3548.0000000000005</v>
      </c>
    </row>
    <row r="349" spans="1:9" x14ac:dyDescent="0.35">
      <c r="A349" s="424" t="s">
        <v>84</v>
      </c>
      <c r="B349" s="944">
        <f>'7.4.2 Selling &amp; Oper. expenses'!K38*'7.4.2 Selling &amp; Oper. expenses'!E69</f>
        <v>5870.9</v>
      </c>
      <c r="C349" s="945">
        <f>'7.4.2 Selling &amp; Oper. expenses'!K38*'7.4.2 Selling &amp; Oper. expenses'!F69</f>
        <v>0</v>
      </c>
      <c r="D349" s="945">
        <f>'7.4.2 Selling &amp; Oper. expenses'!K38*'7.4.2 Selling &amp; Oper. expenses'!G69</f>
        <v>0</v>
      </c>
      <c r="E349" s="945">
        <f>'7.4.2 Selling &amp; Oper. expenses'!K38*'7.4.2 Selling &amp; Oper. expenses'!H69</f>
        <v>838.7</v>
      </c>
      <c r="F349" s="945">
        <f>'7.4.2 Selling &amp; Oper. expenses'!K38*'7.4.2 Selling &amp; Oper. expenses'!I69</f>
        <v>838.7</v>
      </c>
      <c r="G349" s="963">
        <f>'7.4.2 Selling &amp; Oper. expenses'!K38*'7.4.2 Selling &amp; Oper. expenses'!J69</f>
        <v>838.7</v>
      </c>
      <c r="H349" s="944">
        <f>SUM(B349:G349)</f>
        <v>8387</v>
      </c>
      <c r="I349" s="963">
        <f>SUM(B349:G349)</f>
        <v>8387</v>
      </c>
    </row>
    <row r="350" spans="1:9" x14ac:dyDescent="0.35">
      <c r="A350" s="424" t="s">
        <v>85</v>
      </c>
      <c r="B350" s="944">
        <f>'7.4.2 Selling &amp; Oper. expenses'!K39*'7.4.2 Selling &amp; Oper. expenses'!E70</f>
        <v>2000</v>
      </c>
      <c r="C350" s="945">
        <f>'7.4.2 Selling &amp; Oper. expenses'!K39*'7.4.2 Selling &amp; Oper. expenses'!F70</f>
        <v>0</v>
      </c>
      <c r="D350" s="945">
        <f>'7.4.2 Selling &amp; Oper. expenses'!K39*'7.4.2 Selling &amp; Oper. expenses'!G70</f>
        <v>0</v>
      </c>
      <c r="E350" s="945">
        <f>'7.4.2 Selling &amp; Oper. expenses'!K39*'7.4.2 Selling &amp; Oper. expenses'!H70</f>
        <v>1250</v>
      </c>
      <c r="F350" s="945">
        <f>'7.4.2 Selling &amp; Oper. expenses'!K39*'7.4.2 Selling &amp; Oper. expenses'!I70</f>
        <v>1250</v>
      </c>
      <c r="G350" s="963">
        <f>'7.4.2 Selling &amp; Oper. expenses'!K39*'7.4.2 Selling &amp; Oper. expenses'!J70</f>
        <v>500</v>
      </c>
      <c r="H350" s="944">
        <f t="shared" ref="H350:H361" si="40">SUM(B350:G350)</f>
        <v>5000</v>
      </c>
      <c r="I350" s="963">
        <f t="shared" ref="I350:I361" si="41">SUM(B350:G350)</f>
        <v>5000</v>
      </c>
    </row>
    <row r="351" spans="1:9" x14ac:dyDescent="0.35">
      <c r="A351" s="424" t="s">
        <v>86</v>
      </c>
      <c r="B351" s="944">
        <f>'7.4.2 Selling &amp; Oper. expenses'!K40*'7.4.2 Selling &amp; Oper. expenses'!E71</f>
        <v>1200</v>
      </c>
      <c r="C351" s="945">
        <f>'7.4.2 Selling &amp; Oper. expenses'!K40*'7.4.2 Selling &amp; Oper. expenses'!F71</f>
        <v>0</v>
      </c>
      <c r="D351" s="945">
        <f>'7.4.2 Selling &amp; Oper. expenses'!K40*'7.4.2 Selling &amp; Oper. expenses'!G71</f>
        <v>0</v>
      </c>
      <c r="E351" s="945">
        <f>'7.4.2 Selling &amp; Oper. expenses'!K40*'7.4.2 Selling &amp; Oper. expenses'!H71</f>
        <v>1800</v>
      </c>
      <c r="F351" s="945">
        <f>'7.4.2 Selling &amp; Oper. expenses'!K40*'7.4.2 Selling &amp; Oper. expenses'!I71</f>
        <v>3000</v>
      </c>
      <c r="G351" s="963">
        <f>'7.4.2 Selling &amp; Oper. expenses'!K40*'7.4.2 Selling &amp; Oper. expenses'!J71</f>
        <v>0</v>
      </c>
      <c r="H351" s="944">
        <f t="shared" si="40"/>
        <v>6000</v>
      </c>
      <c r="I351" s="963">
        <f t="shared" si="41"/>
        <v>6000</v>
      </c>
    </row>
    <row r="352" spans="1:9" x14ac:dyDescent="0.35">
      <c r="A352" s="424" t="s">
        <v>88</v>
      </c>
      <c r="B352" s="944">
        <f>'7.4.2 Selling &amp; Oper. expenses'!K41*'7.4.2 Selling &amp; Oper. expenses'!E72</f>
        <v>4800</v>
      </c>
      <c r="C352" s="945">
        <f>'7.4.2 Selling &amp; Oper. expenses'!K41*'7.4.2 Selling &amp; Oper. expenses'!F72</f>
        <v>0</v>
      </c>
      <c r="D352" s="945">
        <f>'7.4.2 Selling &amp; Oper. expenses'!K41*'7.4.2 Selling &amp; Oper. expenses'!G72</f>
        <v>0</v>
      </c>
      <c r="E352" s="945">
        <f>'7.4.2 Selling &amp; Oper. expenses'!K41*'7.4.2 Selling &amp; Oper. expenses'!H72</f>
        <v>3600</v>
      </c>
      <c r="F352" s="945">
        <f>'7.4.2 Selling &amp; Oper. expenses'!K41*'7.4.2 Selling &amp; Oper. expenses'!I72</f>
        <v>14400</v>
      </c>
      <c r="G352" s="963">
        <f>'7.4.2 Selling &amp; Oper. expenses'!K41*'7.4.2 Selling &amp; Oper. expenses'!J72</f>
        <v>1200</v>
      </c>
      <c r="H352" s="944">
        <f t="shared" si="40"/>
        <v>24000</v>
      </c>
      <c r="I352" s="963">
        <f t="shared" si="41"/>
        <v>24000</v>
      </c>
    </row>
    <row r="353" spans="1:9" x14ac:dyDescent="0.35">
      <c r="A353" s="424" t="s">
        <v>213</v>
      </c>
      <c r="B353" s="944">
        <f>'7.4.2 Selling &amp; Oper. expenses'!K42*'7.4.2 Selling &amp; Oper. expenses'!E73</f>
        <v>147200</v>
      </c>
      <c r="C353" s="945">
        <f>'7.4.2 Selling &amp; Oper. expenses'!K42*'7.4.2 Selling &amp; Oper. expenses'!F73</f>
        <v>0</v>
      </c>
      <c r="D353" s="945">
        <f>'7.4.2 Selling &amp; Oper. expenses'!K42*'7.4.2 Selling &amp; Oper. expenses'!G73</f>
        <v>0</v>
      </c>
      <c r="E353" s="945">
        <f>'7.4.2 Selling &amp; Oper. expenses'!K42*'7.4.2 Selling &amp; Oper. expenses'!H73</f>
        <v>18400</v>
      </c>
      <c r="F353" s="945">
        <f>'7.4.2 Selling &amp; Oper. expenses'!K42*'7.4.2 Selling &amp; Oper. expenses'!I73</f>
        <v>18400</v>
      </c>
      <c r="G353" s="963">
        <f>'7.4.2 Selling &amp; Oper. expenses'!K42*'7.4.2 Selling &amp; Oper. expenses'!J73</f>
        <v>0</v>
      </c>
      <c r="H353" s="944">
        <f t="shared" si="40"/>
        <v>184000</v>
      </c>
      <c r="I353" s="963">
        <f t="shared" si="41"/>
        <v>184000</v>
      </c>
    </row>
    <row r="354" spans="1:9" x14ac:dyDescent="0.35">
      <c r="A354" s="424" t="s">
        <v>89</v>
      </c>
      <c r="B354" s="944">
        <f>'7.4.2 Selling &amp; Oper. expenses'!K43*'7.4.2 Selling &amp; Oper. expenses'!E74</f>
        <v>15000</v>
      </c>
      <c r="C354" s="945">
        <f>'7.4.2 Selling &amp; Oper. expenses'!K43*'7.4.2 Selling &amp; Oper. expenses'!F74</f>
        <v>0</v>
      </c>
      <c r="D354" s="945">
        <f>'7.4.2 Selling &amp; Oper. expenses'!K43*'7.4.2 Selling &amp; Oper. expenses'!G74</f>
        <v>0</v>
      </c>
      <c r="E354" s="945">
        <f>'7.4.2 Selling &amp; Oper. expenses'!K43*'7.4.2 Selling &amp; Oper. expenses'!H74</f>
        <v>5000</v>
      </c>
      <c r="F354" s="945">
        <f>'7.4.2 Selling &amp; Oper. expenses'!K43*'7.4.2 Selling &amp; Oper. expenses'!I74</f>
        <v>5000</v>
      </c>
      <c r="G354" s="963">
        <f>'7.4.2 Selling &amp; Oper. expenses'!K43*'7.4.2 Selling &amp; Oper. expenses'!J74</f>
        <v>0</v>
      </c>
      <c r="H354" s="944">
        <f t="shared" si="40"/>
        <v>25000</v>
      </c>
      <c r="I354" s="963">
        <f t="shared" si="41"/>
        <v>25000</v>
      </c>
    </row>
    <row r="355" spans="1:9" x14ac:dyDescent="0.35">
      <c r="A355" s="424" t="s">
        <v>90</v>
      </c>
      <c r="B355" s="944">
        <f>'7.4.2 Selling &amp; Oper. expenses'!K44*'7.4.2 Selling &amp; Oper. expenses'!E75</f>
        <v>3870.8</v>
      </c>
      <c r="C355" s="945">
        <f>'7.4.2 Selling &amp; Oper. expenses'!K44*'7.4.2 Selling &amp; Oper. expenses'!F75</f>
        <v>0</v>
      </c>
      <c r="D355" s="945">
        <f>'7.4.2 Selling &amp; Oper. expenses'!K44*'7.4.2 Selling &amp; Oper. expenses'!G75</f>
        <v>0</v>
      </c>
      <c r="E355" s="945">
        <f>'7.4.2 Selling &amp; Oper. expenses'!K44*'7.4.2 Selling &amp; Oper. expenses'!H75</f>
        <v>1935.4</v>
      </c>
      <c r="F355" s="945">
        <f>'7.4.2 Selling &amp; Oper. expenses'!K44*'7.4.2 Selling &amp; Oper. expenses'!I75</f>
        <v>1935.4</v>
      </c>
      <c r="G355" s="963">
        <f>'7.4.2 Selling &amp; Oper. expenses'!K44*'7.4.2 Selling &amp; Oper. expenses'!J75</f>
        <v>1935.4</v>
      </c>
      <c r="H355" s="944">
        <f t="shared" si="40"/>
        <v>9677</v>
      </c>
      <c r="I355" s="963">
        <f t="shared" si="41"/>
        <v>9677</v>
      </c>
    </row>
    <row r="356" spans="1:9" x14ac:dyDescent="0.35">
      <c r="A356" s="424" t="s">
        <v>214</v>
      </c>
      <c r="B356" s="944">
        <f>'7.4.2 Selling &amp; Oper. expenses'!K45*'7.4.2 Selling &amp; Oper. expenses'!E76</f>
        <v>1548.4</v>
      </c>
      <c r="C356" s="945">
        <f>'7.4.2 Selling &amp; Oper. expenses'!K45*'7.4.2 Selling &amp; Oper. expenses'!F76</f>
        <v>0</v>
      </c>
      <c r="D356" s="945">
        <f>'7.4.2 Selling &amp; Oper. expenses'!K45*'7.4.2 Selling &amp; Oper. expenses'!G76</f>
        <v>0</v>
      </c>
      <c r="E356" s="945">
        <f>'7.4.2 Selling &amp; Oper. expenses'!K45*'7.4.2 Selling &amp; Oper. expenses'!H76</f>
        <v>774.2</v>
      </c>
      <c r="F356" s="945">
        <f>'7.4.2 Selling &amp; Oper. expenses'!K45*'7.4.2 Selling &amp; Oper. expenses'!I76</f>
        <v>774.2</v>
      </c>
      <c r="G356" s="963">
        <f>'7.4.2 Selling &amp; Oper. expenses'!K45*'7.4.2 Selling &amp; Oper. expenses'!J76</f>
        <v>774.2</v>
      </c>
      <c r="H356" s="944">
        <f t="shared" si="40"/>
        <v>3871</v>
      </c>
      <c r="I356" s="963">
        <f t="shared" si="41"/>
        <v>3871</v>
      </c>
    </row>
    <row r="357" spans="1:9" x14ac:dyDescent="0.35">
      <c r="A357" s="424" t="s">
        <v>92</v>
      </c>
      <c r="B357" s="944">
        <f>'7.4.2 Selling &amp; Oper. expenses'!K46*'7.4.2 Selling &amp; Oper. expenses'!E77</f>
        <v>4838.5</v>
      </c>
      <c r="C357" s="945">
        <f>'7.4.2 Selling &amp; Oper. expenses'!K46*'7.4.2 Selling &amp; Oper. expenses'!F77</f>
        <v>0</v>
      </c>
      <c r="D357" s="945">
        <f>'7.4.2 Selling &amp; Oper. expenses'!K46*'7.4.2 Selling &amp; Oper. expenses'!G77</f>
        <v>0</v>
      </c>
      <c r="E357" s="945">
        <f>'7.4.2 Selling &amp; Oper. expenses'!K46*'7.4.2 Selling &amp; Oper. expenses'!H77</f>
        <v>1935.4</v>
      </c>
      <c r="F357" s="945">
        <f>'7.4.2 Selling &amp; Oper. expenses'!K46*'7.4.2 Selling &amp; Oper. expenses'!I77</f>
        <v>967.7</v>
      </c>
      <c r="G357" s="963">
        <f>'7.4.2 Selling &amp; Oper. expenses'!K46*'7.4.2 Selling &amp; Oper. expenses'!J77</f>
        <v>1935.4</v>
      </c>
      <c r="H357" s="944">
        <f t="shared" si="40"/>
        <v>9677</v>
      </c>
      <c r="I357" s="963">
        <f t="shared" si="41"/>
        <v>9677</v>
      </c>
    </row>
    <row r="358" spans="1:9" x14ac:dyDescent="0.35">
      <c r="A358" s="424" t="s">
        <v>93</v>
      </c>
      <c r="B358" s="944">
        <f>'7.4.2 Selling &amp; Oper. expenses'!K47*'7.4.2 Selling &amp; Oper. expenses'!E78</f>
        <v>6000</v>
      </c>
      <c r="C358" s="945">
        <f>'7.4.2 Selling &amp; Oper. expenses'!K47*'7.4.2 Selling &amp; Oper. expenses'!F78</f>
        <v>0</v>
      </c>
      <c r="D358" s="945">
        <f>'7.4.2 Selling &amp; Oper. expenses'!K47*'7.4.2 Selling &amp; Oper. expenses'!G78</f>
        <v>0</v>
      </c>
      <c r="E358" s="945">
        <f>'7.4.2 Selling &amp; Oper. expenses'!K47*'7.4.2 Selling &amp; Oper. expenses'!H78</f>
        <v>1500</v>
      </c>
      <c r="F358" s="945">
        <f>'7.4.2 Selling &amp; Oper. expenses'!K47*'7.4.2 Selling &amp; Oper. expenses'!I78</f>
        <v>7500</v>
      </c>
      <c r="G358" s="963">
        <f>'7.4.2 Selling &amp; Oper. expenses'!K47*'7.4.2 Selling &amp; Oper. expenses'!J78</f>
        <v>0</v>
      </c>
      <c r="H358" s="944">
        <f t="shared" si="40"/>
        <v>15000</v>
      </c>
      <c r="I358" s="963">
        <f t="shared" si="41"/>
        <v>15000</v>
      </c>
    </row>
    <row r="359" spans="1:9" x14ac:dyDescent="0.35">
      <c r="A359" s="424" t="s">
        <v>94</v>
      </c>
      <c r="B359" s="944">
        <f>'7.4.2 Selling &amp; Oper. expenses'!K48*'7.4.2 Selling &amp; Oper. expenses'!E79</f>
        <v>3870.8999999999996</v>
      </c>
      <c r="C359" s="945">
        <f>'7.4.2 Selling &amp; Oper. expenses'!K48*'7.4.2 Selling &amp; Oper. expenses'!F79</f>
        <v>0</v>
      </c>
      <c r="D359" s="945">
        <f>'7.4.2 Selling &amp; Oper. expenses'!K48*'7.4.2 Selling &amp; Oper. expenses'!G79</f>
        <v>0</v>
      </c>
      <c r="E359" s="945">
        <f>'7.4.2 Selling &amp; Oper. expenses'!K48*'7.4.2 Selling &amp; Oper. expenses'!H79</f>
        <v>2580.6000000000004</v>
      </c>
      <c r="F359" s="945">
        <f>'7.4.2 Selling &amp; Oper. expenses'!K48*'7.4.2 Selling &amp; Oper. expenses'!I79</f>
        <v>5161.2000000000007</v>
      </c>
      <c r="G359" s="963">
        <f>'7.4.2 Selling &amp; Oper. expenses'!K48*'7.4.2 Selling &amp; Oper. expenses'!J79</f>
        <v>1290.3000000000002</v>
      </c>
      <c r="H359" s="944">
        <f t="shared" si="40"/>
        <v>12903</v>
      </c>
      <c r="I359" s="963">
        <f t="shared" si="41"/>
        <v>12903</v>
      </c>
    </row>
    <row r="360" spans="1:9" x14ac:dyDescent="0.35">
      <c r="A360" s="424" t="s">
        <v>115</v>
      </c>
      <c r="B360" s="944">
        <f>'7.4.2 Selling &amp; Oper. expenses'!K49*'7.4.2 Selling &amp; Oper. expenses'!E80</f>
        <v>1613</v>
      </c>
      <c r="C360" s="945">
        <f>'7.4.2 Selling &amp; Oper. expenses'!K49*'7.4.2 Selling &amp; Oper. expenses'!F80</f>
        <v>0</v>
      </c>
      <c r="D360" s="945">
        <f>'7.4.2 Selling &amp; Oper. expenses'!K49*'7.4.2 Selling &amp; Oper. expenses'!G80</f>
        <v>0</v>
      </c>
      <c r="E360" s="945">
        <f>'7.4.2 Selling &amp; Oper. expenses'!K49*'7.4.2 Selling &amp; Oper. expenses'!H80</f>
        <v>0</v>
      </c>
      <c r="F360" s="945">
        <f>'7.4.2 Selling &amp; Oper. expenses'!K49*'7.4.2 Selling &amp; Oper. expenses'!I80</f>
        <v>0</v>
      </c>
      <c r="G360" s="963">
        <f>'7.4.2 Selling &amp; Oper. expenses'!K49*'7.4.2 Selling &amp; Oper. expenses'!J80</f>
        <v>0</v>
      </c>
      <c r="H360" s="944">
        <f>SUM(B360:G360)</f>
        <v>1613</v>
      </c>
      <c r="I360" s="963">
        <f>SUM(B360:G360)</f>
        <v>1613</v>
      </c>
    </row>
    <row r="361" spans="1:9" x14ac:dyDescent="0.35">
      <c r="A361" s="424" t="s">
        <v>707</v>
      </c>
      <c r="B361" s="944">
        <f>'7.4.2 Selling &amp; Oper. expenses'!K50*'7.4.2 Selling &amp; Oper. expenses'!E81</f>
        <v>3000</v>
      </c>
      <c r="C361" s="945">
        <f>'7.4.2 Selling &amp; Oper. expenses'!K50*'7.4.2 Selling &amp; Oper. expenses'!F81</f>
        <v>0</v>
      </c>
      <c r="D361" s="945">
        <f>'7.4.2 Selling &amp; Oper. expenses'!K50*'7.4.2 Selling &amp; Oper. expenses'!G81</f>
        <v>0</v>
      </c>
      <c r="E361" s="945">
        <f>'7.4.2 Selling &amp; Oper. expenses'!K50*'7.4.2 Selling &amp; Oper. expenses'!H81</f>
        <v>2000</v>
      </c>
      <c r="F361" s="945">
        <f>'7.4.2 Selling &amp; Oper. expenses'!K50*'7.4.2 Selling &amp; Oper. expenses'!I81</f>
        <v>2000</v>
      </c>
      <c r="G361" s="963">
        <f>'7.4.2 Selling &amp; Oper. expenses'!K50*'7.4.2 Selling &amp; Oper. expenses'!J81</f>
        <v>3000</v>
      </c>
      <c r="H361" s="944">
        <f t="shared" si="40"/>
        <v>10000</v>
      </c>
      <c r="I361" s="963">
        <f t="shared" si="41"/>
        <v>10000</v>
      </c>
    </row>
    <row r="362" spans="1:9" x14ac:dyDescent="0.35">
      <c r="A362" s="424" t="s">
        <v>97</v>
      </c>
      <c r="B362" s="944">
        <f>'7.4.2 Selling &amp; Oper. expenses'!K51*'7.4.2 Selling &amp; Oper. expenses'!E82</f>
        <v>30000</v>
      </c>
      <c r="C362" s="945">
        <f>'7.4.2 Selling &amp; Oper. expenses'!K51*'7.4.2 Selling &amp; Oper. expenses'!F82</f>
        <v>0</v>
      </c>
      <c r="D362" s="945">
        <f>'7.4.2 Selling &amp; Oper. expenses'!K51*'7.4.2 Selling &amp; Oper. expenses'!G82</f>
        <v>0</v>
      </c>
      <c r="E362" s="945">
        <f>'7.4.2 Selling &amp; Oper. expenses'!K51*'7.4.2 Selling &amp; Oper. expenses'!H82</f>
        <v>20000</v>
      </c>
      <c r="F362" s="945">
        <f>'7.4.2 Selling &amp; Oper. expenses'!K51*'7.4.2 Selling &amp; Oper. expenses'!I82</f>
        <v>50000</v>
      </c>
      <c r="G362" s="963">
        <f>'7.4.2 Selling &amp; Oper. expenses'!K51*'7.4.2 Selling &amp; Oper. expenses'!J82</f>
        <v>0</v>
      </c>
      <c r="H362" s="944">
        <f>SUM(B362:G362)</f>
        <v>100000</v>
      </c>
      <c r="I362" s="963">
        <f>SUM(B362:G362)</f>
        <v>100000</v>
      </c>
    </row>
    <row r="363" spans="1:9" x14ac:dyDescent="0.35">
      <c r="A363" s="424" t="s">
        <v>217</v>
      </c>
      <c r="B363" s="944">
        <f>'7.4.2 Selling &amp; Oper. expenses'!K52*'7.4.2 Selling &amp; Oper. expenses'!E83</f>
        <v>658.84500000000025</v>
      </c>
      <c r="C363" s="945">
        <f>'7.4.2 Selling &amp; Oper. expenses'!K52*'7.4.2 Selling &amp; Oper. expenses'!F83</f>
        <v>0</v>
      </c>
      <c r="D363" s="945">
        <f>'7.4.2 Selling &amp; Oper. expenses'!K52*'7.4.2 Selling &amp; Oper. expenses'!G83</f>
        <v>0</v>
      </c>
      <c r="E363" s="945">
        <f>'7.4.2 Selling &amp; Oper. expenses'!K52*'7.4.2 Selling &amp; Oper. expenses'!H83</f>
        <v>439.23000000000025</v>
      </c>
      <c r="F363" s="945">
        <f>'7.4.2 Selling &amp; Oper. expenses'!K52*'7.4.2 Selling &amp; Oper. expenses'!I83</f>
        <v>1098.0750000000005</v>
      </c>
      <c r="G363" s="963">
        <f>'7.4.2 Selling &amp; Oper. expenses'!K52*'7.4.2 Selling &amp; Oper. expenses'!J83</f>
        <v>0</v>
      </c>
      <c r="H363" s="944">
        <f>SUM(B363:G363)</f>
        <v>2196.150000000001</v>
      </c>
      <c r="I363" s="963">
        <f>SUM(B363:G363)</f>
        <v>2196.150000000001</v>
      </c>
    </row>
    <row r="364" spans="1:9" x14ac:dyDescent="0.35">
      <c r="A364" s="424" t="s">
        <v>99</v>
      </c>
      <c r="B364" s="944">
        <f>'7.4.2 Selling &amp; Oper. expenses'!K53*'7.4.2 Selling &amp; Oper. expenses'!E84</f>
        <v>12000</v>
      </c>
      <c r="C364" s="945">
        <f>'7.4.2 Selling &amp; Oper. expenses'!K53*'7.4.2 Selling &amp; Oper. expenses'!F84</f>
        <v>0</v>
      </c>
      <c r="D364" s="945">
        <f>'7.4.2 Selling &amp; Oper. expenses'!K53*'7.4.2 Selling &amp; Oper. expenses'!G84</f>
        <v>0</v>
      </c>
      <c r="E364" s="945">
        <f>'7.4.2 Selling &amp; Oper. expenses'!K53*'7.4.2 Selling &amp; Oper. expenses'!H84</f>
        <v>6000</v>
      </c>
      <c r="F364" s="945">
        <f>'7.4.2 Selling &amp; Oper. expenses'!K53*'7.4.2 Selling &amp; Oper. expenses'!I84</f>
        <v>2000</v>
      </c>
      <c r="G364" s="963">
        <f>'7.4.2 Selling &amp; Oper. expenses'!K53*'7.4.2 Selling &amp; Oper. expenses'!J84</f>
        <v>0</v>
      </c>
      <c r="H364" s="944">
        <f>SUM(B364:G364)</f>
        <v>20000</v>
      </c>
      <c r="I364" s="963">
        <f>SUM(B364:G364)</f>
        <v>20000</v>
      </c>
    </row>
    <row r="365" spans="1:9" x14ac:dyDescent="0.35">
      <c r="A365" s="424" t="s">
        <v>96</v>
      </c>
      <c r="B365" s="947">
        <f>'7.4.2 Selling &amp; Oper. expenses'!K54*'7.4.2 Selling &amp; Oper. expenses'!E85</f>
        <v>2196.150000000001</v>
      </c>
      <c r="C365" s="949">
        <f>'7.4.2 Selling &amp; Oper. expenses'!K54*'7.4.2 Selling &amp; Oper. expenses'!F85</f>
        <v>0</v>
      </c>
      <c r="D365" s="949">
        <f>'7.4.2 Selling &amp; Oper. expenses'!K54*'7.4.2 Selling &amp; Oper. expenses'!G85</f>
        <v>0</v>
      </c>
      <c r="E365" s="949">
        <f>'7.4.2 Selling &amp; Oper. expenses'!K54*'7.4.2 Selling &amp; Oper. expenses'!H85</f>
        <v>878.46000000000049</v>
      </c>
      <c r="F365" s="949">
        <f>'7.4.2 Selling &amp; Oper. expenses'!K54*'7.4.2 Selling &amp; Oper. expenses'!I85</f>
        <v>878.46000000000049</v>
      </c>
      <c r="G365" s="964">
        <f>'7.4.2 Selling &amp; Oper. expenses'!K54*'7.4.2 Selling &amp; Oper. expenses'!J85</f>
        <v>439.23000000000025</v>
      </c>
      <c r="H365" s="947">
        <f>SUM(B365:G365)</f>
        <v>4392.300000000002</v>
      </c>
      <c r="I365" s="964">
        <f>SUM(B365:G365)</f>
        <v>4392.300000000002</v>
      </c>
    </row>
    <row r="366" spans="1:9" x14ac:dyDescent="0.35">
      <c r="A366" s="435" t="s">
        <v>655</v>
      </c>
      <c r="B366" s="965">
        <f>SUM(B348:B365)</f>
        <v>248151.09499999997</v>
      </c>
      <c r="C366" s="966">
        <f t="shared" ref="C366:I366" si="42">SUM(C348:C365)</f>
        <v>0</v>
      </c>
      <c r="D366" s="966">
        <f t="shared" si="42"/>
        <v>0</v>
      </c>
      <c r="E366" s="966">
        <f>SUM(E348:E365)</f>
        <v>69286.790000000008</v>
      </c>
      <c r="F366" s="966">
        <f t="shared" si="42"/>
        <v>115558.535</v>
      </c>
      <c r="G366" s="967">
        <f t="shared" si="42"/>
        <v>12268.029999999999</v>
      </c>
      <c r="H366" s="965">
        <f t="shared" si="42"/>
        <v>445264.45</v>
      </c>
      <c r="I366" s="954">
        <f t="shared" si="42"/>
        <v>445264.45</v>
      </c>
    </row>
    <row r="367" spans="1:9" x14ac:dyDescent="0.35">
      <c r="A367" s="424"/>
      <c r="B367" s="944"/>
      <c r="C367" s="945"/>
      <c r="D367" s="945"/>
      <c r="E367" s="945"/>
      <c r="F367" s="945"/>
      <c r="G367" s="963"/>
      <c r="H367" s="944"/>
      <c r="I367" s="963"/>
    </row>
    <row r="368" spans="1:9" s="255" customFormat="1" x14ac:dyDescent="0.35">
      <c r="A368" s="780" t="s">
        <v>656</v>
      </c>
      <c r="B368" s="969">
        <f>'7.4.3 Inv. &amp; Depr.'!L126</f>
        <v>0</v>
      </c>
      <c r="C368" s="952">
        <f>'7.4.3 Inv. &amp; Depr.'!L127</f>
        <v>0</v>
      </c>
      <c r="D368" s="952">
        <f>'7.4.3 Inv. &amp; Depr.'!L128</f>
        <v>0</v>
      </c>
      <c r="E368" s="952">
        <f>'7.4.3 Inv. &amp; Depr.'!L129</f>
        <v>0</v>
      </c>
      <c r="F368" s="1034">
        <v>0</v>
      </c>
      <c r="G368" s="953">
        <f>'7.4.3 Inv. &amp; Depr.'!L121+'7.4.3 Inv. &amp; Depr.'!L130</f>
        <v>50400</v>
      </c>
      <c r="H368" s="951">
        <f>SUM(B368:G368)</f>
        <v>50400</v>
      </c>
      <c r="I368" s="953">
        <f>SUM(B368:G368)</f>
        <v>50400</v>
      </c>
    </row>
    <row r="369" spans="1:9" x14ac:dyDescent="0.35">
      <c r="A369" s="424"/>
      <c r="B369" s="944"/>
      <c r="C369" s="945"/>
      <c r="D369" s="945"/>
      <c r="E369" s="945"/>
      <c r="F369" s="945"/>
      <c r="G369" s="963"/>
      <c r="H369" s="944"/>
      <c r="I369" s="963"/>
    </row>
    <row r="370" spans="1:9" x14ac:dyDescent="0.35">
      <c r="A370" s="769"/>
      <c r="B370" s="936"/>
      <c r="C370" s="937"/>
      <c r="D370" s="937"/>
      <c r="E370" s="937"/>
      <c r="F370" s="937"/>
      <c r="G370" s="971"/>
      <c r="H370" s="972"/>
      <c r="I370" s="938"/>
    </row>
    <row r="371" spans="1:9" x14ac:dyDescent="0.35">
      <c r="A371" s="435" t="s">
        <v>218</v>
      </c>
      <c r="B371" s="951">
        <f t="shared" ref="B371:G371" si="43">B340-B343-B345-B366-B368</f>
        <v>976096.80514248414</v>
      </c>
      <c r="C371" s="952">
        <f t="shared" si="43"/>
        <v>0</v>
      </c>
      <c r="D371" s="952">
        <f t="shared" si="43"/>
        <v>0</v>
      </c>
      <c r="E371" s="952">
        <f ca="1">E340-E343-E345-E366-E368</f>
        <v>205634.56385269211</v>
      </c>
      <c r="F371" s="952">
        <f t="shared" si="43"/>
        <v>-78474.561345179449</v>
      </c>
      <c r="G371" s="953">
        <f t="shared" si="43"/>
        <v>-122661.45275475361</v>
      </c>
      <c r="H371" s="951">
        <f ca="1">H340-H343-H345-H366-H368</f>
        <v>980595.35489524528</v>
      </c>
      <c r="I371" s="954">
        <f ca="1">I340-I343-I345-I366-I368</f>
        <v>980595.35489524528</v>
      </c>
    </row>
    <row r="372" spans="1:9" ht="15" thickBot="1" x14ac:dyDescent="0.4">
      <c r="A372" s="770"/>
      <c r="B372" s="973"/>
      <c r="C372" s="974"/>
      <c r="D372" s="974"/>
      <c r="E372" s="974"/>
      <c r="F372" s="974"/>
      <c r="G372" s="975"/>
      <c r="H372" s="973"/>
      <c r="I372" s="975"/>
    </row>
    <row r="373" spans="1:9" x14ac:dyDescent="0.35">
      <c r="A373" s="435"/>
      <c r="B373" s="940"/>
      <c r="C373" s="941"/>
      <c r="D373" s="941"/>
      <c r="E373" s="941"/>
      <c r="F373" s="941"/>
      <c r="G373" s="942"/>
      <c r="H373" s="940"/>
      <c r="I373" s="942"/>
    </row>
    <row r="374" spans="1:9" x14ac:dyDescent="0.35">
      <c r="A374" s="424" t="s">
        <v>215</v>
      </c>
      <c r="B374" s="944">
        <v>0</v>
      </c>
      <c r="C374" s="945">
        <v>0</v>
      </c>
      <c r="D374" s="945">
        <v>0</v>
      </c>
      <c r="E374" s="945">
        <v>0</v>
      </c>
      <c r="F374" s="945">
        <v>0</v>
      </c>
      <c r="G374" s="963">
        <f ca="1">-'7.5.2 Fin. Income &amp; Expenses '!M70</f>
        <v>0</v>
      </c>
      <c r="H374" s="944">
        <f ca="1">SUM(B374:G374)</f>
        <v>0</v>
      </c>
      <c r="I374" s="963">
        <f ca="1">SUM(B374:G374)</f>
        <v>0</v>
      </c>
    </row>
    <row r="375" spans="1:9" x14ac:dyDescent="0.35">
      <c r="A375" s="424" t="s">
        <v>216</v>
      </c>
      <c r="B375" s="944">
        <v>0</v>
      </c>
      <c r="C375" s="945">
        <v>0</v>
      </c>
      <c r="D375" s="945">
        <v>0</v>
      </c>
      <c r="E375" s="945">
        <v>0</v>
      </c>
      <c r="F375" s="945">
        <v>0</v>
      </c>
      <c r="G375" s="963">
        <f>-'7.5.2 Fin. Income &amp; Expenses '!M71</f>
        <v>-11250.000000000004</v>
      </c>
      <c r="H375" s="944">
        <f>SUM(B375:G375)</f>
        <v>-11250.000000000004</v>
      </c>
      <c r="I375" s="963">
        <f>SUM(B375:G375)</f>
        <v>-11250.000000000004</v>
      </c>
    </row>
    <row r="376" spans="1:9" x14ac:dyDescent="0.35">
      <c r="A376" s="424" t="s">
        <v>564</v>
      </c>
      <c r="B376" s="944">
        <v>0</v>
      </c>
      <c r="C376" s="945">
        <v>0</v>
      </c>
      <c r="D376" s="945">
        <v>0</v>
      </c>
      <c r="E376" s="945">
        <v>0</v>
      </c>
      <c r="F376" s="945">
        <v>0</v>
      </c>
      <c r="G376" s="963">
        <f>-'7.5.2 Fin. Income &amp; Expenses '!M72</f>
        <v>0</v>
      </c>
      <c r="H376" s="944">
        <f>SUM(B376:G376)</f>
        <v>0</v>
      </c>
      <c r="I376" s="963">
        <f>SUM(B376:G376)</f>
        <v>0</v>
      </c>
    </row>
    <row r="377" spans="1:9" x14ac:dyDescent="0.35">
      <c r="A377" s="424" t="s">
        <v>357</v>
      </c>
      <c r="B377" s="947">
        <f>'7.5.1 Financial Requirements'!L38*'7.5.2 Fin. Income &amp; Expenses '!M52*'7.5.2 Fin. Income &amp; Expenses '!C73</f>
        <v>87756.657579166655</v>
      </c>
      <c r="C377" s="949">
        <f>(('7.2.1 Turnover Vehicles'!K53+'7.2.1 Turnover Vehicles'!K54)/2)*'7.5.2 Fin. Income &amp; Expenses '!M53*'7.5.2 Fin. Income &amp; Expenses '!C73</f>
        <v>0</v>
      </c>
      <c r="D377" s="949">
        <f>'7.5.1 Financial Requirements'!L39*'7.5.2 Fin. Income &amp; Expenses '!M54*'7.5.2 Fin. Income &amp; Expenses '!C73</f>
        <v>0</v>
      </c>
      <c r="E377" s="949">
        <v>0</v>
      </c>
      <c r="F377" s="949">
        <v>0</v>
      </c>
      <c r="G377" s="963">
        <v>0</v>
      </c>
      <c r="H377" s="947">
        <f>SUM(B377:G377)</f>
        <v>87756.657579166655</v>
      </c>
      <c r="I377" s="959">
        <f>B377+C377+D377+F377+E377+G377</f>
        <v>87756.657579166655</v>
      </c>
    </row>
    <row r="378" spans="1:9" s="255" customFormat="1" x14ac:dyDescent="0.35">
      <c r="A378" s="771" t="s">
        <v>816</v>
      </c>
      <c r="B378" s="951">
        <f t="shared" ref="B378:I378" si="44">SUM(B374:B377)</f>
        <v>87756.657579166655</v>
      </c>
      <c r="C378" s="952">
        <f t="shared" si="44"/>
        <v>0</v>
      </c>
      <c r="D378" s="952">
        <f t="shared" si="44"/>
        <v>0</v>
      </c>
      <c r="E378" s="952">
        <f t="shared" si="44"/>
        <v>0</v>
      </c>
      <c r="F378" s="952">
        <f t="shared" si="44"/>
        <v>0</v>
      </c>
      <c r="G378" s="967">
        <f t="shared" ca="1" si="44"/>
        <v>-11250.000000000004</v>
      </c>
      <c r="H378" s="951">
        <f t="shared" ca="1" si="44"/>
        <v>76506.657579166655</v>
      </c>
      <c r="I378" s="953">
        <f t="shared" ca="1" si="44"/>
        <v>76506.657579166655</v>
      </c>
    </row>
    <row r="379" spans="1:9" s="255" customFormat="1" x14ac:dyDescent="0.35">
      <c r="A379" s="435"/>
      <c r="B379" s="951"/>
      <c r="C379" s="952"/>
      <c r="D379" s="952"/>
      <c r="E379" s="952"/>
      <c r="F379" s="952"/>
      <c r="G379" s="953"/>
      <c r="H379" s="951"/>
      <c r="I379" s="953"/>
    </row>
    <row r="380" spans="1:9" s="255" customFormat="1" x14ac:dyDescent="0.35">
      <c r="A380" s="435" t="s">
        <v>660</v>
      </c>
      <c r="B380" s="951">
        <v>0</v>
      </c>
      <c r="C380" s="952">
        <v>0</v>
      </c>
      <c r="D380" s="952">
        <v>0</v>
      </c>
      <c r="E380" s="952">
        <v>0</v>
      </c>
      <c r="F380" s="952">
        <v>0</v>
      </c>
      <c r="G380" s="953">
        <f ca="1">'7.5.2 Fin. Income &amp; Expenses '!M86</f>
        <v>75192.9467247789</v>
      </c>
      <c r="H380" s="951">
        <f ca="1">SUM(B380:G380)</f>
        <v>75192.9467247789</v>
      </c>
      <c r="I380" s="969">
        <f ca="1">SUM(B380:G380)</f>
        <v>75192.9467247789</v>
      </c>
    </row>
    <row r="381" spans="1:9" x14ac:dyDescent="0.35">
      <c r="A381" s="768"/>
      <c r="B381" s="962"/>
      <c r="C381" s="978"/>
      <c r="D381" s="978"/>
      <c r="E381" s="978"/>
      <c r="F381" s="978"/>
      <c r="G381" s="957"/>
      <c r="H381" s="955"/>
      <c r="I381" s="961"/>
    </row>
    <row r="382" spans="1:9" x14ac:dyDescent="0.35">
      <c r="A382" s="424"/>
      <c r="B382" s="940"/>
      <c r="C382" s="941"/>
      <c r="D382" s="941"/>
      <c r="E382" s="941"/>
      <c r="F382" s="941"/>
      <c r="G382" s="963"/>
      <c r="H382" s="944"/>
      <c r="I382" s="942"/>
    </row>
    <row r="383" spans="1:9" x14ac:dyDescent="0.35">
      <c r="A383" s="435" t="s">
        <v>218</v>
      </c>
      <c r="B383" s="951">
        <f t="shared" ref="B383:I383" si="45">B371+B380+B378</f>
        <v>1063853.4627216507</v>
      </c>
      <c r="C383" s="952">
        <f t="shared" si="45"/>
        <v>0</v>
      </c>
      <c r="D383" s="952">
        <f t="shared" si="45"/>
        <v>0</v>
      </c>
      <c r="E383" s="952">
        <f t="shared" ca="1" si="45"/>
        <v>205634.56385269211</v>
      </c>
      <c r="F383" s="952">
        <f t="shared" si="45"/>
        <v>-78474.561345179449</v>
      </c>
      <c r="G383" s="953">
        <f t="shared" ca="1" si="45"/>
        <v>-58718.506029974713</v>
      </c>
      <c r="H383" s="951">
        <f t="shared" ca="1" si="45"/>
        <v>1132294.9591991908</v>
      </c>
      <c r="I383" s="953">
        <f t="shared" ca="1" si="45"/>
        <v>1132294.9591991908</v>
      </c>
    </row>
    <row r="384" spans="1:9" ht="15" thickBot="1" x14ac:dyDescent="0.4">
      <c r="A384" s="770"/>
      <c r="B384" s="973"/>
      <c r="C384" s="974"/>
      <c r="D384" s="974"/>
      <c r="E384" s="974"/>
      <c r="F384" s="974"/>
      <c r="G384" s="975"/>
      <c r="H384" s="973"/>
      <c r="I384" s="975"/>
    </row>
    <row r="385" spans="1:9" hidden="1" x14ac:dyDescent="0.35"/>
    <row r="386" spans="1:9" hidden="1" x14ac:dyDescent="0.35">
      <c r="A386" s="136"/>
      <c r="B386" s="275"/>
      <c r="C386" s="275"/>
      <c r="D386" s="275"/>
      <c r="E386" s="275"/>
      <c r="F386" s="275"/>
      <c r="G386" s="275"/>
      <c r="H386" s="275"/>
      <c r="I386" s="275"/>
    </row>
  </sheetData>
  <sheetProtection password="813F" sheet="1" objects="1" scenarios="1" selectLockedCells="1"/>
  <customSheetViews>
    <customSheetView guid="{51165254-F18A-4CD1-9981-8F2DE14CC76C}" scale="80" showGridLines="0" hiddenRows="1" hiddenColumns="1" showRuler="0">
      <pane ySplit="6" topLeftCell="A7" activePane="bottomLeft" state="frozen"/>
      <selection pane="bottomLeft"/>
      <rowBreaks count="4" manualBreakCount="4">
        <brk id="77" max="8" man="1"/>
        <brk id="154" max="8" man="1"/>
        <brk id="231" max="8" man="1"/>
        <brk id="308" max="8" man="1"/>
      </rowBreaks>
      <pageMargins left="0.78740157480314965" right="0.78740157480314965" top="0.98425196850393704" bottom="0.98425196850393704" header="0.51181102362204722" footer="0.51181102362204722"/>
      <printOptions horizontalCentered="1" verticalCentered="1"/>
      <pageSetup paperSize="9" scale="41" fitToHeight="5"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41" fitToHeight="5" orientation="portrait" r:id="rId2"/>
  <headerFooter alignWithMargins="0">
    <oddHeader>&amp;L&amp;F</oddHeader>
    <oddFooter xml:space="preserve">&amp;LDAF Dealer Business Plan - Version January 2011&amp;CPrint date: &amp;D&amp;R&amp;P/&amp;N | DAF Trucks NV    </oddFooter>
  </headerFooter>
  <rowBreaks count="4" manualBreakCount="4">
    <brk id="77" max="8" man="1"/>
    <brk id="154" max="8" man="1"/>
    <brk id="231" max="8" man="1"/>
    <brk id="308" max="8" man="1"/>
  </rowBreaks>
  <drawing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8">
    <tabColor indexed="22"/>
  </sheetPr>
  <dimension ref="A1:X170"/>
  <sheetViews>
    <sheetView showGridLines="0" zoomScaleNormal="100" zoomScaleSheetLayoutView="75" workbookViewId="0">
      <pane ySplit="1" topLeftCell="A2" activePane="bottomLeft" state="frozen"/>
      <selection activeCell="C21" sqref="C21"/>
      <selection pane="bottomLeft" activeCell="C21" sqref="C21"/>
    </sheetView>
  </sheetViews>
  <sheetFormatPr baseColWidth="10" defaultColWidth="0" defaultRowHeight="14.4" zeroHeight="1" x14ac:dyDescent="0.35"/>
  <cols>
    <col min="1" max="1" width="38.109375" style="1696" customWidth="1"/>
    <col min="2" max="15" width="13.6640625" style="839" customWidth="1"/>
    <col min="16" max="16" width="13.6640625" style="1739" customWidth="1"/>
    <col min="17" max="17" width="2" style="44" customWidth="1"/>
    <col min="18" max="16384" width="9.109375" style="45" hidden="1"/>
  </cols>
  <sheetData>
    <row r="1" spans="1:17" ht="28.8" x14ac:dyDescent="0.55000000000000004">
      <c r="A1" s="1599" t="s">
        <v>1173</v>
      </c>
      <c r="B1" s="1600"/>
      <c r="C1" s="1600"/>
      <c r="D1" s="1600"/>
      <c r="E1" s="1600"/>
      <c r="F1" s="1600"/>
      <c r="G1" s="1600"/>
      <c r="H1" s="1600"/>
      <c r="I1" s="1601"/>
      <c r="J1" s="1602"/>
      <c r="K1" s="1600"/>
      <c r="L1" s="1600"/>
      <c r="M1" s="1600"/>
      <c r="N1" s="1600"/>
      <c r="O1" s="1600"/>
      <c r="P1" s="1603" t="s">
        <v>849</v>
      </c>
    </row>
    <row r="2" spans="1:17" x14ac:dyDescent="0.35">
      <c r="A2" s="424"/>
      <c r="B2" s="136"/>
      <c r="C2" s="136"/>
      <c r="D2" s="136"/>
      <c r="E2" s="136"/>
      <c r="F2" s="136"/>
      <c r="G2" s="136"/>
      <c r="H2" s="136"/>
      <c r="I2" s="136"/>
      <c r="J2" s="280"/>
      <c r="K2" s="136"/>
      <c r="L2" s="136"/>
      <c r="M2" s="136"/>
      <c r="N2" s="136"/>
      <c r="O2" s="136"/>
      <c r="P2" s="767"/>
    </row>
    <row r="3" spans="1:17" ht="16.2" x14ac:dyDescent="0.35">
      <c r="A3" s="773" t="s">
        <v>1035</v>
      </c>
      <c r="B3" s="239" t="str">
        <f>'Reference sheet'!$C$12</f>
        <v>TRUCK INTERNATIONAL MOBILITY SA</v>
      </c>
      <c r="C3" s="240"/>
      <c r="D3" s="136"/>
      <c r="E3" s="136"/>
      <c r="F3" s="136"/>
      <c r="G3" s="136"/>
      <c r="H3" s="136"/>
      <c r="I3" s="136"/>
      <c r="J3" s="283" t="s">
        <v>1036</v>
      </c>
      <c r="K3" s="282">
        <f>'Reference sheet'!$C$15</f>
        <v>2</v>
      </c>
      <c r="L3" s="283" t="s">
        <v>1037</v>
      </c>
      <c r="M3" s="243" t="str">
        <f>'Reference sheet'!C$17</f>
        <v>October</v>
      </c>
      <c r="N3" s="982">
        <f>'Reference sheet'!D$17</f>
        <v>2018</v>
      </c>
      <c r="O3" s="143" t="s">
        <v>1175</v>
      </c>
      <c r="P3" s="1686" t="str">
        <f>'Reference sheet'!$C$21</f>
        <v>EUR</v>
      </c>
    </row>
    <row r="4" spans="1:17" x14ac:dyDescent="0.35">
      <c r="A4" s="770"/>
      <c r="B4" s="178"/>
      <c r="C4" s="178"/>
      <c r="D4" s="178"/>
      <c r="E4" s="178"/>
      <c r="F4" s="178"/>
      <c r="G4" s="146"/>
      <c r="H4" s="146"/>
      <c r="I4" s="146"/>
      <c r="J4" s="178"/>
      <c r="K4" s="178"/>
      <c r="L4" s="178"/>
      <c r="M4" s="178"/>
      <c r="N4" s="178"/>
      <c r="O4" s="178"/>
      <c r="P4" s="804"/>
    </row>
    <row r="5" spans="1:17" s="781" customFormat="1" ht="18.600000000000001" thickBot="1" x14ac:dyDescent="0.4">
      <c r="A5" s="1687"/>
      <c r="B5" s="2238" t="s">
        <v>196</v>
      </c>
      <c r="C5" s="2239"/>
      <c r="D5" s="2239"/>
      <c r="E5" s="2239"/>
      <c r="F5" s="2240"/>
      <c r="G5" s="2238" t="s">
        <v>42</v>
      </c>
      <c r="H5" s="2239"/>
      <c r="I5" s="2239"/>
      <c r="J5" s="2239"/>
      <c r="K5" s="2240"/>
      <c r="L5" s="2238" t="s">
        <v>43</v>
      </c>
      <c r="M5" s="2239"/>
      <c r="N5" s="2239"/>
      <c r="O5" s="2239"/>
      <c r="P5" s="2240"/>
      <c r="Q5" s="1688"/>
    </row>
    <row r="6" spans="1:17" s="265" customFormat="1" ht="18.600000000000001" thickBot="1" x14ac:dyDescent="0.4">
      <c r="A6" s="1218"/>
      <c r="B6" s="1689">
        <f>'7.5.3 VAT'!C5</f>
        <v>2019</v>
      </c>
      <c r="C6" s="1690">
        <f>'7.5.2 Fin. Income &amp; Expenses '!G6</f>
        <v>2020</v>
      </c>
      <c r="D6" s="1690">
        <f>'7.5.2 Fin. Income &amp; Expenses '!I6</f>
        <v>2021</v>
      </c>
      <c r="E6" s="1690">
        <f>'7.5.2 Fin. Income &amp; Expenses '!K6</f>
        <v>2022</v>
      </c>
      <c r="F6" s="1691">
        <f>'7.5.2 Fin. Income &amp; Expenses '!M6</f>
        <v>2023</v>
      </c>
      <c r="G6" s="1689">
        <f>B6</f>
        <v>2019</v>
      </c>
      <c r="H6" s="1690">
        <f>C6</f>
        <v>2020</v>
      </c>
      <c r="I6" s="1690">
        <f>D6</f>
        <v>2021</v>
      </c>
      <c r="J6" s="1690">
        <f>E6</f>
        <v>2022</v>
      </c>
      <c r="K6" s="1691">
        <f>F6</f>
        <v>2023</v>
      </c>
      <c r="L6" s="1689">
        <f>B6</f>
        <v>2019</v>
      </c>
      <c r="M6" s="1690">
        <f>C6</f>
        <v>2020</v>
      </c>
      <c r="N6" s="1690">
        <f>D6</f>
        <v>2021</v>
      </c>
      <c r="O6" s="1690">
        <f>E6</f>
        <v>2022</v>
      </c>
      <c r="P6" s="1691">
        <f>F6</f>
        <v>2023</v>
      </c>
      <c r="Q6" s="1578"/>
    </row>
    <row r="7" spans="1:17" s="830" customFormat="1" x14ac:dyDescent="0.35">
      <c r="A7" s="1692"/>
      <c r="B7" s="940"/>
      <c r="C7" s="941"/>
      <c r="D7" s="941"/>
      <c r="E7" s="941"/>
      <c r="F7" s="942"/>
      <c r="G7" s="940"/>
      <c r="H7" s="941"/>
      <c r="I7" s="941"/>
      <c r="J7" s="941"/>
      <c r="K7" s="942"/>
      <c r="L7" s="940"/>
      <c r="M7" s="941"/>
      <c r="N7" s="941"/>
      <c r="O7" s="941"/>
      <c r="P7" s="942"/>
      <c r="Q7" s="44"/>
    </row>
    <row r="8" spans="1:17" s="830" customFormat="1" x14ac:dyDescent="0.35">
      <c r="A8" s="1216" t="s">
        <v>200</v>
      </c>
      <c r="B8" s="1693"/>
      <c r="C8" s="1694"/>
      <c r="D8" s="1694"/>
      <c r="E8" s="1694"/>
      <c r="F8" s="1695"/>
      <c r="G8" s="1693"/>
      <c r="H8" s="1694"/>
      <c r="I8" s="1694"/>
      <c r="J8" s="1694"/>
      <c r="K8" s="1695"/>
      <c r="L8" s="1693"/>
      <c r="M8" s="1694"/>
      <c r="N8" s="1694"/>
      <c r="O8" s="1694"/>
      <c r="P8" s="1695"/>
      <c r="Q8" s="44"/>
    </row>
    <row r="9" spans="1:17" s="830" customFormat="1" x14ac:dyDescent="0.35">
      <c r="A9" s="1696" t="s">
        <v>201</v>
      </c>
      <c r="B9" s="1697"/>
      <c r="C9" s="1698"/>
      <c r="D9" s="1698"/>
      <c r="E9" s="1698"/>
      <c r="F9" s="1699"/>
      <c r="G9" s="1693"/>
      <c r="H9" s="1694"/>
      <c r="I9" s="1694"/>
      <c r="J9" s="1694"/>
      <c r="K9" s="1695"/>
      <c r="L9" s="1693"/>
      <c r="M9" s="1694"/>
      <c r="N9" s="1694"/>
      <c r="O9" s="1694"/>
      <c r="P9" s="1695"/>
      <c r="Q9" s="44"/>
    </row>
    <row r="10" spans="1:17" s="830" customFormat="1" x14ac:dyDescent="0.35">
      <c r="A10" s="1696" t="s">
        <v>202</v>
      </c>
      <c r="B10" s="1697">
        <f>'7.2.1 Turnover Vehicles'!C36</f>
        <v>1856568</v>
      </c>
      <c r="C10" s="1698">
        <f>'7.2.1 Turnover Vehicles'!E36</f>
        <v>4671928.5</v>
      </c>
      <c r="D10" s="1698">
        <f>'7.2.1 Turnover Vehicles'!G36</f>
        <v>7998064.5</v>
      </c>
      <c r="E10" s="1698">
        <f>'7.2.1 Turnover Vehicles'!I36</f>
        <v>10049948.82</v>
      </c>
      <c r="F10" s="1699">
        <f>'7.2.1 Turnover Vehicles'!K36</f>
        <v>12007661.85</v>
      </c>
      <c r="G10" s="1693">
        <v>0</v>
      </c>
      <c r="H10" s="1694">
        <v>0</v>
      </c>
      <c r="I10" s="1694">
        <v>0</v>
      </c>
      <c r="J10" s="1694">
        <v>0</v>
      </c>
      <c r="K10" s="1695">
        <v>0</v>
      </c>
      <c r="L10" s="1693">
        <v>0</v>
      </c>
      <c r="M10" s="1694">
        <v>0</v>
      </c>
      <c r="N10" s="1694">
        <v>0</v>
      </c>
      <c r="O10" s="1694">
        <v>0</v>
      </c>
      <c r="P10" s="1695">
        <v>0</v>
      </c>
      <c r="Q10" s="44"/>
    </row>
    <row r="11" spans="1:17" s="830" customFormat="1" x14ac:dyDescent="0.35">
      <c r="A11" s="1696" t="s">
        <v>203</v>
      </c>
      <c r="B11" s="1693">
        <v>0</v>
      </c>
      <c r="C11" s="1694">
        <v>0</v>
      </c>
      <c r="D11" s="1694">
        <v>0</v>
      </c>
      <c r="E11" s="1694">
        <v>0</v>
      </c>
      <c r="F11" s="1695">
        <v>0</v>
      </c>
      <c r="G11" s="1697">
        <f>'7.2.1 Turnover Vehicles'!C48</f>
        <v>0</v>
      </c>
      <c r="H11" s="1698">
        <f>'7.2.1 Turnover Vehicles'!E48</f>
        <v>0</v>
      </c>
      <c r="I11" s="1698">
        <f>'7.2.1 Turnover Vehicles'!G48</f>
        <v>0</v>
      </c>
      <c r="J11" s="1698">
        <f>'7.2.1 Turnover Vehicles'!I48</f>
        <v>0</v>
      </c>
      <c r="K11" s="1699">
        <f>'7.2.1 Turnover Vehicles'!K48</f>
        <v>0</v>
      </c>
      <c r="L11" s="1697">
        <f>'7.2.1 Turnover Vehicles'!C72</f>
        <v>0</v>
      </c>
      <c r="M11" s="1698">
        <f>'7.2.1 Turnover Vehicles'!E72</f>
        <v>0</v>
      </c>
      <c r="N11" s="1698">
        <f>'7.2.1 Turnover Vehicles'!G72</f>
        <v>0</v>
      </c>
      <c r="O11" s="1698">
        <f>'7.2.1 Turnover Vehicles'!I72</f>
        <v>0</v>
      </c>
      <c r="P11" s="1699">
        <f>'7.2.1 Turnover Vehicles'!K72</f>
        <v>0</v>
      </c>
      <c r="Q11" s="44"/>
    </row>
    <row r="12" spans="1:17" s="830" customFormat="1" x14ac:dyDescent="0.35">
      <c r="A12" s="1696" t="s">
        <v>204</v>
      </c>
      <c r="B12" s="1693">
        <v>0</v>
      </c>
      <c r="C12" s="1694">
        <v>0</v>
      </c>
      <c r="D12" s="1694">
        <v>0</v>
      </c>
      <c r="E12" s="1694">
        <v>0</v>
      </c>
      <c r="F12" s="1695">
        <v>0</v>
      </c>
      <c r="G12" s="1697">
        <v>0</v>
      </c>
      <c r="H12" s="1698">
        <v>0</v>
      </c>
      <c r="I12" s="1698">
        <v>0</v>
      </c>
      <c r="J12" s="1698">
        <v>0</v>
      </c>
      <c r="K12" s="1699">
        <v>0</v>
      </c>
      <c r="L12" s="1697">
        <v>0</v>
      </c>
      <c r="M12" s="1698">
        <v>0</v>
      </c>
      <c r="N12" s="1698">
        <v>0</v>
      </c>
      <c r="O12" s="1698">
        <v>0</v>
      </c>
      <c r="P12" s="1699">
        <v>0</v>
      </c>
      <c r="Q12" s="44"/>
    </row>
    <row r="13" spans="1:17" s="830" customFormat="1" x14ac:dyDescent="0.35">
      <c r="A13" s="1696" t="s">
        <v>205</v>
      </c>
      <c r="B13" s="1697">
        <v>0</v>
      </c>
      <c r="C13" s="1698">
        <v>0</v>
      </c>
      <c r="D13" s="1698">
        <v>0</v>
      </c>
      <c r="E13" s="1698">
        <v>0</v>
      </c>
      <c r="F13" s="1699">
        <v>0</v>
      </c>
      <c r="G13" s="1693">
        <v>0</v>
      </c>
      <c r="H13" s="1694">
        <v>0</v>
      </c>
      <c r="I13" s="1694">
        <v>0</v>
      </c>
      <c r="J13" s="1694">
        <v>0</v>
      </c>
      <c r="K13" s="1695">
        <v>0</v>
      </c>
      <c r="L13" s="1693">
        <v>0</v>
      </c>
      <c r="M13" s="1694">
        <v>0</v>
      </c>
      <c r="N13" s="1694">
        <v>0</v>
      </c>
      <c r="O13" s="1694">
        <v>0</v>
      </c>
      <c r="P13" s="1695">
        <v>0</v>
      </c>
      <c r="Q13" s="44"/>
    </row>
    <row r="14" spans="1:17" s="830" customFormat="1" x14ac:dyDescent="0.35">
      <c r="A14" s="1696" t="s">
        <v>53</v>
      </c>
      <c r="B14" s="1697">
        <v>0</v>
      </c>
      <c r="C14" s="1698">
        <v>0</v>
      </c>
      <c r="D14" s="1698">
        <v>0</v>
      </c>
      <c r="E14" s="1698">
        <v>0</v>
      </c>
      <c r="F14" s="1699">
        <v>0</v>
      </c>
      <c r="G14" s="1693">
        <v>0</v>
      </c>
      <c r="H14" s="1694">
        <v>0</v>
      </c>
      <c r="I14" s="1694">
        <v>0</v>
      </c>
      <c r="J14" s="1694">
        <v>0</v>
      </c>
      <c r="K14" s="1695">
        <v>0</v>
      </c>
      <c r="L14" s="1693">
        <v>0</v>
      </c>
      <c r="M14" s="1694">
        <v>0</v>
      </c>
      <c r="N14" s="1694">
        <v>0</v>
      </c>
      <c r="O14" s="1694">
        <v>0</v>
      </c>
      <c r="P14" s="1695">
        <v>0</v>
      </c>
      <c r="Q14" s="44"/>
    </row>
    <row r="15" spans="1:17" s="830" customFormat="1" x14ac:dyDescent="0.35">
      <c r="A15" s="1696" t="s">
        <v>206</v>
      </c>
      <c r="B15" s="1700">
        <v>0</v>
      </c>
      <c r="C15" s="1701">
        <v>0</v>
      </c>
      <c r="D15" s="1701">
        <v>0</v>
      </c>
      <c r="E15" s="1701">
        <v>0</v>
      </c>
      <c r="F15" s="1702">
        <v>0</v>
      </c>
      <c r="G15" s="1703">
        <v>0</v>
      </c>
      <c r="H15" s="1704">
        <v>0</v>
      </c>
      <c r="I15" s="1704">
        <v>0</v>
      </c>
      <c r="J15" s="1704">
        <v>0</v>
      </c>
      <c r="K15" s="1705">
        <v>0</v>
      </c>
      <c r="L15" s="1703">
        <v>0</v>
      </c>
      <c r="M15" s="1704">
        <v>0</v>
      </c>
      <c r="N15" s="1704">
        <v>0</v>
      </c>
      <c r="O15" s="1704">
        <v>0</v>
      </c>
      <c r="P15" s="1705">
        <v>0</v>
      </c>
      <c r="Q15" s="44"/>
    </row>
    <row r="16" spans="1:17" s="1710" customFormat="1" x14ac:dyDescent="0.35">
      <c r="A16" s="1216" t="s">
        <v>207</v>
      </c>
      <c r="B16" s="1706">
        <f>SUM(B10:B15)</f>
        <v>1856568</v>
      </c>
      <c r="C16" s="1707">
        <f>SUM(C10:C15)</f>
        <v>4671928.5</v>
      </c>
      <c r="D16" s="1707">
        <f>SUM(D10:D15)</f>
        <v>7998064.5</v>
      </c>
      <c r="E16" s="1707">
        <f>SUM(E10:E15)</f>
        <v>10049948.82</v>
      </c>
      <c r="F16" s="1708">
        <f>SUM(F10:F15)</f>
        <v>12007661.85</v>
      </c>
      <c r="G16" s="1706">
        <f>SUM(G11:G15)</f>
        <v>0</v>
      </c>
      <c r="H16" s="1707">
        <f>SUM(H11:H15)</f>
        <v>0</v>
      </c>
      <c r="I16" s="1707">
        <f>SUM(I11:I15)</f>
        <v>0</v>
      </c>
      <c r="J16" s="1707">
        <f>SUM(J11:J15)</f>
        <v>0</v>
      </c>
      <c r="K16" s="1708">
        <f>SUM(K11:K15)</f>
        <v>0</v>
      </c>
      <c r="L16" s="1706">
        <f>SUM(L10:L15)</f>
        <v>0</v>
      </c>
      <c r="M16" s="1707">
        <f>SUM(M10:M15)</f>
        <v>0</v>
      </c>
      <c r="N16" s="1707">
        <f>SUM(N10:N15)</f>
        <v>0</v>
      </c>
      <c r="O16" s="1707">
        <f>SUM(O10:O15)</f>
        <v>0</v>
      </c>
      <c r="P16" s="1708">
        <f>SUM(P10:P15)</f>
        <v>0</v>
      </c>
      <c r="Q16" s="1709"/>
    </row>
    <row r="17" spans="1:17" s="1710" customFormat="1" x14ac:dyDescent="0.35">
      <c r="A17" s="1711"/>
      <c r="B17" s="1712"/>
      <c r="C17" s="1713"/>
      <c r="D17" s="1713"/>
      <c r="E17" s="1713"/>
      <c r="F17" s="1714"/>
      <c r="G17" s="1712"/>
      <c r="H17" s="1713"/>
      <c r="I17" s="1713"/>
      <c r="J17" s="1713"/>
      <c r="K17" s="1714"/>
      <c r="L17" s="1712"/>
      <c r="M17" s="1713"/>
      <c r="N17" s="1713"/>
      <c r="O17" s="1713"/>
      <c r="P17" s="1714"/>
      <c r="Q17" s="1564"/>
    </row>
    <row r="18" spans="1:17" s="830" customFormat="1" x14ac:dyDescent="0.35">
      <c r="A18" s="1692"/>
      <c r="B18" s="1715"/>
      <c r="C18" s="1202"/>
      <c r="D18" s="1202"/>
      <c r="E18" s="1202"/>
      <c r="F18" s="1716"/>
      <c r="G18" s="1715"/>
      <c r="H18" s="1202"/>
      <c r="I18" s="1202"/>
      <c r="J18" s="1202"/>
      <c r="K18" s="1716"/>
      <c r="L18" s="1715"/>
      <c r="M18" s="1202"/>
      <c r="N18" s="1202"/>
      <c r="O18" s="1202"/>
      <c r="P18" s="1716"/>
      <c r="Q18" s="44"/>
    </row>
    <row r="19" spans="1:17" s="830" customFormat="1" x14ac:dyDescent="0.35">
      <c r="A19" s="1216" t="s">
        <v>208</v>
      </c>
      <c r="B19" s="1693"/>
      <c r="C19" s="1694"/>
      <c r="D19" s="1694"/>
      <c r="E19" s="1694"/>
      <c r="F19" s="1695"/>
      <c r="G19" s="1693"/>
      <c r="H19" s="1694"/>
      <c r="I19" s="1694"/>
      <c r="J19" s="1694"/>
      <c r="K19" s="1695"/>
      <c r="L19" s="1693"/>
      <c r="M19" s="1694"/>
      <c r="N19" s="1694"/>
      <c r="O19" s="1694"/>
      <c r="P19" s="1695"/>
      <c r="Q19" s="44"/>
    </row>
    <row r="20" spans="1:17" s="830" customFormat="1" x14ac:dyDescent="0.35">
      <c r="A20" s="1696" t="s">
        <v>201</v>
      </c>
      <c r="B20" s="1693"/>
      <c r="C20" s="1694"/>
      <c r="D20" s="1694"/>
      <c r="E20" s="1694"/>
      <c r="F20" s="1695"/>
      <c r="G20" s="1693"/>
      <c r="H20" s="1694"/>
      <c r="I20" s="1694"/>
      <c r="J20" s="1694"/>
      <c r="K20" s="1695"/>
      <c r="L20" s="1693"/>
      <c r="M20" s="1694"/>
      <c r="N20" s="1694"/>
      <c r="O20" s="1694"/>
      <c r="P20" s="1695"/>
      <c r="Q20" s="44"/>
    </row>
    <row r="21" spans="1:17" s="830" customFormat="1" x14ac:dyDescent="0.35">
      <c r="A21" s="1696" t="s">
        <v>202</v>
      </c>
      <c r="B21" s="1697">
        <f>'7.3 Cost of sales'!C58+'7.3 Cost of sales'!C59</f>
        <v>1628643.16</v>
      </c>
      <c r="C21" s="1698">
        <f>'7.3 Cost of sales'!E58+'7.3 Cost of sales'!E59</f>
        <v>4097825.7949999999</v>
      </c>
      <c r="D21" s="1698">
        <f>'7.3 Cost of sales'!G58+'7.3 Cost of sales'!G59</f>
        <v>7014576.1150000002</v>
      </c>
      <c r="E21" s="1698">
        <f>'7.3 Cost of sales'!I58+'7.3 Cost of sales'!I59</f>
        <v>8813892.6733999997</v>
      </c>
      <c r="F21" s="1699">
        <f>'7.3 Cost of sales'!K58+'7.3 Cost of sales'!K59</f>
        <v>10530798.909499999</v>
      </c>
      <c r="G21" s="1693">
        <v>0</v>
      </c>
      <c r="H21" s="1694">
        <v>0</v>
      </c>
      <c r="I21" s="1694">
        <v>0</v>
      </c>
      <c r="J21" s="1694">
        <v>0</v>
      </c>
      <c r="K21" s="1695">
        <v>0</v>
      </c>
      <c r="L21" s="1693">
        <v>0</v>
      </c>
      <c r="M21" s="1694">
        <v>0</v>
      </c>
      <c r="N21" s="1694">
        <v>0</v>
      </c>
      <c r="O21" s="1694">
        <v>0</v>
      </c>
      <c r="P21" s="1695">
        <v>0</v>
      </c>
      <c r="Q21" s="44"/>
    </row>
    <row r="22" spans="1:17" s="830" customFormat="1" x14ac:dyDescent="0.35">
      <c r="A22" s="1696" t="s">
        <v>203</v>
      </c>
      <c r="B22" s="1693">
        <v>0</v>
      </c>
      <c r="C22" s="1694">
        <v>0</v>
      </c>
      <c r="D22" s="1694">
        <v>0</v>
      </c>
      <c r="E22" s="1694">
        <v>0</v>
      </c>
      <c r="F22" s="1695">
        <v>0</v>
      </c>
      <c r="G22" s="1697">
        <f>'7.3 Cost of sales'!C60</f>
        <v>0</v>
      </c>
      <c r="H22" s="1698">
        <f>'7.3 Cost of sales'!E60</f>
        <v>0</v>
      </c>
      <c r="I22" s="1698">
        <f>'7.3 Cost of sales'!G60</f>
        <v>0</v>
      </c>
      <c r="J22" s="1698">
        <f>'7.3 Cost of sales'!I60</f>
        <v>0</v>
      </c>
      <c r="K22" s="1699">
        <f>'7.3 Cost of sales'!K60</f>
        <v>0</v>
      </c>
      <c r="L22" s="1697">
        <f>'7.3 Cost of sales'!C61</f>
        <v>0</v>
      </c>
      <c r="M22" s="1698">
        <f>'7.3 Cost of sales'!E61</f>
        <v>0</v>
      </c>
      <c r="N22" s="1698">
        <f>'7.3 Cost of sales'!G61</f>
        <v>0</v>
      </c>
      <c r="O22" s="1698">
        <f>'7.3 Cost of sales'!I61</f>
        <v>0</v>
      </c>
      <c r="P22" s="1699">
        <f>'7.3 Cost of sales'!K61</f>
        <v>0</v>
      </c>
      <c r="Q22" s="44"/>
    </row>
    <row r="23" spans="1:17" s="830" customFormat="1" x14ac:dyDescent="0.35">
      <c r="A23" s="1696" t="s">
        <v>204</v>
      </c>
      <c r="B23" s="1693">
        <v>0</v>
      </c>
      <c r="C23" s="1694">
        <v>0</v>
      </c>
      <c r="D23" s="1694">
        <v>0</v>
      </c>
      <c r="E23" s="1694">
        <v>0</v>
      </c>
      <c r="F23" s="1695">
        <v>0</v>
      </c>
      <c r="G23" s="1697">
        <v>0</v>
      </c>
      <c r="H23" s="1698">
        <v>0</v>
      </c>
      <c r="I23" s="1698">
        <v>0</v>
      </c>
      <c r="J23" s="1698">
        <v>0</v>
      </c>
      <c r="K23" s="1699">
        <v>0</v>
      </c>
      <c r="L23" s="1697">
        <v>0</v>
      </c>
      <c r="M23" s="1698">
        <v>0</v>
      </c>
      <c r="N23" s="1698">
        <v>0</v>
      </c>
      <c r="O23" s="1698">
        <v>0</v>
      </c>
      <c r="P23" s="1699">
        <v>0</v>
      </c>
      <c r="Q23" s="44"/>
    </row>
    <row r="24" spans="1:17" s="830" customFormat="1" x14ac:dyDescent="0.35">
      <c r="A24" s="1696" t="s">
        <v>205</v>
      </c>
      <c r="B24" s="1693">
        <v>0</v>
      </c>
      <c r="C24" s="1694">
        <v>0</v>
      </c>
      <c r="D24" s="1694">
        <v>0</v>
      </c>
      <c r="E24" s="1694">
        <v>0</v>
      </c>
      <c r="F24" s="1695">
        <v>0</v>
      </c>
      <c r="G24" s="1693">
        <v>0</v>
      </c>
      <c r="H24" s="1694">
        <v>0</v>
      </c>
      <c r="I24" s="1694">
        <v>0</v>
      </c>
      <c r="J24" s="1694">
        <v>0</v>
      </c>
      <c r="K24" s="1695">
        <v>0</v>
      </c>
      <c r="L24" s="1693">
        <v>0</v>
      </c>
      <c r="M24" s="1694">
        <v>0</v>
      </c>
      <c r="N24" s="1694">
        <v>0</v>
      </c>
      <c r="O24" s="1694">
        <v>0</v>
      </c>
      <c r="P24" s="1695">
        <v>0</v>
      </c>
      <c r="Q24" s="44"/>
    </row>
    <row r="25" spans="1:17" s="830" customFormat="1" x14ac:dyDescent="0.35">
      <c r="A25" s="1696" t="s">
        <v>209</v>
      </c>
      <c r="B25" s="1693">
        <v>0</v>
      </c>
      <c r="C25" s="1698">
        <v>0</v>
      </c>
      <c r="D25" s="1694">
        <v>0</v>
      </c>
      <c r="E25" s="1698">
        <v>0</v>
      </c>
      <c r="F25" s="1699">
        <v>0</v>
      </c>
      <c r="G25" s="1693">
        <v>0</v>
      </c>
      <c r="H25" s="1698">
        <v>0</v>
      </c>
      <c r="I25" s="1698">
        <v>0</v>
      </c>
      <c r="J25" s="1698">
        <v>0</v>
      </c>
      <c r="K25" s="1699">
        <v>0</v>
      </c>
      <c r="L25" s="1693">
        <v>0</v>
      </c>
      <c r="M25" s="1698">
        <v>0</v>
      </c>
      <c r="N25" s="1698">
        <v>0</v>
      </c>
      <c r="O25" s="1698">
        <v>0</v>
      </c>
      <c r="P25" s="1699">
        <v>0</v>
      </c>
      <c r="Q25" s="44"/>
    </row>
    <row r="26" spans="1:17" s="830" customFormat="1" x14ac:dyDescent="0.35">
      <c r="A26" s="1696" t="s">
        <v>210</v>
      </c>
      <c r="B26" s="1697">
        <f>-'7.3 Cost of sales'!C67</f>
        <v>0</v>
      </c>
      <c r="C26" s="1698">
        <f>-'7.3 Cost of sales'!E67</f>
        <v>0</v>
      </c>
      <c r="D26" s="1698">
        <f>-'7.3 Cost of sales'!G67</f>
        <v>0</v>
      </c>
      <c r="E26" s="1698">
        <f>-'7.3 Cost of sales'!I67</f>
        <v>0</v>
      </c>
      <c r="F26" s="1699">
        <f>-'7.3 Cost of sales'!K67</f>
        <v>0</v>
      </c>
      <c r="G26" s="1693">
        <v>0</v>
      </c>
      <c r="H26" s="1694">
        <v>0</v>
      </c>
      <c r="I26" s="1694">
        <v>0</v>
      </c>
      <c r="J26" s="1694">
        <v>0</v>
      </c>
      <c r="K26" s="1695">
        <v>0</v>
      </c>
      <c r="L26" s="1697">
        <f>-'7.3 Cost of sales'!C68</f>
        <v>0</v>
      </c>
      <c r="M26" s="1698">
        <f>-'7.3 Cost of sales'!E68</f>
        <v>0</v>
      </c>
      <c r="N26" s="1698">
        <f>-'7.3 Cost of sales'!G68</f>
        <v>0</v>
      </c>
      <c r="O26" s="1698">
        <f>-'7.3 Cost of sales'!I68</f>
        <v>0</v>
      </c>
      <c r="P26" s="1699">
        <f>-'7.3 Cost of sales'!K68</f>
        <v>0</v>
      </c>
      <c r="Q26" s="44"/>
    </row>
    <row r="27" spans="1:17" s="830" customFormat="1" x14ac:dyDescent="0.35">
      <c r="A27" s="1696" t="s">
        <v>53</v>
      </c>
      <c r="B27" s="1697">
        <v>0</v>
      </c>
      <c r="C27" s="1698">
        <v>0</v>
      </c>
      <c r="D27" s="1698">
        <v>0</v>
      </c>
      <c r="E27" s="1698">
        <v>0</v>
      </c>
      <c r="F27" s="1699">
        <v>0</v>
      </c>
      <c r="G27" s="1693">
        <v>0</v>
      </c>
      <c r="H27" s="1694">
        <v>0</v>
      </c>
      <c r="I27" s="1694">
        <v>0</v>
      </c>
      <c r="J27" s="1694">
        <v>0</v>
      </c>
      <c r="K27" s="1695">
        <v>0</v>
      </c>
      <c r="L27" s="1697">
        <v>0</v>
      </c>
      <c r="M27" s="1698">
        <v>0</v>
      </c>
      <c r="N27" s="1698">
        <v>0</v>
      </c>
      <c r="O27" s="1698">
        <v>0</v>
      </c>
      <c r="P27" s="1699">
        <v>0</v>
      </c>
      <c r="Q27" s="44"/>
    </row>
    <row r="28" spans="1:17" s="830" customFormat="1" x14ac:dyDescent="0.35">
      <c r="A28" s="1696" t="s">
        <v>206</v>
      </c>
      <c r="B28" s="1700">
        <f>'7.2.3 Turnover Service &amp; Body'!C39+'7.2.2 Turnover Parts'!C26</f>
        <v>116</v>
      </c>
      <c r="C28" s="1701">
        <f>'7.2.3 Turnover Service &amp; Body'!E39+'7.2.2 Turnover Parts'!E26</f>
        <v>292</v>
      </c>
      <c r="D28" s="1701">
        <f>'7.2.3 Turnover Service &amp; Body'!G39+'7.2.2 Turnover Parts'!G26</f>
        <v>500</v>
      </c>
      <c r="E28" s="1701">
        <f>'7.2.3 Turnover Service &amp; Body'!I39+'7.2.2 Turnover Parts'!I26</f>
        <v>616</v>
      </c>
      <c r="F28" s="1702">
        <f>'7.2.3 Turnover Service &amp; Body'!K39+'7.2.2 Turnover Parts'!K26</f>
        <v>736</v>
      </c>
      <c r="G28" s="1700">
        <f>'7.2.3 Turnover Service &amp; Body'!C40+'7.2.2 Turnover Parts'!C27</f>
        <v>0</v>
      </c>
      <c r="H28" s="1701">
        <f>'7.2.3 Turnover Service &amp; Body'!E40+'7.2.2 Turnover Parts'!E27</f>
        <v>0</v>
      </c>
      <c r="I28" s="1701">
        <f>'7.2.3 Turnover Service &amp; Body'!G40+'7.2.2 Turnover Parts'!G27</f>
        <v>0</v>
      </c>
      <c r="J28" s="1701">
        <f>'7.2.3 Turnover Service &amp; Body'!I40+'7.2.2 Turnover Parts'!I27</f>
        <v>0</v>
      </c>
      <c r="K28" s="1702">
        <f>'7.2.3 Turnover Service &amp; Body'!K40+'7.2.2 Turnover Parts'!K27</f>
        <v>0</v>
      </c>
      <c r="L28" s="1703">
        <v>0</v>
      </c>
      <c r="M28" s="1704">
        <v>0</v>
      </c>
      <c r="N28" s="1704">
        <v>0</v>
      </c>
      <c r="O28" s="1704">
        <v>0</v>
      </c>
      <c r="P28" s="1705">
        <v>0</v>
      </c>
      <c r="Q28" s="44"/>
    </row>
    <row r="29" spans="1:17" s="1710" customFormat="1" x14ac:dyDescent="0.35">
      <c r="A29" s="1216" t="s">
        <v>211</v>
      </c>
      <c r="B29" s="1706">
        <f t="shared" ref="B29:P29" si="0">SUM(B21:B28)</f>
        <v>1628759.16</v>
      </c>
      <c r="C29" s="1707">
        <f t="shared" si="0"/>
        <v>4098117.7949999999</v>
      </c>
      <c r="D29" s="1707">
        <f t="shared" si="0"/>
        <v>7015076.1150000002</v>
      </c>
      <c r="E29" s="1707">
        <f t="shared" si="0"/>
        <v>8814508.6733999997</v>
      </c>
      <c r="F29" s="1708">
        <f t="shared" si="0"/>
        <v>10531534.909499999</v>
      </c>
      <c r="G29" s="1706">
        <f t="shared" si="0"/>
        <v>0</v>
      </c>
      <c r="H29" s="1707">
        <f t="shared" si="0"/>
        <v>0</v>
      </c>
      <c r="I29" s="1707">
        <f t="shared" si="0"/>
        <v>0</v>
      </c>
      <c r="J29" s="1707">
        <f t="shared" si="0"/>
        <v>0</v>
      </c>
      <c r="K29" s="1708">
        <f t="shared" si="0"/>
        <v>0</v>
      </c>
      <c r="L29" s="1706">
        <f t="shared" si="0"/>
        <v>0</v>
      </c>
      <c r="M29" s="1707">
        <f t="shared" si="0"/>
        <v>0</v>
      </c>
      <c r="N29" s="1707">
        <f t="shared" si="0"/>
        <v>0</v>
      </c>
      <c r="O29" s="1707">
        <f t="shared" si="0"/>
        <v>0</v>
      </c>
      <c r="P29" s="1708">
        <f t="shared" si="0"/>
        <v>0</v>
      </c>
      <c r="Q29" s="1709"/>
    </row>
    <row r="30" spans="1:17" s="1710" customFormat="1" x14ac:dyDescent="0.35">
      <c r="A30" s="1711"/>
      <c r="B30" s="1712"/>
      <c r="C30" s="1713"/>
      <c r="D30" s="1713"/>
      <c r="E30" s="1713"/>
      <c r="F30" s="1714"/>
      <c r="G30" s="1712"/>
      <c r="H30" s="1713"/>
      <c r="I30" s="1713"/>
      <c r="J30" s="1713"/>
      <c r="K30" s="1714"/>
      <c r="L30" s="1712"/>
      <c r="M30" s="1713"/>
      <c r="N30" s="1713"/>
      <c r="O30" s="1713"/>
      <c r="P30" s="1714"/>
      <c r="Q30" s="1564"/>
    </row>
    <row r="31" spans="1:17" s="830" customFormat="1" x14ac:dyDescent="0.35">
      <c r="A31" s="1692"/>
      <c r="B31" s="1715"/>
      <c r="C31" s="1202"/>
      <c r="D31" s="1202"/>
      <c r="E31" s="1202"/>
      <c r="F31" s="1716"/>
      <c r="G31" s="1715"/>
      <c r="H31" s="1202"/>
      <c r="I31" s="1202"/>
      <c r="J31" s="1202"/>
      <c r="K31" s="1716"/>
      <c r="L31" s="1715"/>
      <c r="M31" s="1202"/>
      <c r="N31" s="1202"/>
      <c r="O31" s="1202"/>
      <c r="P31" s="1716"/>
      <c r="Q31" s="44"/>
    </row>
    <row r="32" spans="1:17" s="1710" customFormat="1" x14ac:dyDescent="0.35">
      <c r="A32" s="1216" t="s">
        <v>212</v>
      </c>
      <c r="B32" s="1706">
        <f t="shared" ref="B32:P32" si="1">B16-B29</f>
        <v>227808.84000000008</v>
      </c>
      <c r="C32" s="1707">
        <f t="shared" si="1"/>
        <v>573810.70500000007</v>
      </c>
      <c r="D32" s="1707">
        <f t="shared" si="1"/>
        <v>982988.38499999978</v>
      </c>
      <c r="E32" s="1707">
        <f t="shared" si="1"/>
        <v>1235440.1466000006</v>
      </c>
      <c r="F32" s="1708">
        <f t="shared" si="1"/>
        <v>1476126.9405000005</v>
      </c>
      <c r="G32" s="1706">
        <f t="shared" si="1"/>
        <v>0</v>
      </c>
      <c r="H32" s="1707">
        <f t="shared" si="1"/>
        <v>0</v>
      </c>
      <c r="I32" s="1707">
        <f t="shared" si="1"/>
        <v>0</v>
      </c>
      <c r="J32" s="1707">
        <f t="shared" si="1"/>
        <v>0</v>
      </c>
      <c r="K32" s="1708">
        <f t="shared" si="1"/>
        <v>0</v>
      </c>
      <c r="L32" s="1706">
        <f t="shared" si="1"/>
        <v>0</v>
      </c>
      <c r="M32" s="1707">
        <f t="shared" si="1"/>
        <v>0</v>
      </c>
      <c r="N32" s="1707">
        <f t="shared" si="1"/>
        <v>0</v>
      </c>
      <c r="O32" s="1707">
        <f t="shared" si="1"/>
        <v>0</v>
      </c>
      <c r="P32" s="1708">
        <f t="shared" si="1"/>
        <v>0</v>
      </c>
      <c r="Q32" s="1709"/>
    </row>
    <row r="33" spans="1:24" s="1710" customFormat="1" x14ac:dyDescent="0.35">
      <c r="A33" s="1216"/>
      <c r="B33" s="1706"/>
      <c r="C33" s="1707"/>
      <c r="D33" s="1707"/>
      <c r="E33" s="1707"/>
      <c r="F33" s="1708"/>
      <c r="G33" s="1706"/>
      <c r="H33" s="1707"/>
      <c r="I33" s="1707"/>
      <c r="J33" s="1707"/>
      <c r="K33" s="1708"/>
      <c r="L33" s="1706"/>
      <c r="M33" s="1707"/>
      <c r="N33" s="1707"/>
      <c r="O33" s="1707"/>
      <c r="P33" s="1708"/>
      <c r="Q33" s="1709"/>
    </row>
    <row r="34" spans="1:24" s="1722" customFormat="1" x14ac:dyDescent="0.35">
      <c r="A34" s="1717" t="s">
        <v>494</v>
      </c>
      <c r="B34" s="1718">
        <f>IF(B16=0,0,B32/B16)</f>
        <v>0.12270428015564207</v>
      </c>
      <c r="C34" s="1719">
        <f t="shared" ref="C34:P34" si="2">IF(C16=0,0,C32/C16)</f>
        <v>0.12282095177612416</v>
      </c>
      <c r="D34" s="1719">
        <f t="shared" si="2"/>
        <v>0.12290328303803999</v>
      </c>
      <c r="E34" s="1719">
        <f t="shared" si="2"/>
        <v>0.12292999384647618</v>
      </c>
      <c r="F34" s="1720">
        <f t="shared" si="2"/>
        <v>0.12293208777360769</v>
      </c>
      <c r="G34" s="1718">
        <f t="shared" si="2"/>
        <v>0</v>
      </c>
      <c r="H34" s="1719">
        <f t="shared" si="2"/>
        <v>0</v>
      </c>
      <c r="I34" s="1719">
        <f t="shared" si="2"/>
        <v>0</v>
      </c>
      <c r="J34" s="1719">
        <f t="shared" si="2"/>
        <v>0</v>
      </c>
      <c r="K34" s="1720">
        <f t="shared" si="2"/>
        <v>0</v>
      </c>
      <c r="L34" s="1718">
        <f t="shared" si="2"/>
        <v>0</v>
      </c>
      <c r="M34" s="1719">
        <f t="shared" si="2"/>
        <v>0</v>
      </c>
      <c r="N34" s="1719">
        <f t="shared" si="2"/>
        <v>0</v>
      </c>
      <c r="O34" s="1719">
        <f t="shared" si="2"/>
        <v>0</v>
      </c>
      <c r="P34" s="1720">
        <f t="shared" si="2"/>
        <v>0</v>
      </c>
      <c r="Q34" s="1721"/>
    </row>
    <row r="35" spans="1:24" s="1710" customFormat="1" x14ac:dyDescent="0.35">
      <c r="A35" s="1711"/>
      <c r="B35" s="1712"/>
      <c r="C35" s="1713"/>
      <c r="D35" s="1713"/>
      <c r="E35" s="1713"/>
      <c r="F35" s="1714"/>
      <c r="G35" s="1712"/>
      <c r="H35" s="1713"/>
      <c r="I35" s="1713"/>
      <c r="J35" s="1713"/>
      <c r="K35" s="1714"/>
      <c r="L35" s="1712"/>
      <c r="M35" s="1713"/>
      <c r="N35" s="1713"/>
      <c r="O35" s="1713"/>
      <c r="P35" s="1714"/>
      <c r="Q35" s="1564"/>
    </row>
    <row r="36" spans="1:24" s="830" customFormat="1" x14ac:dyDescent="0.35">
      <c r="A36" s="1692"/>
      <c r="B36" s="1715"/>
      <c r="C36" s="1202"/>
      <c r="D36" s="1202"/>
      <c r="E36" s="1202"/>
      <c r="F36" s="1716"/>
      <c r="G36" s="1715"/>
      <c r="H36" s="1202"/>
      <c r="I36" s="1202"/>
      <c r="J36" s="1202"/>
      <c r="K36" s="1716"/>
      <c r="L36" s="1715"/>
      <c r="M36" s="1202"/>
      <c r="N36" s="1202"/>
      <c r="O36" s="1202"/>
      <c r="P36" s="1716"/>
      <c r="Q36" s="44"/>
    </row>
    <row r="37" spans="1:24" s="1726" customFormat="1" x14ac:dyDescent="0.35">
      <c r="A37" s="1723" t="s">
        <v>664</v>
      </c>
      <c r="B37" s="951">
        <f>'7.2.1 Turnover Vehicles'!C$84*'7.4.1 Salaries &amp; Wages'!C77*(1+'7.4.1 Salaries &amp; Wages'!B$78)+('7.4.2 Selling &amp; Oper. expenses'!C9*'7.4.2 Selling &amp; Oper. expenses'!E63)</f>
        <v>62455.212500000001</v>
      </c>
      <c r="C37" s="952">
        <f>'7.2.1 Turnover Vehicles'!E$84*'7.4.1 Salaries &amp; Wages'!E$77*(1+'7.4.1 Salaries &amp; Wages'!B$78)+('7.4.2 Selling &amp; Oper. expenses'!E9*'7.4.2 Selling &amp; Oper. expenses'!E63)</f>
        <v>86180.362500000003</v>
      </c>
      <c r="D37" s="952">
        <f>'7.2.1 Turnover Vehicles'!G$84*'7.4.1 Salaries &amp; Wages'!G$77*(1+'7.4.1 Salaries &amp; Wages'!B$78)+('7.4.2 Selling &amp; Oper. expenses'!G9*'7.4.2 Selling &amp; Oper. expenses'!E63)</f>
        <v>129582.8125</v>
      </c>
      <c r="E37" s="1724">
        <f>'7.2.1 Turnover Vehicles'!I$84*'7.4.1 Salaries &amp; Wages'!I$77*(1+'7.4.1 Salaries &amp; Wages'!B$78)+('7.4.2 Selling &amp; Oper. expenses'!E63*'7.4.2 Selling &amp; Oper. expenses'!I9)</f>
        <v>160038.02499999999</v>
      </c>
      <c r="F37" s="953">
        <f>'7.2.1 Turnover Vehicles'!K$84*'7.4.1 Salaries &amp; Wages'!K$77*(1+'7.4.1 Salaries &amp; Wages'!B$78)+('7.4.2 Selling &amp; Oper. expenses'!K9*'7.4.2 Selling &amp; Oper. expenses'!E63)</f>
        <v>192577.9</v>
      </c>
      <c r="G37" s="951">
        <f>'7.2.1 Turnover Vehicles'!C$85*'7.4.1 Salaries &amp; Wages'!C77*(1+'7.4.1 Salaries &amp; Wages'!B$78)+('7.4.2 Selling &amp; Oper. expenses'!C9*'7.4.2 Selling &amp; Oper. expenses'!F63)</f>
        <v>0</v>
      </c>
      <c r="H37" s="952">
        <f>'7.2.1 Turnover Vehicles'!E$85*'7.4.1 Salaries &amp; Wages'!E$77*(1+'7.4.1 Salaries &amp; Wages'!B$78)+('7.4.2 Selling &amp; Oper. expenses'!E9*'7.4.2 Selling &amp; Oper. expenses'!F63)</f>
        <v>0</v>
      </c>
      <c r="I37" s="952">
        <f>'7.2.1 Turnover Vehicles'!G$85*'7.4.1 Salaries &amp; Wages'!G$77*(1+'7.4.1 Salaries &amp; Wages'!B$78)+('7.4.2 Selling &amp; Oper. expenses'!G9*'7.4.2 Selling &amp; Oper. expenses'!F63)</f>
        <v>0</v>
      </c>
      <c r="J37" s="952">
        <f>'7.2.1 Turnover Vehicles'!I$85*'7.4.1 Salaries &amp; Wages'!I$77*(1+'7.4.1 Salaries &amp; Wages'!B$78)+('7.4.2 Selling &amp; Oper. expenses'!I9*'7.4.2 Selling &amp; Oper. expenses'!F63)</f>
        <v>0</v>
      </c>
      <c r="K37" s="953">
        <f>'7.2.1 Turnover Vehicles'!K$85*'7.4.1 Salaries &amp; Wages'!K$77*(1+'7.4.1 Salaries &amp; Wages'!B$78)+('7.4.2 Selling &amp; Oper. expenses'!K9*'7.4.2 Selling &amp; Oper. expenses'!F63)</f>
        <v>0</v>
      </c>
      <c r="L37" s="951">
        <f>'7.2.1 Turnover Vehicles'!C$86*'7.4.1 Salaries &amp; Wages'!C77*(1+'7.4.1 Salaries &amp; Wages'!B$78)+('7.4.2 Selling &amp; Oper. expenses'!C9*'7.4.2 Selling &amp; Oper. expenses'!G63)</f>
        <v>0</v>
      </c>
      <c r="M37" s="952">
        <f>'7.2.1 Turnover Vehicles'!E$86*'7.4.1 Salaries &amp; Wages'!E$77*(1+'7.4.1 Salaries &amp; Wages'!B$78)+('7.4.2 Selling &amp; Oper. expenses'!E9*'7.4.2 Selling &amp; Oper. expenses'!G63)</f>
        <v>0</v>
      </c>
      <c r="N37" s="952">
        <f>'7.2.1 Turnover Vehicles'!G$86*'7.4.1 Salaries &amp; Wages'!G$77*(1+'7.4.1 Salaries &amp; Wages'!B$78)+('7.4.2 Selling &amp; Oper. expenses'!G9*'7.4.2 Selling &amp; Oper. expenses'!G63)</f>
        <v>0</v>
      </c>
      <c r="O37" s="952">
        <f>'7.2.1 Turnover Vehicles'!I$86*'7.4.1 Salaries &amp; Wages'!I$77*(1+'7.4.1 Salaries &amp; Wages'!B$78)+('7.4.2 Selling &amp; Oper. expenses'!I9*'7.4.2 Selling &amp; Oper. expenses'!G63)</f>
        <v>0</v>
      </c>
      <c r="P37" s="953">
        <f>'7.2.1 Turnover Vehicles'!K$86*'7.4.1 Salaries &amp; Wages'!K$77*(1+'7.4.1 Salaries &amp; Wages'!B$78)+('7.4.2 Selling &amp; Oper. expenses'!K9*'7.4.2 Selling &amp; Oper. expenses'!G63)</f>
        <v>0</v>
      </c>
      <c r="Q37" s="1725"/>
    </row>
    <row r="38" spans="1:24" s="1726" customFormat="1" x14ac:dyDescent="0.35">
      <c r="A38" s="1727"/>
      <c r="B38" s="944"/>
      <c r="C38" s="945"/>
      <c r="D38" s="945"/>
      <c r="E38" s="945"/>
      <c r="F38" s="963"/>
      <c r="G38" s="944"/>
      <c r="H38" s="945"/>
      <c r="I38" s="945"/>
      <c r="J38" s="945"/>
      <c r="K38" s="963"/>
      <c r="L38" s="944"/>
      <c r="M38" s="945"/>
      <c r="N38" s="945"/>
      <c r="O38" s="945"/>
      <c r="P38" s="963"/>
      <c r="Q38" s="1725"/>
    </row>
    <row r="39" spans="1:24" s="1726" customFormat="1" x14ac:dyDescent="0.35">
      <c r="A39" s="1723" t="s">
        <v>209</v>
      </c>
      <c r="B39" s="951">
        <f>'7.6.1 Activity contribution'!B37</f>
        <v>28948.062499897031</v>
      </c>
      <c r="C39" s="952">
        <f>'7.6.1 Activity contribution'!B114</f>
        <v>39369.234749938041</v>
      </c>
      <c r="D39" s="952">
        <f>'7.6.1 Activity contribution'!B191</f>
        <v>52777.803806961645</v>
      </c>
      <c r="E39" s="952">
        <f>'7.6.1 Activity contribution'!B268</f>
        <v>55944.47203538764</v>
      </c>
      <c r="F39" s="953">
        <f>'7.6.1 Activity contribution'!B345</f>
        <v>59301.140357516495</v>
      </c>
      <c r="G39" s="951">
        <f>'7.6.1 Activity contribution'!C37</f>
        <v>0</v>
      </c>
      <c r="H39" s="952">
        <f>'7.6.1 Activity contribution'!C114</f>
        <v>0</v>
      </c>
      <c r="I39" s="952">
        <f>'7.6.1 Activity contribution'!C191</f>
        <v>0</v>
      </c>
      <c r="J39" s="952">
        <f>'7.6.1 Activity contribution'!C268</f>
        <v>0</v>
      </c>
      <c r="K39" s="953">
        <f>'7.6.1 Activity contribution'!C345</f>
        <v>0</v>
      </c>
      <c r="L39" s="951">
        <f>'7.6.1 Activity contribution'!D37</f>
        <v>0</v>
      </c>
      <c r="M39" s="952">
        <f>'7.6.1 Activity contribution'!D114</f>
        <v>0</v>
      </c>
      <c r="N39" s="952">
        <f>'7.6.1 Activity contribution'!D191</f>
        <v>0</v>
      </c>
      <c r="O39" s="952">
        <f>'7.6.1 Activity contribution'!D268</f>
        <v>0</v>
      </c>
      <c r="P39" s="953">
        <f>'7.6.1 Activity contribution'!D345</f>
        <v>0</v>
      </c>
      <c r="Q39" s="1725"/>
    </row>
    <row r="40" spans="1:24" s="1726" customFormat="1" ht="18" x14ac:dyDescent="0.35">
      <c r="A40" s="1723"/>
      <c r="B40" s="951"/>
      <c r="C40" s="952"/>
      <c r="D40" s="952"/>
      <c r="E40" s="952"/>
      <c r="F40" s="953"/>
      <c r="G40" s="951"/>
      <c r="H40" s="952"/>
      <c r="I40" s="952"/>
      <c r="J40" s="952"/>
      <c r="K40" s="953"/>
      <c r="L40" s="951"/>
      <c r="M40" s="952"/>
      <c r="N40" s="952"/>
      <c r="O40" s="952"/>
      <c r="P40" s="953"/>
      <c r="Q40" s="1728"/>
      <c r="R40" s="1015"/>
      <c r="S40" s="1161"/>
      <c r="T40" s="1015"/>
      <c r="U40" s="1015"/>
      <c r="V40" s="1015"/>
      <c r="W40" s="1015"/>
      <c r="X40" s="1015"/>
    </row>
    <row r="41" spans="1:24" s="1726" customFormat="1" ht="18" x14ac:dyDescent="0.35">
      <c r="A41" s="1216" t="s">
        <v>654</v>
      </c>
      <c r="B41" s="1693"/>
      <c r="C41" s="1694"/>
      <c r="D41" s="1694"/>
      <c r="E41" s="1694"/>
      <c r="F41" s="1695"/>
      <c r="G41" s="1693"/>
      <c r="H41" s="1694"/>
      <c r="I41" s="1694"/>
      <c r="J41" s="1694"/>
      <c r="K41" s="1695"/>
      <c r="L41" s="1693"/>
      <c r="M41" s="1694"/>
      <c r="N41" s="1694"/>
      <c r="O41" s="1694"/>
      <c r="P41" s="1695"/>
      <c r="Q41" s="1728"/>
      <c r="R41" s="1161"/>
      <c r="S41" s="1161"/>
      <c r="T41" s="1161"/>
      <c r="U41" s="1161"/>
      <c r="V41" s="1161"/>
      <c r="W41" s="1161"/>
      <c r="X41" s="1161"/>
    </row>
    <row r="42" spans="1:24" s="1726" customFormat="1" x14ac:dyDescent="0.35">
      <c r="A42" s="1696" t="s">
        <v>83</v>
      </c>
      <c r="B42" s="1697">
        <f>'7.4.2 Selling &amp; Oper. expenses'!C37*'7.4.2 Selling &amp; Oper. expenses'!E68</f>
        <v>525</v>
      </c>
      <c r="C42" s="1698">
        <f>'7.4.2 Selling &amp; Oper. expenses'!E37*'7.4.2 Selling &amp; Oper. expenses'!E68</f>
        <v>1806.6999999999998</v>
      </c>
      <c r="D42" s="1698">
        <f>'7.4.2 Selling &amp; Oper. expenses'!G37*'7.4.2 Selling &amp; Oper. expenses'!E68</f>
        <v>2032.1</v>
      </c>
      <c r="E42" s="1698">
        <f>'7.4.2 Selling &amp; Oper. expenses'!I37*'7.4.2 Selling &amp; Oper. expenses'!E68</f>
        <v>2258.1999999999998</v>
      </c>
      <c r="F42" s="1699">
        <f>'7.4.2 Selling &amp; Oper. expenses'!K37*'7.4.2 Selling &amp; Oper. expenses'!E68</f>
        <v>2483.6</v>
      </c>
      <c r="G42" s="1697">
        <f>'7.4.2 Selling &amp; Oper. expenses'!C37*'7.4.2 Selling &amp; Oper. expenses'!F68</f>
        <v>0</v>
      </c>
      <c r="H42" s="1698">
        <f>'7.4.2 Selling &amp; Oper. expenses'!E37*'7.4.2 Selling &amp; Oper. expenses'!F68</f>
        <v>0</v>
      </c>
      <c r="I42" s="1698">
        <f>'7.4.2 Selling &amp; Oper. expenses'!G37*'7.4.2 Selling &amp; Oper. expenses'!F68</f>
        <v>0</v>
      </c>
      <c r="J42" s="1698">
        <f>'7.4.2 Selling &amp; Oper. expenses'!I37*'7.4.2 Selling &amp; Oper. expenses'!F68</f>
        <v>0</v>
      </c>
      <c r="K42" s="1699">
        <f>'7.4.2 Selling &amp; Oper. expenses'!K37*'7.4.2 Selling &amp; Oper. expenses'!F68</f>
        <v>0</v>
      </c>
      <c r="L42" s="1697">
        <f>'7.4.2 Selling &amp; Oper. expenses'!C37*'7.4.2 Selling &amp; Oper. expenses'!G68</f>
        <v>0</v>
      </c>
      <c r="M42" s="1698">
        <f>'7.4.2 Selling &amp; Oper. expenses'!E37*'7.4.2 Selling &amp; Oper. expenses'!G68</f>
        <v>0</v>
      </c>
      <c r="N42" s="1698">
        <f>'7.4.2 Selling &amp; Oper. expenses'!G37*'7.4.2 Selling &amp; Oper. expenses'!G68</f>
        <v>0</v>
      </c>
      <c r="O42" s="1698">
        <f>'7.4.2 Selling &amp; Oper. expenses'!I37*'7.4.2 Selling &amp; Oper. expenses'!G68</f>
        <v>0</v>
      </c>
      <c r="P42" s="1699">
        <f>'7.4.2 Selling &amp; Oper. expenses'!K37*'7.4.2 Selling &amp; Oper. expenses'!G68</f>
        <v>0</v>
      </c>
      <c r="Q42" s="1725"/>
    </row>
    <row r="43" spans="1:24" s="1726" customFormat="1" x14ac:dyDescent="0.35">
      <c r="A43" s="1696" t="s">
        <v>84</v>
      </c>
      <c r="B43" s="1697">
        <f>'7.4.2 Selling &amp; Oper. expenses'!C38*'7.4.2 Selling &amp; Oper. expenses'!E69</f>
        <v>1330</v>
      </c>
      <c r="C43" s="1698">
        <f>'7.4.2 Selling &amp; Oper. expenses'!E38*'7.4.2 Selling &amp; Oper. expenses'!E69</f>
        <v>4516.3999999999996</v>
      </c>
      <c r="D43" s="1698">
        <f>'7.4.2 Selling &amp; Oper. expenses'!G38*'7.4.2 Selling &amp; Oper. expenses'!E69</f>
        <v>4967.8999999999996</v>
      </c>
      <c r="E43" s="1698">
        <f>'7.4.2 Selling &amp; Oper. expenses'!I38*'7.4.2 Selling &amp; Oper. expenses'!E69</f>
        <v>5419.4</v>
      </c>
      <c r="F43" s="1699">
        <f>'7.4.2 Selling &amp; Oper. expenses'!K38*'7.4.2 Selling &amp; Oper. expenses'!E69</f>
        <v>5870.9</v>
      </c>
      <c r="G43" s="1697">
        <f>'7.4.2 Selling &amp; Oper. expenses'!C38*'7.4.2 Selling &amp; Oper. expenses'!F69</f>
        <v>0</v>
      </c>
      <c r="H43" s="1698">
        <f>'7.4.2 Selling &amp; Oper. expenses'!E38*'7.4.2 Selling &amp; Oper. expenses'!F69</f>
        <v>0</v>
      </c>
      <c r="I43" s="1698">
        <f>'7.4.2 Selling &amp; Oper. expenses'!G38*'7.4.2 Selling &amp; Oper. expenses'!F69</f>
        <v>0</v>
      </c>
      <c r="J43" s="1698">
        <f>'7.4.2 Selling &amp; Oper. expenses'!I38*'7.4.2 Selling &amp; Oper. expenses'!F69</f>
        <v>0</v>
      </c>
      <c r="K43" s="1699">
        <f>'7.4.2 Selling &amp; Oper. expenses'!K38*'7.4.2 Selling &amp; Oper. expenses'!F69</f>
        <v>0</v>
      </c>
      <c r="L43" s="1697">
        <f>'7.4.2 Selling &amp; Oper. expenses'!C38*'7.4.2 Selling &amp; Oper. expenses'!G69</f>
        <v>0</v>
      </c>
      <c r="M43" s="1698">
        <f>'7.4.2 Selling &amp; Oper. expenses'!E38*'7.4.2 Selling &amp; Oper. expenses'!G69</f>
        <v>0</v>
      </c>
      <c r="N43" s="1698">
        <f>'7.4.2 Selling &amp; Oper. expenses'!G38*'7.4.2 Selling &amp; Oper. expenses'!G69</f>
        <v>0</v>
      </c>
      <c r="O43" s="1698">
        <f>'7.4.2 Selling &amp; Oper. expenses'!I38*'7.4.2 Selling &amp; Oper. expenses'!G69</f>
        <v>0</v>
      </c>
      <c r="P43" s="1699">
        <f>'7.4.2 Selling &amp; Oper. expenses'!K38*'7.4.2 Selling &amp; Oper. expenses'!G69</f>
        <v>0</v>
      </c>
      <c r="Q43" s="1725"/>
    </row>
    <row r="44" spans="1:24" s="1726" customFormat="1" x14ac:dyDescent="0.35">
      <c r="A44" s="1696" t="s">
        <v>85</v>
      </c>
      <c r="B44" s="1697">
        <f>'7.4.2 Selling &amp; Oper. expenses'!C39*'7.4.2 Selling &amp; Oper. expenses'!E70</f>
        <v>640</v>
      </c>
      <c r="C44" s="1698">
        <f>'7.4.2 Selling &amp; Oper. expenses'!E39*'7.4.2 Selling &amp; Oper. expenses'!E70</f>
        <v>2000</v>
      </c>
      <c r="D44" s="1698">
        <f>'7.4.2 Selling &amp; Oper. expenses'!G39*'7.4.2 Selling &amp; Oper. expenses'!E70</f>
        <v>2000</v>
      </c>
      <c r="E44" s="1698">
        <f>'7.4.2 Selling &amp; Oper. expenses'!I39*'7.4.2 Selling &amp; Oper. expenses'!E70</f>
        <v>2000</v>
      </c>
      <c r="F44" s="1699">
        <f>'7.4.2 Selling &amp; Oper. expenses'!K39*'7.4.2 Selling &amp; Oper. expenses'!E70</f>
        <v>2000</v>
      </c>
      <c r="G44" s="1697">
        <f>'7.4.2 Selling &amp; Oper. expenses'!C39*'7.4.2 Selling &amp; Oper. expenses'!F70</f>
        <v>0</v>
      </c>
      <c r="H44" s="1698">
        <f>'7.4.2 Selling &amp; Oper. expenses'!E39*'7.4.2 Selling &amp; Oper. expenses'!F70</f>
        <v>0</v>
      </c>
      <c r="I44" s="1698">
        <f>'7.4.2 Selling &amp; Oper. expenses'!G39*'7.4.2 Selling &amp; Oper. expenses'!F70</f>
        <v>0</v>
      </c>
      <c r="J44" s="1698">
        <f>'7.4.2 Selling &amp; Oper. expenses'!I39*'7.4.2 Selling &amp; Oper. expenses'!F70</f>
        <v>0</v>
      </c>
      <c r="K44" s="1699">
        <f>'7.4.2 Selling &amp; Oper. expenses'!K39*'7.4.2 Selling &amp; Oper. expenses'!F70</f>
        <v>0</v>
      </c>
      <c r="L44" s="1697">
        <f>'7.4.2 Selling &amp; Oper. expenses'!C39*'7.4.2 Selling &amp; Oper. expenses'!G70</f>
        <v>0</v>
      </c>
      <c r="M44" s="1698">
        <f>'7.4.2 Selling &amp; Oper. expenses'!E39*'7.4.2 Selling &amp; Oper. expenses'!G70</f>
        <v>0</v>
      </c>
      <c r="N44" s="1698">
        <f>'7.4.2 Selling &amp; Oper. expenses'!G39*'7.4.2 Selling &amp; Oper. expenses'!G70</f>
        <v>0</v>
      </c>
      <c r="O44" s="1698">
        <f>'7.4.2 Selling &amp; Oper. expenses'!I39*'7.4.2 Selling &amp; Oper. expenses'!G70</f>
        <v>0</v>
      </c>
      <c r="P44" s="1699">
        <f>'7.4.2 Selling &amp; Oper. expenses'!K39*'7.4.2 Selling &amp; Oper. expenses'!G70</f>
        <v>0</v>
      </c>
      <c r="Q44" s="1725"/>
    </row>
    <row r="45" spans="1:24" s="1710" customFormat="1" x14ac:dyDescent="0.35">
      <c r="A45" s="1696" t="s">
        <v>86</v>
      </c>
      <c r="B45" s="1697">
        <f>'7.4.2 Selling &amp; Oper. expenses'!C40*'7.4.2 Selling &amp; Oper. expenses'!E71</f>
        <v>400</v>
      </c>
      <c r="C45" s="1698">
        <f>'7.4.2 Selling &amp; Oper. expenses'!E40*'7.4.2 Selling &amp; Oper. expenses'!E71</f>
        <v>1200</v>
      </c>
      <c r="D45" s="1698">
        <f>'7.4.2 Selling &amp; Oper. expenses'!G40*'7.4.2 Selling &amp; Oper. expenses'!E71</f>
        <v>1200</v>
      </c>
      <c r="E45" s="1698">
        <f>'7.4.2 Selling &amp; Oper. expenses'!I40*'7.4.2 Selling &amp; Oper. expenses'!E71</f>
        <v>1200</v>
      </c>
      <c r="F45" s="1699">
        <f>'7.4.2 Selling &amp; Oper. expenses'!K40*'7.4.2 Selling &amp; Oper. expenses'!E71</f>
        <v>1200</v>
      </c>
      <c r="G45" s="1697">
        <f>'7.4.2 Selling &amp; Oper. expenses'!C40*'7.4.2 Selling &amp; Oper. expenses'!F71</f>
        <v>0</v>
      </c>
      <c r="H45" s="1698">
        <f>'7.4.2 Selling &amp; Oper. expenses'!E40*'7.4.2 Selling &amp; Oper. expenses'!F71</f>
        <v>0</v>
      </c>
      <c r="I45" s="1698">
        <f>'7.4.2 Selling &amp; Oper. expenses'!G40*'7.4.2 Selling &amp; Oper. expenses'!F71</f>
        <v>0</v>
      </c>
      <c r="J45" s="1698">
        <f>'7.4.2 Selling &amp; Oper. expenses'!I40*'7.4.2 Selling &amp; Oper. expenses'!F71</f>
        <v>0</v>
      </c>
      <c r="K45" s="1699">
        <f>'7.4.2 Selling &amp; Oper. expenses'!K40*'7.4.2 Selling &amp; Oper. expenses'!F71</f>
        <v>0</v>
      </c>
      <c r="L45" s="1697">
        <f>'7.4.2 Selling &amp; Oper. expenses'!C40*'7.4.2 Selling &amp; Oper. expenses'!G71</f>
        <v>0</v>
      </c>
      <c r="M45" s="1698">
        <f>'7.4.2 Selling &amp; Oper. expenses'!E40*'7.4.2 Selling &amp; Oper. expenses'!G71</f>
        <v>0</v>
      </c>
      <c r="N45" s="1698">
        <f>'7.4.2 Selling &amp; Oper. expenses'!G40*'7.4.2 Selling &amp; Oper. expenses'!G71</f>
        <v>0</v>
      </c>
      <c r="O45" s="1698">
        <f>'7.4.2 Selling &amp; Oper. expenses'!I40*'7.4.2 Selling &amp; Oper. expenses'!G71</f>
        <v>0</v>
      </c>
      <c r="P45" s="1699">
        <f>'7.4.2 Selling &amp; Oper. expenses'!K40*'7.4.2 Selling &amp; Oper. expenses'!G71</f>
        <v>0</v>
      </c>
      <c r="Q45" s="1564"/>
    </row>
    <row r="46" spans="1:24" s="830" customFormat="1" x14ac:dyDescent="0.35">
      <c r="A46" s="1696" t="s">
        <v>88</v>
      </c>
      <c r="B46" s="1697">
        <f>'7.4.2 Selling &amp; Oper. expenses'!C41*'7.4.2 Selling &amp; Oper. expenses'!E72</f>
        <v>1400</v>
      </c>
      <c r="C46" s="1698">
        <f>'7.4.2 Selling &amp; Oper. expenses'!E41*'7.4.2 Selling &amp; Oper. expenses'!E72</f>
        <v>4200</v>
      </c>
      <c r="D46" s="1698">
        <f>'7.4.2 Selling &amp; Oper. expenses'!G41*'7.4.2 Selling &amp; Oper. expenses'!E72</f>
        <v>4400</v>
      </c>
      <c r="E46" s="1698">
        <f>'7.4.2 Selling &amp; Oper. expenses'!I41*'7.4.2 Selling &amp; Oper. expenses'!E72</f>
        <v>4600</v>
      </c>
      <c r="F46" s="1699">
        <f>'7.4.2 Selling &amp; Oper. expenses'!K41*'7.4.2 Selling &amp; Oper. expenses'!E72</f>
        <v>4800</v>
      </c>
      <c r="G46" s="1697">
        <f>'7.4.2 Selling &amp; Oper. expenses'!C41*'7.4.2 Selling &amp; Oper. expenses'!F72</f>
        <v>0</v>
      </c>
      <c r="H46" s="1698">
        <f>'7.4.2 Selling &amp; Oper. expenses'!E41*'7.4.2 Selling &amp; Oper. expenses'!F72</f>
        <v>0</v>
      </c>
      <c r="I46" s="1698">
        <f>'7.4.2 Selling &amp; Oper. expenses'!G41*'7.4.2 Selling &amp; Oper. expenses'!F72</f>
        <v>0</v>
      </c>
      <c r="J46" s="1698">
        <f>'7.4.2 Selling &amp; Oper. expenses'!I41*'7.4.2 Selling &amp; Oper. expenses'!F72</f>
        <v>0</v>
      </c>
      <c r="K46" s="1699">
        <f>'7.4.2 Selling &amp; Oper. expenses'!K41*'7.4.2 Selling &amp; Oper. expenses'!F72</f>
        <v>0</v>
      </c>
      <c r="L46" s="1697">
        <f>'7.4.2 Selling &amp; Oper. expenses'!C41*'7.4.2 Selling &amp; Oper. expenses'!G72</f>
        <v>0</v>
      </c>
      <c r="M46" s="1698">
        <f>'7.4.2 Selling &amp; Oper. expenses'!E41*'7.4.2 Selling &amp; Oper. expenses'!G72</f>
        <v>0</v>
      </c>
      <c r="N46" s="1698">
        <f>'7.4.2 Selling &amp; Oper. expenses'!G41*'7.4.2 Selling &amp; Oper. expenses'!G72</f>
        <v>0</v>
      </c>
      <c r="O46" s="1698">
        <f>'7.4.2 Selling &amp; Oper. expenses'!I41*'7.4.2 Selling &amp; Oper. expenses'!G72</f>
        <v>0</v>
      </c>
      <c r="P46" s="1699">
        <f>'7.4.2 Selling &amp; Oper. expenses'!K41*'7.4.2 Selling &amp; Oper. expenses'!G72</f>
        <v>0</v>
      </c>
      <c r="Q46" s="44"/>
    </row>
    <row r="47" spans="1:24" s="830" customFormat="1" x14ac:dyDescent="0.35">
      <c r="A47" s="1696" t="s">
        <v>213</v>
      </c>
      <c r="B47" s="1697">
        <f>'7.4.2 Selling &amp; Oper. expenses'!C42*'7.4.2 Selling &amp; Oper. expenses'!E73</f>
        <v>40000</v>
      </c>
      <c r="C47" s="1698">
        <f>'7.4.2 Selling &amp; Oper. expenses'!E42*'7.4.2 Selling &amp; Oper. expenses'!E73</f>
        <v>80000</v>
      </c>
      <c r="D47" s="1698">
        <f>'7.4.2 Selling &amp; Oper. expenses'!G42*'7.4.2 Selling &amp; Oper. expenses'!E73</f>
        <v>100000</v>
      </c>
      <c r="E47" s="1698">
        <f>'7.4.2 Selling &amp; Oper. expenses'!I42*'7.4.2 Selling &amp; Oper. expenses'!E73</f>
        <v>123200</v>
      </c>
      <c r="F47" s="1699">
        <f>'7.4.2 Selling &amp; Oper. expenses'!K42*'7.4.2 Selling &amp; Oper. expenses'!E73</f>
        <v>147200</v>
      </c>
      <c r="G47" s="1697">
        <f>'7.4.2 Selling &amp; Oper. expenses'!C42*'7.4.2 Selling &amp; Oper. expenses'!F73</f>
        <v>0</v>
      </c>
      <c r="H47" s="1698">
        <f>'7.4.2 Selling &amp; Oper. expenses'!E42*'7.4.2 Selling &amp; Oper. expenses'!F73</f>
        <v>0</v>
      </c>
      <c r="I47" s="1698">
        <f>'7.4.2 Selling &amp; Oper. expenses'!G42*'7.4.2 Selling &amp; Oper. expenses'!F73</f>
        <v>0</v>
      </c>
      <c r="J47" s="1698">
        <f>'7.4.2 Selling &amp; Oper. expenses'!I42*'7.4.2 Selling &amp; Oper. expenses'!F73</f>
        <v>0</v>
      </c>
      <c r="K47" s="1699">
        <f>'7.4.2 Selling &amp; Oper. expenses'!K42*'7.4.2 Selling &amp; Oper. expenses'!F73</f>
        <v>0</v>
      </c>
      <c r="L47" s="1697">
        <f>'7.4.2 Selling &amp; Oper. expenses'!C42*'7.4.2 Selling &amp; Oper. expenses'!G73</f>
        <v>0</v>
      </c>
      <c r="M47" s="1698">
        <f>'7.4.2 Selling &amp; Oper. expenses'!E42*'7.4.2 Selling &amp; Oper. expenses'!G73</f>
        <v>0</v>
      </c>
      <c r="N47" s="1698">
        <f>'7.4.2 Selling &amp; Oper. expenses'!G42*'7.4.2 Selling &amp; Oper. expenses'!G73</f>
        <v>0</v>
      </c>
      <c r="O47" s="1698">
        <f>'7.4.2 Selling &amp; Oper. expenses'!I42*'7.4.2 Selling &amp; Oper. expenses'!G73</f>
        <v>0</v>
      </c>
      <c r="P47" s="1699">
        <f>'7.4.2 Selling &amp; Oper. expenses'!K42*'7.4.2 Selling &amp; Oper. expenses'!G73</f>
        <v>0</v>
      </c>
      <c r="Q47" s="44"/>
    </row>
    <row r="48" spans="1:24" s="830" customFormat="1" x14ac:dyDescent="0.35">
      <c r="A48" s="1696" t="s">
        <v>89</v>
      </c>
      <c r="B48" s="1697">
        <f>'7.4.2 Selling &amp; Oper. expenses'!C43*'7.4.2 Selling &amp; Oper. expenses'!E74</f>
        <v>10800</v>
      </c>
      <c r="C48" s="1698">
        <f>'7.4.2 Selling &amp; Oper. expenses'!E43*'7.4.2 Selling &amp; Oper. expenses'!E74</f>
        <v>15000</v>
      </c>
      <c r="D48" s="1698">
        <f>'7.4.2 Selling &amp; Oper. expenses'!G43*'7.4.2 Selling &amp; Oper. expenses'!E74</f>
        <v>15000</v>
      </c>
      <c r="E48" s="1698">
        <f>'7.4.2 Selling &amp; Oper. expenses'!I43*'7.4.2 Selling &amp; Oper. expenses'!E74</f>
        <v>15000</v>
      </c>
      <c r="F48" s="1699">
        <f>'7.4.2 Selling &amp; Oper. expenses'!K43*'7.4.2 Selling &amp; Oper. expenses'!E74</f>
        <v>15000</v>
      </c>
      <c r="G48" s="1697">
        <f>'7.4.2 Selling &amp; Oper. expenses'!C43*'7.4.2 Selling &amp; Oper. expenses'!F74</f>
        <v>0</v>
      </c>
      <c r="H48" s="1698">
        <f>'7.4.2 Selling &amp; Oper. expenses'!E43*'7.4.2 Selling &amp; Oper. expenses'!F74</f>
        <v>0</v>
      </c>
      <c r="I48" s="1698">
        <f>'7.4.2 Selling &amp; Oper. expenses'!G43*'7.4.2 Selling &amp; Oper. expenses'!F74</f>
        <v>0</v>
      </c>
      <c r="J48" s="1698">
        <f>'7.4.2 Selling &amp; Oper. expenses'!I43*'7.4.2 Selling &amp; Oper. expenses'!F74</f>
        <v>0</v>
      </c>
      <c r="K48" s="1699">
        <f>'7.4.2 Selling &amp; Oper. expenses'!K43*'7.4.2 Selling &amp; Oper. expenses'!F74</f>
        <v>0</v>
      </c>
      <c r="L48" s="1697">
        <f>'7.4.2 Selling &amp; Oper. expenses'!C43*'7.4.2 Selling &amp; Oper. expenses'!G74</f>
        <v>0</v>
      </c>
      <c r="M48" s="1698">
        <f>'7.4.2 Selling &amp; Oper. expenses'!E43*'7.4.2 Selling &amp; Oper. expenses'!G74</f>
        <v>0</v>
      </c>
      <c r="N48" s="1698">
        <f>'7.4.2 Selling &amp; Oper. expenses'!G43*'7.4.2 Selling &amp; Oper. expenses'!G74</f>
        <v>0</v>
      </c>
      <c r="O48" s="1698">
        <f>'7.4.2 Selling &amp; Oper. expenses'!I43*'7.4.2 Selling &amp; Oper. expenses'!G74</f>
        <v>0</v>
      </c>
      <c r="P48" s="1699">
        <f>'7.4.2 Selling &amp; Oper. expenses'!K43*'7.4.2 Selling &amp; Oper. expenses'!G74</f>
        <v>0</v>
      </c>
      <c r="Q48" s="44"/>
    </row>
    <row r="49" spans="1:17" s="830" customFormat="1" x14ac:dyDescent="0.35">
      <c r="A49" s="1696" t="s">
        <v>90</v>
      </c>
      <c r="B49" s="1697">
        <f>'7.4.2 Selling &amp; Oper. expenses'!C44*'7.4.2 Selling &amp; Oper. expenses'!E75</f>
        <v>1200</v>
      </c>
      <c r="C49" s="1698">
        <f>'7.4.2 Selling &amp; Oper. expenses'!E44*'7.4.2 Selling &amp; Oper. expenses'!E75</f>
        <v>1935.6000000000001</v>
      </c>
      <c r="D49" s="1698">
        <f>'7.4.2 Selling &amp; Oper. expenses'!G44*'7.4.2 Selling &amp; Oper. expenses'!E75</f>
        <v>2580.8000000000002</v>
      </c>
      <c r="E49" s="1698">
        <f>'7.4.2 Selling &amp; Oper. expenses'!I44*'7.4.2 Selling &amp; Oper. expenses'!E75</f>
        <v>3226</v>
      </c>
      <c r="F49" s="1699">
        <f>'7.4.2 Selling &amp; Oper. expenses'!K44*'7.4.2 Selling &amp; Oper. expenses'!E75</f>
        <v>3870.8</v>
      </c>
      <c r="G49" s="1697">
        <f>'7.4.2 Selling &amp; Oper. expenses'!C44*'7.4.2 Selling &amp; Oper. expenses'!F75</f>
        <v>0</v>
      </c>
      <c r="H49" s="1698">
        <f>'7.4.2 Selling &amp; Oper. expenses'!E44*'7.4.2 Selling &amp; Oper. expenses'!F75</f>
        <v>0</v>
      </c>
      <c r="I49" s="1698">
        <f>'7.4.2 Selling &amp; Oper. expenses'!G44*'7.4.2 Selling &amp; Oper. expenses'!F75</f>
        <v>0</v>
      </c>
      <c r="J49" s="1698">
        <f>'7.4.2 Selling &amp; Oper. expenses'!I44*'7.4.2 Selling &amp; Oper. expenses'!F75</f>
        <v>0</v>
      </c>
      <c r="K49" s="1699">
        <f>'7.4.2 Selling &amp; Oper. expenses'!K44*'7.4.2 Selling &amp; Oper. expenses'!F75</f>
        <v>0</v>
      </c>
      <c r="L49" s="1697">
        <f>'7.4.2 Selling &amp; Oper. expenses'!C44*'7.4.2 Selling &amp; Oper. expenses'!G75</f>
        <v>0</v>
      </c>
      <c r="M49" s="1698">
        <f>'7.4.2 Selling &amp; Oper. expenses'!E44*'7.4.2 Selling &amp; Oper. expenses'!G75</f>
        <v>0</v>
      </c>
      <c r="N49" s="1698">
        <f>'7.4.2 Selling &amp; Oper. expenses'!G44*'7.4.2 Selling &amp; Oper. expenses'!G75</f>
        <v>0</v>
      </c>
      <c r="O49" s="1698">
        <f>'7.4.2 Selling &amp; Oper. expenses'!I44*'7.4.2 Selling &amp; Oper. expenses'!G75</f>
        <v>0</v>
      </c>
      <c r="P49" s="1699">
        <f>'7.4.2 Selling &amp; Oper. expenses'!K44*'7.4.2 Selling &amp; Oper. expenses'!G75</f>
        <v>0</v>
      </c>
      <c r="Q49" s="44"/>
    </row>
    <row r="50" spans="1:17" s="830" customFormat="1" x14ac:dyDescent="0.35">
      <c r="A50" s="1696" t="s">
        <v>214</v>
      </c>
      <c r="B50" s="1697">
        <f>'7.4.2 Selling &amp; Oper. expenses'!C45*'7.4.2 Selling &amp; Oper. expenses'!E76</f>
        <v>160</v>
      </c>
      <c r="C50" s="1698">
        <f>'7.4.2 Selling &amp; Oper. expenses'!E45*'7.4.2 Selling &amp; Oper. expenses'!E76</f>
        <v>774</v>
      </c>
      <c r="D50" s="1698">
        <f>'7.4.2 Selling &amp; Oper. expenses'!G45*'7.4.2 Selling &amp; Oper. expenses'!E76</f>
        <v>1032.4000000000001</v>
      </c>
      <c r="E50" s="1698">
        <f>'7.4.2 Selling &amp; Oper. expenses'!I45*'7.4.2 Selling &amp; Oper. expenses'!E76</f>
        <v>1290.4000000000001</v>
      </c>
      <c r="F50" s="1699">
        <f>'7.4.2 Selling &amp; Oper. expenses'!K45*'7.4.2 Selling &amp; Oper. expenses'!E76</f>
        <v>1548.4</v>
      </c>
      <c r="G50" s="1697">
        <f>'7.4.2 Selling &amp; Oper. expenses'!C45*'7.4.2 Selling &amp; Oper. expenses'!F76</f>
        <v>0</v>
      </c>
      <c r="H50" s="1698">
        <f>'7.4.2 Selling &amp; Oper. expenses'!E45*'7.4.2 Selling &amp; Oper. expenses'!F76</f>
        <v>0</v>
      </c>
      <c r="I50" s="1698">
        <f>'7.4.2 Selling &amp; Oper. expenses'!G45*'7.4.2 Selling &amp; Oper. expenses'!F76</f>
        <v>0</v>
      </c>
      <c r="J50" s="1698">
        <f>'7.4.2 Selling &amp; Oper. expenses'!I45*'7.4.2 Selling &amp; Oper. expenses'!F76</f>
        <v>0</v>
      </c>
      <c r="K50" s="1699">
        <f>'7.4.2 Selling &amp; Oper. expenses'!K45*'7.4.2 Selling &amp; Oper. expenses'!F76</f>
        <v>0</v>
      </c>
      <c r="L50" s="1697">
        <f>'7.4.2 Selling &amp; Oper. expenses'!C45*'7.4.2 Selling &amp; Oper. expenses'!G76</f>
        <v>0</v>
      </c>
      <c r="M50" s="1698">
        <f>'7.4.2 Selling &amp; Oper. expenses'!E45*'7.4.2 Selling &amp; Oper. expenses'!G76</f>
        <v>0</v>
      </c>
      <c r="N50" s="1698">
        <f>'7.4.2 Selling &amp; Oper. expenses'!G45*'7.4.2 Selling &amp; Oper. expenses'!G76</f>
        <v>0</v>
      </c>
      <c r="O50" s="1698">
        <f>'7.4.2 Selling &amp; Oper. expenses'!I45*'7.4.2 Selling &amp; Oper. expenses'!G76</f>
        <v>0</v>
      </c>
      <c r="P50" s="1699">
        <f>'7.4.2 Selling &amp; Oper. expenses'!K45*'7.4.2 Selling &amp; Oper. expenses'!G76</f>
        <v>0</v>
      </c>
      <c r="Q50" s="44"/>
    </row>
    <row r="51" spans="1:17" s="830" customFormat="1" x14ac:dyDescent="0.35">
      <c r="A51" s="1696" t="s">
        <v>92</v>
      </c>
      <c r="B51" s="1697">
        <f>'7.4.2 Selling &amp; Oper. expenses'!C46*'7.4.2 Selling &amp; Oper. expenses'!E77</f>
        <v>2500</v>
      </c>
      <c r="C51" s="1698">
        <f>'7.4.2 Selling &amp; Oper. expenses'!E46*'7.4.2 Selling &amp; Oper. expenses'!E77</f>
        <v>4838.5</v>
      </c>
      <c r="D51" s="1698">
        <f>'7.4.2 Selling &amp; Oper. expenses'!G46*'7.4.2 Selling &amp; Oper. expenses'!E77</f>
        <v>4838.5</v>
      </c>
      <c r="E51" s="1698">
        <f>'7.4.2 Selling &amp; Oper. expenses'!I46*'7.4.2 Selling &amp; Oper. expenses'!E77</f>
        <v>4838.5</v>
      </c>
      <c r="F51" s="1699">
        <f>'7.4.2 Selling &amp; Oper. expenses'!K46*'7.4.2 Selling &amp; Oper. expenses'!E77</f>
        <v>4838.5</v>
      </c>
      <c r="G51" s="1697">
        <f>'7.4.2 Selling &amp; Oper. expenses'!C46*'7.4.2 Selling &amp; Oper. expenses'!F77</f>
        <v>0</v>
      </c>
      <c r="H51" s="1698">
        <f>'7.4.2 Selling &amp; Oper. expenses'!E46*'7.4.2 Selling &amp; Oper. expenses'!F77</f>
        <v>0</v>
      </c>
      <c r="I51" s="1698">
        <f>'7.4.2 Selling &amp; Oper. expenses'!G46*'7.4.2 Selling &amp; Oper. expenses'!F77</f>
        <v>0</v>
      </c>
      <c r="J51" s="1698">
        <f>'7.4.2 Selling &amp; Oper. expenses'!I46*'7.4.2 Selling &amp; Oper. expenses'!F77</f>
        <v>0</v>
      </c>
      <c r="K51" s="1699">
        <f>'7.4.2 Selling &amp; Oper. expenses'!K46*'7.4.2 Selling &amp; Oper. expenses'!F77</f>
        <v>0</v>
      </c>
      <c r="L51" s="1697">
        <f>'7.4.2 Selling &amp; Oper. expenses'!C46*'7.4.2 Selling &amp; Oper. expenses'!G77</f>
        <v>0</v>
      </c>
      <c r="M51" s="1698">
        <f>'7.4.2 Selling &amp; Oper. expenses'!E46*'7.4.2 Selling &amp; Oper. expenses'!G77</f>
        <v>0</v>
      </c>
      <c r="N51" s="1698">
        <f>'7.4.2 Selling &amp; Oper. expenses'!G46*'7.4.2 Selling &amp; Oper. expenses'!G77</f>
        <v>0</v>
      </c>
      <c r="O51" s="1698">
        <f>'7.4.2 Selling &amp; Oper. expenses'!I46*'7.4.2 Selling &amp; Oper. expenses'!G77</f>
        <v>0</v>
      </c>
      <c r="P51" s="1699">
        <f>'7.4.2 Selling &amp; Oper. expenses'!K46*'7.4.2 Selling &amp; Oper. expenses'!G77</f>
        <v>0</v>
      </c>
      <c r="Q51" s="44"/>
    </row>
    <row r="52" spans="1:17" s="830" customFormat="1" x14ac:dyDescent="0.35">
      <c r="A52" s="1696" t="s">
        <v>93</v>
      </c>
      <c r="B52" s="1697">
        <f>'7.4.2 Selling &amp; Oper. expenses'!C47*'7.4.2 Selling &amp; Oper. expenses'!E78</f>
        <v>2000</v>
      </c>
      <c r="C52" s="1698">
        <f>'7.4.2 Selling &amp; Oper. expenses'!E47*'7.4.2 Selling &amp; Oper. expenses'!E78</f>
        <v>6000</v>
      </c>
      <c r="D52" s="1698">
        <f>'7.4.2 Selling &amp; Oper. expenses'!G47*'7.4.2 Selling &amp; Oper. expenses'!E78</f>
        <v>6000</v>
      </c>
      <c r="E52" s="1698">
        <f>'7.4.2 Selling &amp; Oper. expenses'!I47*'7.4.2 Selling &amp; Oper. expenses'!E78</f>
        <v>6000</v>
      </c>
      <c r="F52" s="1699">
        <f>'7.4.2 Selling &amp; Oper. expenses'!K47*'7.4.2 Selling &amp; Oper. expenses'!E78</f>
        <v>6000</v>
      </c>
      <c r="G52" s="1697">
        <f>'7.4.2 Selling &amp; Oper. expenses'!C47*'7.4.2 Selling &amp; Oper. expenses'!F78</f>
        <v>0</v>
      </c>
      <c r="H52" s="1698">
        <f>'7.4.2 Selling &amp; Oper. expenses'!E47*'7.4.2 Selling &amp; Oper. expenses'!F78</f>
        <v>0</v>
      </c>
      <c r="I52" s="1698">
        <f>'7.4.2 Selling &amp; Oper. expenses'!G47*'7.4.2 Selling &amp; Oper. expenses'!F78</f>
        <v>0</v>
      </c>
      <c r="J52" s="1698">
        <f>'7.4.2 Selling &amp; Oper. expenses'!I47*'7.4.2 Selling &amp; Oper. expenses'!F78</f>
        <v>0</v>
      </c>
      <c r="K52" s="1699">
        <f>'7.4.2 Selling &amp; Oper. expenses'!K47*'7.4.2 Selling &amp; Oper. expenses'!F78</f>
        <v>0</v>
      </c>
      <c r="L52" s="1697">
        <f>'7.4.2 Selling &amp; Oper. expenses'!C47*'7.4.2 Selling &amp; Oper. expenses'!G78</f>
        <v>0</v>
      </c>
      <c r="M52" s="1698">
        <f>'7.4.2 Selling &amp; Oper. expenses'!E47*'7.4.2 Selling &amp; Oper. expenses'!G78</f>
        <v>0</v>
      </c>
      <c r="N52" s="1698">
        <f>'7.4.2 Selling &amp; Oper. expenses'!G47*'7.4.2 Selling &amp; Oper. expenses'!G78</f>
        <v>0</v>
      </c>
      <c r="O52" s="1698">
        <f>'7.4.2 Selling &amp; Oper. expenses'!I47*'7.4.2 Selling &amp; Oper. expenses'!G78</f>
        <v>0</v>
      </c>
      <c r="P52" s="1699">
        <f>'7.4.2 Selling &amp; Oper. expenses'!K47*'7.4.2 Selling &amp; Oper. expenses'!G78</f>
        <v>0</v>
      </c>
      <c r="Q52" s="44"/>
    </row>
    <row r="53" spans="1:17" s="830" customFormat="1" x14ac:dyDescent="0.35">
      <c r="A53" s="1696" t="s">
        <v>94</v>
      </c>
      <c r="B53" s="1697">
        <f>'7.4.2 Selling &amp; Oper. expenses'!C48*'7.4.2 Selling &amp; Oper. expenses'!E79</f>
        <v>1200</v>
      </c>
      <c r="C53" s="1698">
        <f>'7.4.2 Selling &amp; Oper. expenses'!E48*'7.4.2 Selling &amp; Oper. expenses'!E79</f>
        <v>1935.6</v>
      </c>
      <c r="D53" s="1698">
        <f>'7.4.2 Selling &amp; Oper. expenses'!G48*'7.4.2 Selling &amp; Oper. expenses'!E79</f>
        <v>2903.1</v>
      </c>
      <c r="E53" s="1698">
        <f>'7.4.2 Selling &amp; Oper. expenses'!I48*'7.4.2 Selling &amp; Oper. expenses'!E79</f>
        <v>3387</v>
      </c>
      <c r="F53" s="1699">
        <f>'7.4.2 Selling &amp; Oper. expenses'!K48*'7.4.2 Selling &amp; Oper. expenses'!E79</f>
        <v>3870.8999999999996</v>
      </c>
      <c r="G53" s="1697">
        <f>'7.4.2 Selling &amp; Oper. expenses'!C48*'7.4.2 Selling &amp; Oper. expenses'!F79</f>
        <v>0</v>
      </c>
      <c r="H53" s="1698">
        <f>'7.4.2 Selling &amp; Oper. expenses'!E48*'7.4.2 Selling &amp; Oper. expenses'!F79</f>
        <v>0</v>
      </c>
      <c r="I53" s="1698">
        <f>'7.4.2 Selling &amp; Oper. expenses'!G48*'7.4.2 Selling &amp; Oper. expenses'!F79</f>
        <v>0</v>
      </c>
      <c r="J53" s="1698">
        <f>'7.4.2 Selling &amp; Oper. expenses'!I48*'7.4.2 Selling &amp; Oper. expenses'!F79</f>
        <v>0</v>
      </c>
      <c r="K53" s="1699">
        <f>'7.4.2 Selling &amp; Oper. expenses'!K48*'7.4.2 Selling &amp; Oper. expenses'!F79</f>
        <v>0</v>
      </c>
      <c r="L53" s="1697">
        <f>'7.4.2 Selling &amp; Oper. expenses'!C48*'7.4.2 Selling &amp; Oper. expenses'!G79</f>
        <v>0</v>
      </c>
      <c r="M53" s="1698">
        <f>'7.4.2 Selling &amp; Oper. expenses'!E48*'7.4.2 Selling &amp; Oper. expenses'!G79</f>
        <v>0</v>
      </c>
      <c r="N53" s="1698">
        <f>'7.4.2 Selling &amp; Oper. expenses'!G48*'7.4.2 Selling &amp; Oper. expenses'!G79</f>
        <v>0</v>
      </c>
      <c r="O53" s="1698">
        <f>'7.4.2 Selling &amp; Oper. expenses'!I48*'7.4.2 Selling &amp; Oper. expenses'!G79</f>
        <v>0</v>
      </c>
      <c r="P53" s="1699">
        <f>'7.4.2 Selling &amp; Oper. expenses'!K48*'7.4.2 Selling &amp; Oper. expenses'!G79</f>
        <v>0</v>
      </c>
      <c r="Q53" s="44"/>
    </row>
    <row r="54" spans="1:17" s="830" customFormat="1" x14ac:dyDescent="0.35">
      <c r="A54" s="1696" t="s">
        <v>115</v>
      </c>
      <c r="B54" s="1697">
        <f>'7.4.2 Selling &amp; Oper. expenses'!C49*'7.4.2 Selling &amp; Oper. expenses'!E80</f>
        <v>0</v>
      </c>
      <c r="C54" s="1698">
        <f>'7.4.2 Selling &amp; Oper. expenses'!E49*'7.4.2 Selling &amp; Oper. expenses'!E80</f>
        <v>1290</v>
      </c>
      <c r="D54" s="1698">
        <f>'7.4.2 Selling &amp; Oper. expenses'!G49*'7.4.2 Selling &amp; Oper. expenses'!E80</f>
        <v>1419.0000000000002</v>
      </c>
      <c r="E54" s="1698">
        <f>'7.4.2 Selling &amp; Oper. expenses'!I49*'7.4.2 Selling &amp; Oper. expenses'!E80</f>
        <v>1613</v>
      </c>
      <c r="F54" s="1699">
        <f>'7.4.2 Selling &amp; Oper. expenses'!K49*'7.4.2 Selling &amp; Oper. expenses'!E80</f>
        <v>1613</v>
      </c>
      <c r="G54" s="1697">
        <v>0</v>
      </c>
      <c r="H54" s="1698">
        <f>'7.4.2 Selling &amp; Oper. expenses'!E49*'7.4.2 Selling &amp; Oper. expenses'!F80</f>
        <v>0</v>
      </c>
      <c r="I54" s="1698">
        <f>'7.4.2 Selling &amp; Oper. expenses'!G49*'7.4.2 Selling &amp; Oper. expenses'!F80</f>
        <v>0</v>
      </c>
      <c r="J54" s="1698">
        <f>'7.4.2 Selling &amp; Oper. expenses'!I49*'7.4.2 Selling &amp; Oper. expenses'!F80</f>
        <v>0</v>
      </c>
      <c r="K54" s="1699">
        <f>'7.4.2 Selling &amp; Oper. expenses'!K49*'7.4.2 Selling &amp; Oper. expenses'!F80</f>
        <v>0</v>
      </c>
      <c r="L54" s="1697">
        <v>0</v>
      </c>
      <c r="M54" s="1698">
        <f>'7.4.2 Selling &amp; Oper. expenses'!E49*'7.4.2 Selling &amp; Oper. expenses'!G80</f>
        <v>0</v>
      </c>
      <c r="N54" s="1698">
        <f>'7.4.2 Selling &amp; Oper. expenses'!G49*'7.4.2 Selling &amp; Oper. expenses'!G80</f>
        <v>0</v>
      </c>
      <c r="O54" s="1698">
        <f>'7.4.2 Selling &amp; Oper. expenses'!I49*'7.4.2 Selling &amp; Oper. expenses'!G80</f>
        <v>0</v>
      </c>
      <c r="P54" s="1699">
        <f>'7.4.2 Selling &amp; Oper. expenses'!K49*'7.4.2 Selling &amp; Oper. expenses'!G80</f>
        <v>0</v>
      </c>
      <c r="Q54" s="44"/>
    </row>
    <row r="55" spans="1:17" s="830" customFormat="1" x14ac:dyDescent="0.35">
      <c r="A55" s="1696" t="s">
        <v>707</v>
      </c>
      <c r="B55" s="1697">
        <f>'7.4.2 Selling &amp; Oper. expenses'!C50*'7.4.2 Selling &amp; Oper. expenses'!E81</f>
        <v>900</v>
      </c>
      <c r="C55" s="1698">
        <f>'7.4.2 Selling &amp; Oper. expenses'!E50*'7.4.2 Selling &amp; Oper. expenses'!E81</f>
        <v>3000</v>
      </c>
      <c r="D55" s="1698">
        <f>'7.4.2 Selling &amp; Oper. expenses'!G50*'7.4.2 Selling &amp; Oper. expenses'!E81</f>
        <v>3000</v>
      </c>
      <c r="E55" s="1698">
        <f>'7.4.2 Selling &amp; Oper. expenses'!I50*'7.4.2 Selling &amp; Oper. expenses'!E81</f>
        <v>3000</v>
      </c>
      <c r="F55" s="1699">
        <f>'7.4.2 Selling &amp; Oper. expenses'!K50*'7.4.2 Selling &amp; Oper. expenses'!E81</f>
        <v>3000</v>
      </c>
      <c r="G55" s="1697">
        <f>'7.4.2 Selling &amp; Oper. expenses'!C50*'7.4.2 Selling &amp; Oper. expenses'!F81</f>
        <v>0</v>
      </c>
      <c r="H55" s="1698">
        <f>'7.4.2 Selling &amp; Oper. expenses'!E50*'7.4.2 Selling &amp; Oper. expenses'!F81</f>
        <v>0</v>
      </c>
      <c r="I55" s="1698">
        <f>'7.4.2 Selling &amp; Oper. expenses'!G50*'7.4.2 Selling &amp; Oper. expenses'!F81</f>
        <v>0</v>
      </c>
      <c r="J55" s="1698">
        <f>'7.4.2 Selling &amp; Oper. expenses'!I50*'7.4.2 Selling &amp; Oper. expenses'!F81</f>
        <v>0</v>
      </c>
      <c r="K55" s="1699">
        <f>'7.4.2 Selling &amp; Oper. expenses'!K50*'7.4.2 Selling &amp; Oper. expenses'!F81</f>
        <v>0</v>
      </c>
      <c r="L55" s="1697">
        <f>'7.4.2 Selling &amp; Oper. expenses'!C50*'7.4.2 Selling &amp; Oper. expenses'!G81</f>
        <v>0</v>
      </c>
      <c r="M55" s="1698">
        <f>'7.4.2 Selling &amp; Oper. expenses'!E50*'7.4.2 Selling &amp; Oper. expenses'!G81</f>
        <v>0</v>
      </c>
      <c r="N55" s="1698">
        <f>'7.4.2 Selling &amp; Oper. expenses'!G50*'7.4.2 Selling &amp; Oper. expenses'!G81</f>
        <v>0</v>
      </c>
      <c r="O55" s="1698">
        <f>'7.4.2 Selling &amp; Oper. expenses'!I50*'7.4.2 Selling &amp; Oper. expenses'!G81</f>
        <v>0</v>
      </c>
      <c r="P55" s="1699">
        <f>'7.4.2 Selling &amp; Oper. expenses'!K50*'7.4.2 Selling &amp; Oper. expenses'!G81</f>
        <v>0</v>
      </c>
      <c r="Q55" s="44"/>
    </row>
    <row r="56" spans="1:17" s="830" customFormat="1" x14ac:dyDescent="0.35">
      <c r="A56" s="1696" t="s">
        <v>97</v>
      </c>
      <c r="B56" s="1697">
        <f>'7.4.2 Selling &amp; Oper. expenses'!C51*'7.4.2 Selling &amp; Oper. expenses'!E82</f>
        <v>15000</v>
      </c>
      <c r="C56" s="1698">
        <f>'7.4.2 Selling &amp; Oper. expenses'!E51*'7.4.2 Selling &amp; Oper. expenses'!E82</f>
        <v>30000</v>
      </c>
      <c r="D56" s="1698">
        <f>'7.4.2 Selling &amp; Oper. expenses'!G51*'7.4.2 Selling &amp; Oper. expenses'!E82</f>
        <v>30000</v>
      </c>
      <c r="E56" s="1698">
        <f>'7.4.2 Selling &amp; Oper. expenses'!I51*'7.4.2 Selling &amp; Oper. expenses'!E82</f>
        <v>30000</v>
      </c>
      <c r="F56" s="1699">
        <f>'7.4.2 Selling &amp; Oper. expenses'!K51*'7.4.2 Selling &amp; Oper. expenses'!E82</f>
        <v>30000</v>
      </c>
      <c r="G56" s="1697">
        <f>'7.4.2 Selling &amp; Oper. expenses'!C51*'7.4.2 Selling &amp; Oper. expenses'!F82</f>
        <v>0</v>
      </c>
      <c r="H56" s="1698">
        <f>'7.4.2 Selling &amp; Oper. expenses'!E51*'7.4.2 Selling &amp; Oper. expenses'!F82</f>
        <v>0</v>
      </c>
      <c r="I56" s="1698">
        <f>'7.4.2 Selling &amp; Oper. expenses'!G51*'7.4.2 Selling &amp; Oper. expenses'!F82</f>
        <v>0</v>
      </c>
      <c r="J56" s="1698">
        <f>'7.4.2 Selling &amp; Oper. expenses'!I51*'7.4.2 Selling &amp; Oper. expenses'!F82</f>
        <v>0</v>
      </c>
      <c r="K56" s="1699">
        <f>'7.4.2 Selling &amp; Oper. expenses'!K51*'7.4.2 Selling &amp; Oper. expenses'!F82</f>
        <v>0</v>
      </c>
      <c r="L56" s="1697">
        <f>'7.4.2 Selling &amp; Oper. expenses'!C51*'7.4.2 Selling &amp; Oper. expenses'!G82</f>
        <v>0</v>
      </c>
      <c r="M56" s="1698">
        <f>'7.4.2 Selling &amp; Oper. expenses'!E51*'7.4.2 Selling &amp; Oper. expenses'!G82</f>
        <v>0</v>
      </c>
      <c r="N56" s="1698">
        <f>'7.4.2 Selling &amp; Oper. expenses'!G51*'7.4.2 Selling &amp; Oper. expenses'!G82</f>
        <v>0</v>
      </c>
      <c r="O56" s="1698">
        <f>'7.4.2 Selling &amp; Oper. expenses'!I51*'7.4.2 Selling &amp; Oper. expenses'!G82</f>
        <v>0</v>
      </c>
      <c r="P56" s="1699">
        <f>'7.4.2 Selling &amp; Oper. expenses'!K51*'7.4.2 Selling &amp; Oper. expenses'!G82</f>
        <v>0</v>
      </c>
      <c r="Q56" s="44"/>
    </row>
    <row r="57" spans="1:17" s="830" customFormat="1" x14ac:dyDescent="0.35">
      <c r="A57" s="1696" t="s">
        <v>217</v>
      </c>
      <c r="B57" s="1697">
        <f>'7.4.2 Selling &amp; Oper. expenses'!C52*'7.4.2 Selling &amp; Oper. expenses'!E83</f>
        <v>450</v>
      </c>
      <c r="C57" s="1698">
        <f>'7.4.2 Selling &amp; Oper. expenses'!E52*'7.4.2 Selling &amp; Oper. expenses'!E83</f>
        <v>495.00000000000006</v>
      </c>
      <c r="D57" s="1698">
        <f>'7.4.2 Selling &amp; Oper. expenses'!G52*'7.4.2 Selling &amp; Oper. expenses'!E83</f>
        <v>544.50000000000011</v>
      </c>
      <c r="E57" s="1698">
        <f>'7.4.2 Selling &amp; Oper. expenses'!I52*'7.4.2 Selling &amp; Oper. expenses'!E83</f>
        <v>598.95000000000016</v>
      </c>
      <c r="F57" s="1699">
        <f>'7.4.2 Selling &amp; Oper. expenses'!K52*'7.4.2 Selling &amp; Oper. expenses'!E83</f>
        <v>658.84500000000025</v>
      </c>
      <c r="G57" s="1697">
        <f>'7.4.2 Selling &amp; Oper. expenses'!C52*'7.4.2 Selling &amp; Oper. expenses'!F83</f>
        <v>0</v>
      </c>
      <c r="H57" s="1698">
        <f>'7.4.2 Selling &amp; Oper. expenses'!E52*'7.4.2 Selling &amp; Oper. expenses'!F83</f>
        <v>0</v>
      </c>
      <c r="I57" s="1698">
        <f>'7.4.2 Selling &amp; Oper. expenses'!G52*'7.4.2 Selling &amp; Oper. expenses'!F83</f>
        <v>0</v>
      </c>
      <c r="J57" s="1698">
        <f>'7.4.2 Selling &amp; Oper. expenses'!I52*'7.4.2 Selling &amp; Oper. expenses'!F83</f>
        <v>0</v>
      </c>
      <c r="K57" s="1699">
        <f>'7.4.2 Selling &amp; Oper. expenses'!K52*'7.4.2 Selling &amp; Oper. expenses'!F83</f>
        <v>0</v>
      </c>
      <c r="L57" s="1697">
        <f>'7.4.2 Selling &amp; Oper. expenses'!C52*'7.4.2 Selling &amp; Oper. expenses'!G83</f>
        <v>0</v>
      </c>
      <c r="M57" s="1698">
        <f>'7.4.2 Selling &amp; Oper. expenses'!E52*'7.4.2 Selling &amp; Oper. expenses'!G83</f>
        <v>0</v>
      </c>
      <c r="N57" s="1698">
        <f>'7.4.2 Selling &amp; Oper. expenses'!G52*'7.4.2 Selling &amp; Oper. expenses'!G83</f>
        <v>0</v>
      </c>
      <c r="O57" s="1698">
        <f>'7.4.2 Selling &amp; Oper. expenses'!I52*'7.4.2 Selling &amp; Oper. expenses'!G83</f>
        <v>0</v>
      </c>
      <c r="P57" s="1699">
        <f>'7.4.2 Selling &amp; Oper. expenses'!K52*'7.4.2 Selling &amp; Oper. expenses'!G83</f>
        <v>0</v>
      </c>
      <c r="Q57" s="44"/>
    </row>
    <row r="58" spans="1:17" s="830" customFormat="1" x14ac:dyDescent="0.35">
      <c r="A58" s="1696" t="s">
        <v>99</v>
      </c>
      <c r="B58" s="1697">
        <f>'7.4.2 Selling &amp; Oper. expenses'!C53*'7.4.2 Selling &amp; Oper. expenses'!E84</f>
        <v>3000</v>
      </c>
      <c r="C58" s="1698">
        <f>'7.4.2 Selling &amp; Oper. expenses'!E53*'7.4.2 Selling &amp; Oper. expenses'!E84</f>
        <v>9000</v>
      </c>
      <c r="D58" s="1698">
        <f>'7.4.2 Selling &amp; Oper. expenses'!G53*'7.4.2 Selling &amp; Oper. expenses'!E84</f>
        <v>12000</v>
      </c>
      <c r="E58" s="1698">
        <f>'7.4.2 Selling &amp; Oper. expenses'!I53*'7.4.2 Selling &amp; Oper. expenses'!E84</f>
        <v>12000</v>
      </c>
      <c r="F58" s="1699">
        <f>'7.4.2 Selling &amp; Oper. expenses'!K53*'7.4.2 Selling &amp; Oper. expenses'!E84</f>
        <v>12000</v>
      </c>
      <c r="G58" s="1697">
        <f>'7.4.2 Selling &amp; Oper. expenses'!C53*'7.4.2 Selling &amp; Oper. expenses'!F84</f>
        <v>0</v>
      </c>
      <c r="H58" s="1698">
        <f>'7.4.2 Selling &amp; Oper. expenses'!E53*'7.4.2 Selling &amp; Oper. expenses'!F84</f>
        <v>0</v>
      </c>
      <c r="I58" s="1698">
        <f>'7.4.2 Selling &amp; Oper. expenses'!G53*'7.4.2 Selling &amp; Oper. expenses'!F84</f>
        <v>0</v>
      </c>
      <c r="J58" s="1698">
        <f>'7.4.2 Selling &amp; Oper. expenses'!I53*'7.4.2 Selling &amp; Oper. expenses'!F84</f>
        <v>0</v>
      </c>
      <c r="K58" s="1699">
        <f>'7.4.2 Selling &amp; Oper. expenses'!K53*'7.4.2 Selling &amp; Oper. expenses'!F84</f>
        <v>0</v>
      </c>
      <c r="L58" s="1697">
        <f>'7.4.2 Selling &amp; Oper. expenses'!C53*'7.4.2 Selling &amp; Oper. expenses'!G84</f>
        <v>0</v>
      </c>
      <c r="M58" s="1698">
        <f>'7.4.2 Selling &amp; Oper. expenses'!E53*'7.4.2 Selling &amp; Oper. expenses'!G84</f>
        <v>0</v>
      </c>
      <c r="N58" s="1698">
        <f>'7.4.2 Selling &amp; Oper. expenses'!G53*'7.4.2 Selling &amp; Oper. expenses'!G84</f>
        <v>0</v>
      </c>
      <c r="O58" s="1698">
        <f>'7.4.2 Selling &amp; Oper. expenses'!I53*'7.4.2 Selling &amp; Oper. expenses'!G84</f>
        <v>0</v>
      </c>
      <c r="P58" s="1699">
        <f>'7.4.2 Selling &amp; Oper. expenses'!K53*'7.4.2 Selling &amp; Oper. expenses'!G84</f>
        <v>0</v>
      </c>
      <c r="Q58" s="44"/>
    </row>
    <row r="59" spans="1:17" s="830" customFormat="1" x14ac:dyDescent="0.35">
      <c r="A59" s="1696" t="s">
        <v>96</v>
      </c>
      <c r="B59" s="1700">
        <f>'7.4.2 Selling &amp; Oper. expenses'!C54*'7.4.2 Selling &amp; Oper. expenses'!E85</f>
        <v>1500</v>
      </c>
      <c r="C59" s="1701">
        <f>'7.4.2 Selling &amp; Oper. expenses'!E54*'7.4.2 Selling &amp; Oper. expenses'!E85</f>
        <v>1650.0000000000002</v>
      </c>
      <c r="D59" s="1701">
        <f>'7.4.2 Selling &amp; Oper. expenses'!G54*'7.4.2 Selling &amp; Oper. expenses'!E85</f>
        <v>1815.0000000000005</v>
      </c>
      <c r="E59" s="1701">
        <f>'7.4.2 Selling &amp; Oper. expenses'!I54*'7.4.2 Selling &amp; Oper. expenses'!E85</f>
        <v>1996.5000000000007</v>
      </c>
      <c r="F59" s="1702">
        <f>'7.4.2 Selling &amp; Oper. expenses'!K54*'7.4.2 Selling &amp; Oper. expenses'!E85</f>
        <v>2196.150000000001</v>
      </c>
      <c r="G59" s="1700">
        <f>'7.4.2 Selling &amp; Oper. expenses'!C54*'7.4.2 Selling &amp; Oper. expenses'!F85</f>
        <v>0</v>
      </c>
      <c r="H59" s="1701">
        <f>'7.4.2 Selling &amp; Oper. expenses'!E54*'7.4.2 Selling &amp; Oper. expenses'!F85</f>
        <v>0</v>
      </c>
      <c r="I59" s="1701">
        <f>'7.4.2 Selling &amp; Oper. expenses'!G54*'7.4.2 Selling &amp; Oper. expenses'!F85</f>
        <v>0</v>
      </c>
      <c r="J59" s="1701">
        <f>'7.4.2 Selling &amp; Oper. expenses'!I54*'7.4.2 Selling &amp; Oper. expenses'!F85</f>
        <v>0</v>
      </c>
      <c r="K59" s="1702">
        <f>'7.4.2 Selling &amp; Oper. expenses'!K54*'7.4.2 Selling &amp; Oper. expenses'!F85</f>
        <v>0</v>
      </c>
      <c r="L59" s="1700">
        <f>'7.4.2 Selling &amp; Oper. expenses'!C54*'7.4.2 Selling &amp; Oper. expenses'!G85</f>
        <v>0</v>
      </c>
      <c r="M59" s="1701">
        <f>'7.4.2 Selling &amp; Oper. expenses'!E54*'7.4.2 Selling &amp; Oper. expenses'!G85</f>
        <v>0</v>
      </c>
      <c r="N59" s="1701">
        <f>'7.4.2 Selling &amp; Oper. expenses'!G54*'7.4.2 Selling &amp; Oper. expenses'!G85</f>
        <v>0</v>
      </c>
      <c r="O59" s="1701">
        <f>'7.4.2 Selling &amp; Oper. expenses'!I54*'7.4.2 Selling &amp; Oper. expenses'!G85</f>
        <v>0</v>
      </c>
      <c r="P59" s="1702">
        <f>'7.4.2 Selling &amp; Oper. expenses'!K54*'7.4.2 Selling &amp; Oper. expenses'!G85</f>
        <v>0</v>
      </c>
      <c r="Q59" s="44"/>
    </row>
    <row r="60" spans="1:17" s="830" customFormat="1" x14ac:dyDescent="0.35">
      <c r="A60" s="1216" t="s">
        <v>655</v>
      </c>
      <c r="B60" s="1706">
        <f>SUM(B42:B59)</f>
        <v>83005</v>
      </c>
      <c r="C60" s="1707">
        <f t="shared" ref="C60:P60" si="3">SUM(C42:C59)</f>
        <v>169641.80000000002</v>
      </c>
      <c r="D60" s="1707">
        <f t="shared" si="3"/>
        <v>195733.3</v>
      </c>
      <c r="E60" s="1707">
        <f t="shared" si="3"/>
        <v>221627.95</v>
      </c>
      <c r="F60" s="1708">
        <f t="shared" si="3"/>
        <v>248151.09499999997</v>
      </c>
      <c r="G60" s="1706">
        <f t="shared" si="3"/>
        <v>0</v>
      </c>
      <c r="H60" s="1707">
        <f t="shared" si="3"/>
        <v>0</v>
      </c>
      <c r="I60" s="1707">
        <f t="shared" si="3"/>
        <v>0</v>
      </c>
      <c r="J60" s="1707">
        <f t="shared" si="3"/>
        <v>0</v>
      </c>
      <c r="K60" s="1708">
        <f t="shared" si="3"/>
        <v>0</v>
      </c>
      <c r="L60" s="1706">
        <f t="shared" si="3"/>
        <v>0</v>
      </c>
      <c r="M60" s="1707">
        <f t="shared" si="3"/>
        <v>0</v>
      </c>
      <c r="N60" s="1707">
        <f t="shared" si="3"/>
        <v>0</v>
      </c>
      <c r="O60" s="1707">
        <f t="shared" si="3"/>
        <v>0</v>
      </c>
      <c r="P60" s="1708">
        <f t="shared" si="3"/>
        <v>0</v>
      </c>
      <c r="Q60" s="44"/>
    </row>
    <row r="61" spans="1:17" s="830" customFormat="1" x14ac:dyDescent="0.35">
      <c r="A61" s="1216"/>
      <c r="B61" s="1706"/>
      <c r="C61" s="1707"/>
      <c r="D61" s="1707"/>
      <c r="E61" s="1707"/>
      <c r="F61" s="1708"/>
      <c r="G61" s="1706"/>
      <c r="H61" s="1707"/>
      <c r="I61" s="1707"/>
      <c r="J61" s="1707"/>
      <c r="K61" s="1708"/>
      <c r="L61" s="1706"/>
      <c r="M61" s="1707"/>
      <c r="N61" s="1707"/>
      <c r="O61" s="1707"/>
      <c r="P61" s="1708"/>
      <c r="Q61" s="44"/>
    </row>
    <row r="62" spans="1:17" s="1710" customFormat="1" x14ac:dyDescent="0.35">
      <c r="A62" s="1216" t="s">
        <v>656</v>
      </c>
      <c r="B62" s="1706">
        <f>'7.6.1 Activity contribution'!B60</f>
        <v>0</v>
      </c>
      <c r="C62" s="1707">
        <f>'7.6.1 Activity contribution'!B137</f>
        <v>0</v>
      </c>
      <c r="D62" s="1707">
        <f>'7.6.1 Activity contribution'!B214</f>
        <v>0</v>
      </c>
      <c r="E62" s="1707">
        <f>'7.6.1 Activity contribution'!B291</f>
        <v>0</v>
      </c>
      <c r="F62" s="1708">
        <f>'7.6.1 Activity contribution'!B368</f>
        <v>0</v>
      </c>
      <c r="G62" s="1706">
        <f>'7.4.3 Inv. &amp; Depr.'!D127</f>
        <v>0</v>
      </c>
      <c r="H62" s="1707">
        <f>'7.4.3 Inv. &amp; Depr.'!F127</f>
        <v>0</v>
      </c>
      <c r="I62" s="1707">
        <f>'7.4.3 Inv. &amp; Depr.'!H127</f>
        <v>0</v>
      </c>
      <c r="J62" s="1707">
        <f>'7.4.3 Inv. &amp; Depr.'!J127</f>
        <v>0</v>
      </c>
      <c r="K62" s="1708">
        <f>'7.4.3 Inv. &amp; Depr.'!L127</f>
        <v>0</v>
      </c>
      <c r="L62" s="1706">
        <f>'7.4.3 Inv. &amp; Depr.'!D128</f>
        <v>0</v>
      </c>
      <c r="M62" s="1707">
        <f>'7.4.3 Inv. &amp; Depr.'!F128</f>
        <v>0</v>
      </c>
      <c r="N62" s="1707">
        <f>'7.4.3 Inv. &amp; Depr.'!H128</f>
        <v>0</v>
      </c>
      <c r="O62" s="1707">
        <f>'7.4.3 Inv. &amp; Depr.'!J128</f>
        <v>0</v>
      </c>
      <c r="P62" s="1708">
        <f>'7.4.3 Inv. &amp; Depr.'!L128</f>
        <v>0</v>
      </c>
      <c r="Q62" s="1564"/>
    </row>
    <row r="63" spans="1:17" s="1710" customFormat="1" x14ac:dyDescent="0.35">
      <c r="A63" s="1216"/>
      <c r="B63" s="1706"/>
      <c r="C63" s="1707"/>
      <c r="D63" s="1707"/>
      <c r="E63" s="1707"/>
      <c r="F63" s="1708"/>
      <c r="G63" s="1706"/>
      <c r="H63" s="1707"/>
      <c r="I63" s="1707"/>
      <c r="J63" s="1707"/>
      <c r="K63" s="1708"/>
      <c r="L63" s="1706"/>
      <c r="M63" s="1707"/>
      <c r="N63" s="1707"/>
      <c r="O63" s="1707"/>
      <c r="P63" s="1708"/>
      <c r="Q63" s="1564"/>
    </row>
    <row r="64" spans="1:17" s="1710" customFormat="1" x14ac:dyDescent="0.35">
      <c r="A64" s="1692"/>
      <c r="B64" s="1729"/>
      <c r="C64" s="1730"/>
      <c r="D64" s="1730"/>
      <c r="E64" s="1730"/>
      <c r="F64" s="1731"/>
      <c r="G64" s="1729"/>
      <c r="H64" s="1730"/>
      <c r="I64" s="1730"/>
      <c r="J64" s="1730"/>
      <c r="K64" s="1731"/>
      <c r="L64" s="1729"/>
      <c r="M64" s="1730"/>
      <c r="N64" s="1730"/>
      <c r="O64" s="1730"/>
      <c r="P64" s="1731"/>
      <c r="Q64" s="1564"/>
    </row>
    <row r="65" spans="1:17" s="1710" customFormat="1" x14ac:dyDescent="0.35">
      <c r="A65" s="1216" t="s">
        <v>218</v>
      </c>
      <c r="B65" s="951">
        <f t="shared" ref="B65:P65" si="4">B32-B37-B39-B60-B62</f>
        <v>53400.565000103059</v>
      </c>
      <c r="C65" s="952">
        <f t="shared" si="4"/>
        <v>278619.30775006197</v>
      </c>
      <c r="D65" s="952">
        <f t="shared" si="4"/>
        <v>604894.46869303822</v>
      </c>
      <c r="E65" s="952">
        <f t="shared" si="4"/>
        <v>797829.69956461294</v>
      </c>
      <c r="F65" s="953">
        <f t="shared" si="4"/>
        <v>976096.80514248414</v>
      </c>
      <c r="G65" s="951">
        <f t="shared" si="4"/>
        <v>0</v>
      </c>
      <c r="H65" s="952">
        <f t="shared" si="4"/>
        <v>0</v>
      </c>
      <c r="I65" s="952">
        <f t="shared" si="4"/>
        <v>0</v>
      </c>
      <c r="J65" s="952">
        <f t="shared" si="4"/>
        <v>0</v>
      </c>
      <c r="K65" s="953">
        <f t="shared" si="4"/>
        <v>0</v>
      </c>
      <c r="L65" s="951">
        <f t="shared" si="4"/>
        <v>0</v>
      </c>
      <c r="M65" s="952">
        <f t="shared" si="4"/>
        <v>0</v>
      </c>
      <c r="N65" s="952">
        <f t="shared" si="4"/>
        <v>0</v>
      </c>
      <c r="O65" s="952">
        <f t="shared" si="4"/>
        <v>0</v>
      </c>
      <c r="P65" s="953">
        <f t="shared" si="4"/>
        <v>0</v>
      </c>
      <c r="Q65" s="1564"/>
    </row>
    <row r="66" spans="1:17" s="830" customFormat="1" x14ac:dyDescent="0.35">
      <c r="A66" s="1216"/>
      <c r="B66" s="1706"/>
      <c r="C66" s="1707"/>
      <c r="D66" s="1707"/>
      <c r="E66" s="1707"/>
      <c r="F66" s="1708"/>
      <c r="G66" s="1706"/>
      <c r="H66" s="1707"/>
      <c r="I66" s="1707"/>
      <c r="J66" s="1707"/>
      <c r="K66" s="1708"/>
      <c r="L66" s="1706"/>
      <c r="M66" s="1707"/>
      <c r="N66" s="1707"/>
      <c r="O66" s="1707"/>
      <c r="P66" s="1708"/>
      <c r="Q66" s="44"/>
    </row>
    <row r="67" spans="1:17" s="1710" customFormat="1" x14ac:dyDescent="0.35">
      <c r="A67" s="1216" t="s">
        <v>495</v>
      </c>
      <c r="B67" s="1718">
        <f>IF(B16=0,0,B65/B16)</f>
        <v>2.8763053656048719E-2</v>
      </c>
      <c r="C67" s="1719">
        <f t="shared" ref="C67:P67" si="5">IF(C16=0,0,C65/C16)</f>
        <v>5.9636894646410359E-2</v>
      </c>
      <c r="D67" s="1719">
        <f t="shared" si="5"/>
        <v>7.5630106345483741E-2</v>
      </c>
      <c r="E67" s="1719">
        <f t="shared" si="5"/>
        <v>7.9386444036101358E-2</v>
      </c>
      <c r="F67" s="1720">
        <f t="shared" si="5"/>
        <v>8.1289498100122148E-2</v>
      </c>
      <c r="G67" s="1718">
        <f t="shared" si="5"/>
        <v>0</v>
      </c>
      <c r="H67" s="1719">
        <f t="shared" si="5"/>
        <v>0</v>
      </c>
      <c r="I67" s="1719">
        <f t="shared" si="5"/>
        <v>0</v>
      </c>
      <c r="J67" s="1719">
        <f t="shared" si="5"/>
        <v>0</v>
      </c>
      <c r="K67" s="1720">
        <f t="shared" si="5"/>
        <v>0</v>
      </c>
      <c r="L67" s="1718">
        <f t="shared" si="5"/>
        <v>0</v>
      </c>
      <c r="M67" s="1719">
        <f t="shared" si="5"/>
        <v>0</v>
      </c>
      <c r="N67" s="1719">
        <f t="shared" si="5"/>
        <v>0</v>
      </c>
      <c r="O67" s="1719">
        <f t="shared" si="5"/>
        <v>0</v>
      </c>
      <c r="P67" s="1720">
        <f t="shared" si="5"/>
        <v>0</v>
      </c>
      <c r="Q67" s="1564"/>
    </row>
    <row r="68" spans="1:17" s="1710" customFormat="1" x14ac:dyDescent="0.35">
      <c r="A68" s="1711"/>
      <c r="B68" s="1712"/>
      <c r="C68" s="1713"/>
      <c r="D68" s="1713"/>
      <c r="E68" s="1713"/>
      <c r="F68" s="1714"/>
      <c r="G68" s="1712"/>
      <c r="H68" s="1713"/>
      <c r="I68" s="1713"/>
      <c r="J68" s="1713"/>
      <c r="K68" s="1714"/>
      <c r="L68" s="1712"/>
      <c r="M68" s="1713"/>
      <c r="N68" s="1713"/>
      <c r="O68" s="1713"/>
      <c r="P68" s="1714"/>
      <c r="Q68" s="1564"/>
    </row>
    <row r="69" spans="1:17" s="830" customFormat="1" x14ac:dyDescent="0.35">
      <c r="A69" s="1216"/>
      <c r="B69" s="1706"/>
      <c r="C69" s="1707"/>
      <c r="D69" s="1707"/>
      <c r="E69" s="1707"/>
      <c r="F69" s="1708"/>
      <c r="G69" s="1706"/>
      <c r="H69" s="1707"/>
      <c r="I69" s="1707"/>
      <c r="J69" s="1707"/>
      <c r="K69" s="1708"/>
      <c r="L69" s="1706"/>
      <c r="M69" s="1707"/>
      <c r="N69" s="1707"/>
      <c r="O69" s="1707"/>
      <c r="P69" s="1708"/>
      <c r="Q69" s="44"/>
    </row>
    <row r="70" spans="1:17" s="830" customFormat="1" x14ac:dyDescent="0.35">
      <c r="A70" s="1696" t="s">
        <v>215</v>
      </c>
      <c r="B70" s="1697">
        <v>0</v>
      </c>
      <c r="C70" s="1698">
        <v>0</v>
      </c>
      <c r="D70" s="1698">
        <v>0</v>
      </c>
      <c r="E70" s="1698">
        <v>0</v>
      </c>
      <c r="F70" s="1699">
        <v>0</v>
      </c>
      <c r="G70" s="1697">
        <v>0</v>
      </c>
      <c r="H70" s="1698">
        <v>0</v>
      </c>
      <c r="I70" s="1698">
        <v>0</v>
      </c>
      <c r="J70" s="1698">
        <v>0</v>
      </c>
      <c r="K70" s="1699">
        <v>0</v>
      </c>
      <c r="L70" s="1697">
        <v>0</v>
      </c>
      <c r="M70" s="1698">
        <v>0</v>
      </c>
      <c r="N70" s="1698">
        <v>0</v>
      </c>
      <c r="O70" s="1698">
        <v>0</v>
      </c>
      <c r="P70" s="1699">
        <v>0</v>
      </c>
      <c r="Q70" s="44"/>
    </row>
    <row r="71" spans="1:17" s="830" customFormat="1" x14ac:dyDescent="0.35">
      <c r="A71" s="1696" t="s">
        <v>216</v>
      </c>
      <c r="B71" s="1697">
        <v>0</v>
      </c>
      <c r="C71" s="1698">
        <v>0</v>
      </c>
      <c r="D71" s="1698">
        <v>0</v>
      </c>
      <c r="E71" s="1698">
        <v>0</v>
      </c>
      <c r="F71" s="1699">
        <v>0</v>
      </c>
      <c r="G71" s="1697">
        <v>0</v>
      </c>
      <c r="H71" s="1698">
        <v>0</v>
      </c>
      <c r="I71" s="1698">
        <v>0</v>
      </c>
      <c r="J71" s="1698">
        <v>0</v>
      </c>
      <c r="K71" s="1699">
        <v>0</v>
      </c>
      <c r="L71" s="1697">
        <v>0</v>
      </c>
      <c r="M71" s="1698">
        <v>0</v>
      </c>
      <c r="N71" s="1698">
        <v>0</v>
      </c>
      <c r="O71" s="1698">
        <v>0</v>
      </c>
      <c r="P71" s="1699">
        <v>0</v>
      </c>
      <c r="Q71" s="44"/>
    </row>
    <row r="72" spans="1:17" s="830" customFormat="1" x14ac:dyDescent="0.35">
      <c r="A72" s="1727" t="s">
        <v>357</v>
      </c>
      <c r="B72" s="947">
        <f>-'7.5.1 Financial Requirements'!D38*'7.5.2 Fin. Income &amp; Expenses '!E52*'7.5.2 Fin. Income &amp; Expenses '!C73</f>
        <v>-13572.026333333331</v>
      </c>
      <c r="C72" s="949">
        <f>-'7.5.1 Financial Requirements'!F38*'7.5.2 Fin. Income &amp; Expenses '!G52*'7.5.2 Fin. Income &amp; Expenses '!C73</f>
        <v>-34148.548291666666</v>
      </c>
      <c r="D72" s="949">
        <f>-'7.5.1 Financial Requirements'!H38*'7.5.2 Fin. Income &amp; Expenses '!I52*'7.5.2 Fin. Income &amp; Expenses '!C73</f>
        <v>-58454.800958333333</v>
      </c>
      <c r="E72" s="949">
        <f>-'7.5.1 Financial Requirements'!J38*'7.5.2 Fin. Income &amp; Expenses '!K52*'7.5.2 Fin. Income &amp; Expenses '!C73</f>
        <v>-73449.105611666673</v>
      </c>
      <c r="F72" s="964">
        <f>-'7.5.1 Financial Requirements'!L38*'7.5.2 Fin. Income &amp; Expenses '!M52*'7.5.2 Fin. Income &amp; Expenses '!C73</f>
        <v>-87756.657579166655</v>
      </c>
      <c r="G72" s="947">
        <f>-(('7.2.1 Turnover Vehicles'!C53+'7.2.1 Turnover Vehicles'!C54)/2)*'7.5.2 Fin. Income &amp; Expenses '!E53*'7.5.2 Fin. Income &amp; Expenses '!C73</f>
        <v>0</v>
      </c>
      <c r="H72" s="949">
        <f>-(('7.2.1 Turnover Vehicles'!E53+'7.2.1 Turnover Vehicles'!E54)/2)*'7.5.2 Fin. Income &amp; Expenses '!G53*'7.5.2 Fin. Income &amp; Expenses '!C73</f>
        <v>0</v>
      </c>
      <c r="I72" s="949">
        <f>-(('7.2.1 Turnover Vehicles'!G53+'7.2.1 Turnover Vehicles'!G54)/2)*'7.5.2 Fin. Income &amp; Expenses '!I53*'7.5.2 Fin. Income &amp; Expenses '!C73</f>
        <v>0</v>
      </c>
      <c r="J72" s="949">
        <f>-(('7.2.1 Turnover Vehicles'!I53+'7.2.1 Turnover Vehicles'!I54)/2)*'7.5.2 Fin. Income &amp; Expenses '!K53*'7.5.2 Fin. Income &amp; Expenses '!C73</f>
        <v>0</v>
      </c>
      <c r="K72" s="964">
        <f>-(('7.2.1 Turnover Vehicles'!K53+'7.2.1 Turnover Vehicles'!K54)/2)*'7.5.2 Fin. Income &amp; Expenses '!M53*'7.5.2 Fin. Income &amp; Expenses '!C73</f>
        <v>0</v>
      </c>
      <c r="L72" s="947">
        <f>-'7.5.1 Financial Requirements'!D39*'7.5.2 Fin. Income &amp; Expenses '!E54*'7.5.2 Fin. Income &amp; Expenses '!C73</f>
        <v>0</v>
      </c>
      <c r="M72" s="949">
        <f>-'7.5.1 Financial Requirements'!F39*'7.5.2 Fin. Income &amp; Expenses '!G54*'7.5.2 Fin. Income &amp; Expenses '!C73</f>
        <v>0</v>
      </c>
      <c r="N72" s="949">
        <f>-'7.5.1 Financial Requirements'!H39*'7.5.2 Fin. Income &amp; Expenses '!I54*'7.5.2 Fin. Income &amp; Expenses '!C73</f>
        <v>0</v>
      </c>
      <c r="O72" s="949">
        <f>-'7.5.1 Financial Requirements'!J39*'7.5.2 Fin. Income &amp; Expenses '!K54*'7.5.2 Fin. Income &amp; Expenses '!C73</f>
        <v>0</v>
      </c>
      <c r="P72" s="964">
        <f>-'7.5.1 Financial Requirements'!L39*'7.5.2 Fin. Income &amp; Expenses '!M54*'7.5.2 Fin. Income &amp; Expenses '!C73</f>
        <v>0</v>
      </c>
      <c r="Q72" s="44"/>
    </row>
    <row r="73" spans="1:17" s="830" customFormat="1" x14ac:dyDescent="0.35">
      <c r="A73" s="1216" t="s">
        <v>816</v>
      </c>
      <c r="B73" s="1697">
        <f>SUM(B70:B72)</f>
        <v>-13572.026333333331</v>
      </c>
      <c r="C73" s="1698">
        <f t="shared" ref="C73:P73" si="6">SUM(C70:C72)</f>
        <v>-34148.548291666666</v>
      </c>
      <c r="D73" s="1698">
        <f t="shared" si="6"/>
        <v>-58454.800958333333</v>
      </c>
      <c r="E73" s="1698">
        <f t="shared" si="6"/>
        <v>-73449.105611666673</v>
      </c>
      <c r="F73" s="1699">
        <f t="shared" si="6"/>
        <v>-87756.657579166655</v>
      </c>
      <c r="G73" s="1697">
        <f t="shared" si="6"/>
        <v>0</v>
      </c>
      <c r="H73" s="1698">
        <f t="shared" si="6"/>
        <v>0</v>
      </c>
      <c r="I73" s="1698">
        <f t="shared" si="6"/>
        <v>0</v>
      </c>
      <c r="J73" s="1698">
        <f t="shared" si="6"/>
        <v>0</v>
      </c>
      <c r="K73" s="1699">
        <f t="shared" si="6"/>
        <v>0</v>
      </c>
      <c r="L73" s="1697">
        <f t="shared" si="6"/>
        <v>0</v>
      </c>
      <c r="M73" s="1698">
        <f t="shared" si="6"/>
        <v>0</v>
      </c>
      <c r="N73" s="1698">
        <f t="shared" si="6"/>
        <v>0</v>
      </c>
      <c r="O73" s="1698">
        <f t="shared" si="6"/>
        <v>0</v>
      </c>
      <c r="P73" s="1699">
        <f t="shared" si="6"/>
        <v>0</v>
      </c>
      <c r="Q73" s="44"/>
    </row>
    <row r="74" spans="1:17" s="830" customFormat="1" x14ac:dyDescent="0.35">
      <c r="A74" s="1216"/>
      <c r="B74" s="1697"/>
      <c r="C74" s="1177"/>
      <c r="D74" s="1177"/>
      <c r="E74" s="1177"/>
      <c r="F74" s="1178"/>
      <c r="G74" s="1697"/>
      <c r="H74" s="1177"/>
      <c r="I74" s="1177"/>
      <c r="J74" s="1177"/>
      <c r="K74" s="1178"/>
      <c r="L74" s="1697"/>
      <c r="M74" s="1177"/>
      <c r="N74" s="1177"/>
      <c r="O74" s="1177"/>
      <c r="P74" s="1699"/>
      <c r="Q74" s="44"/>
    </row>
    <row r="75" spans="1:17" s="830" customFormat="1" x14ac:dyDescent="0.35">
      <c r="A75" s="1216" t="s">
        <v>660</v>
      </c>
      <c r="B75" s="1697">
        <v>0</v>
      </c>
      <c r="C75" s="1177">
        <v>0</v>
      </c>
      <c r="D75" s="1177">
        <v>0</v>
      </c>
      <c r="E75" s="1177">
        <v>0</v>
      </c>
      <c r="F75" s="1178">
        <v>0</v>
      </c>
      <c r="G75" s="1697">
        <v>0</v>
      </c>
      <c r="H75" s="1177">
        <v>0</v>
      </c>
      <c r="I75" s="1177">
        <v>0</v>
      </c>
      <c r="J75" s="1177">
        <v>0</v>
      </c>
      <c r="K75" s="1178">
        <v>0</v>
      </c>
      <c r="L75" s="1697">
        <v>0</v>
      </c>
      <c r="M75" s="1177">
        <v>0</v>
      </c>
      <c r="N75" s="1177">
        <v>0</v>
      </c>
      <c r="O75" s="1177">
        <v>0</v>
      </c>
      <c r="P75" s="1699">
        <v>0</v>
      </c>
      <c r="Q75" s="1584"/>
    </row>
    <row r="76" spans="1:17" s="830" customFormat="1" x14ac:dyDescent="0.35">
      <c r="A76" s="1216"/>
      <c r="B76" s="1706"/>
      <c r="C76" s="1145"/>
      <c r="D76" s="1145"/>
      <c r="E76" s="1145"/>
      <c r="F76" s="1146"/>
      <c r="G76" s="1706"/>
      <c r="H76" s="1145"/>
      <c r="I76" s="1145"/>
      <c r="J76" s="1145"/>
      <c r="K76" s="1146"/>
      <c r="L76" s="1706"/>
      <c r="M76" s="1145"/>
      <c r="N76" s="1145"/>
      <c r="O76" s="1145"/>
      <c r="P76" s="1708"/>
      <c r="Q76" s="44"/>
    </row>
    <row r="77" spans="1:17" s="830" customFormat="1" x14ac:dyDescent="0.35">
      <c r="A77" s="1692"/>
      <c r="B77" s="1715"/>
      <c r="C77" s="1202"/>
      <c r="D77" s="1202"/>
      <c r="E77" s="1202"/>
      <c r="F77" s="1716"/>
      <c r="G77" s="1715"/>
      <c r="H77" s="1202"/>
      <c r="I77" s="1202"/>
      <c r="J77" s="1202"/>
      <c r="K77" s="1716"/>
      <c r="L77" s="1715"/>
      <c r="M77" s="1202"/>
      <c r="N77" s="1202"/>
      <c r="O77" s="1202"/>
      <c r="P77" s="1716"/>
      <c r="Q77" s="44"/>
    </row>
    <row r="78" spans="1:17" s="830" customFormat="1" x14ac:dyDescent="0.35">
      <c r="A78" s="1723" t="s">
        <v>663</v>
      </c>
      <c r="B78" s="951">
        <f>B65+B73+B75</f>
        <v>39828.538666769731</v>
      </c>
      <c r="C78" s="952">
        <f t="shared" ref="C78:P78" si="7">C65+C73+C75</f>
        <v>244470.7594583953</v>
      </c>
      <c r="D78" s="952">
        <f t="shared" si="7"/>
        <v>546439.66773470491</v>
      </c>
      <c r="E78" s="952">
        <f t="shared" si="7"/>
        <v>724380.59395294625</v>
      </c>
      <c r="F78" s="953">
        <f t="shared" si="7"/>
        <v>888340.14756331744</v>
      </c>
      <c r="G78" s="951">
        <f t="shared" si="7"/>
        <v>0</v>
      </c>
      <c r="H78" s="952">
        <f t="shared" si="7"/>
        <v>0</v>
      </c>
      <c r="I78" s="952">
        <f t="shared" si="7"/>
        <v>0</v>
      </c>
      <c r="J78" s="952">
        <f t="shared" si="7"/>
        <v>0</v>
      </c>
      <c r="K78" s="953">
        <f t="shared" si="7"/>
        <v>0</v>
      </c>
      <c r="L78" s="951">
        <f t="shared" si="7"/>
        <v>0</v>
      </c>
      <c r="M78" s="952">
        <f t="shared" si="7"/>
        <v>0</v>
      </c>
      <c r="N78" s="952">
        <f t="shared" si="7"/>
        <v>0</v>
      </c>
      <c r="O78" s="952">
        <f t="shared" si="7"/>
        <v>0</v>
      </c>
      <c r="P78" s="953">
        <f t="shared" si="7"/>
        <v>0</v>
      </c>
      <c r="Q78" s="44"/>
    </row>
    <row r="79" spans="1:17" s="830" customFormat="1" x14ac:dyDescent="0.35">
      <c r="A79" s="1216"/>
      <c r="B79" s="951"/>
      <c r="C79" s="952"/>
      <c r="D79" s="952"/>
      <c r="E79" s="952"/>
      <c r="F79" s="953"/>
      <c r="G79" s="951"/>
      <c r="H79" s="952"/>
      <c r="I79" s="952"/>
      <c r="J79" s="952"/>
      <c r="K79" s="953"/>
      <c r="L79" s="951"/>
      <c r="M79" s="952"/>
      <c r="N79" s="952"/>
      <c r="O79" s="952"/>
      <c r="P79" s="953"/>
      <c r="Q79" s="44"/>
    </row>
    <row r="80" spans="1:17" s="830" customFormat="1" x14ac:dyDescent="0.35">
      <c r="A80" s="1723" t="s">
        <v>495</v>
      </c>
      <c r="B80" s="1718">
        <f>IF(B16=0,0,B78/B16)</f>
        <v>2.1452776664668213E-2</v>
      </c>
      <c r="C80" s="1719">
        <f t="shared" ref="C80:P80" si="8">IF(C16=0,0,C78/C16)</f>
        <v>5.2327590085848981E-2</v>
      </c>
      <c r="D80" s="1719">
        <f t="shared" si="8"/>
        <v>6.8321487996840347E-2</v>
      </c>
      <c r="E80" s="1719">
        <f t="shared" si="8"/>
        <v>7.2078038100192657E-2</v>
      </c>
      <c r="F80" s="1720">
        <f t="shared" si="8"/>
        <v>7.3981109616550161E-2</v>
      </c>
      <c r="G80" s="1718">
        <f t="shared" si="8"/>
        <v>0</v>
      </c>
      <c r="H80" s="1719">
        <f t="shared" si="8"/>
        <v>0</v>
      </c>
      <c r="I80" s="1719">
        <f t="shared" si="8"/>
        <v>0</v>
      </c>
      <c r="J80" s="1719">
        <f t="shared" si="8"/>
        <v>0</v>
      </c>
      <c r="K80" s="1720">
        <f t="shared" si="8"/>
        <v>0</v>
      </c>
      <c r="L80" s="1718">
        <f t="shared" si="8"/>
        <v>0</v>
      </c>
      <c r="M80" s="1719">
        <f t="shared" si="8"/>
        <v>0</v>
      </c>
      <c r="N80" s="1719">
        <f t="shared" si="8"/>
        <v>0</v>
      </c>
      <c r="O80" s="1719">
        <f t="shared" si="8"/>
        <v>0</v>
      </c>
      <c r="P80" s="1720">
        <f t="shared" si="8"/>
        <v>0</v>
      </c>
      <c r="Q80" s="44"/>
    </row>
    <row r="81" spans="1:17" s="1710" customFormat="1" ht="15" thickBot="1" x14ac:dyDescent="0.4">
      <c r="A81" s="1732"/>
      <c r="B81" s="1733"/>
      <c r="C81" s="1734"/>
      <c r="D81" s="1734"/>
      <c r="E81" s="1734"/>
      <c r="F81" s="1735"/>
      <c r="G81" s="1733"/>
      <c r="H81" s="1734"/>
      <c r="I81" s="1734"/>
      <c r="J81" s="1734"/>
      <c r="K81" s="1735"/>
      <c r="L81" s="1733"/>
      <c r="M81" s="1734"/>
      <c r="N81" s="1734"/>
      <c r="O81" s="1734"/>
      <c r="P81" s="1735"/>
      <c r="Q81" s="1564"/>
    </row>
    <row r="82" spans="1:17" s="255" customFormat="1" x14ac:dyDescent="0.35">
      <c r="A82" s="424"/>
      <c r="B82" s="136"/>
      <c r="C82" s="136"/>
      <c r="D82" s="136"/>
      <c r="E82" s="136"/>
      <c r="F82" s="136"/>
      <c r="G82" s="136"/>
      <c r="H82" s="136"/>
      <c r="I82" s="136"/>
      <c r="J82" s="136"/>
      <c r="K82" s="136"/>
      <c r="L82" s="136"/>
      <c r="M82" s="136"/>
      <c r="N82" s="136"/>
      <c r="O82" s="136"/>
      <c r="P82" s="425"/>
      <c r="Q82" s="1564"/>
    </row>
    <row r="83" spans="1:17" x14ac:dyDescent="0.35">
      <c r="A83" s="424"/>
      <c r="B83" s="136"/>
      <c r="C83" s="136"/>
      <c r="D83" s="136"/>
      <c r="E83" s="136"/>
      <c r="F83" s="136"/>
      <c r="G83" s="136"/>
      <c r="H83" s="136"/>
      <c r="I83" s="136"/>
      <c r="J83" s="136"/>
      <c r="K83" s="136"/>
      <c r="L83" s="136"/>
      <c r="M83" s="136"/>
      <c r="N83" s="136"/>
      <c r="O83" s="136"/>
      <c r="P83" s="425"/>
    </row>
    <row r="84" spans="1:17" s="1737" customFormat="1" ht="28.8" x14ac:dyDescent="0.55000000000000004">
      <c r="A84" s="1604" t="s">
        <v>1173</v>
      </c>
      <c r="B84" s="201"/>
      <c r="C84" s="201"/>
      <c r="D84" s="201"/>
      <c r="E84" s="201"/>
      <c r="F84" s="201"/>
      <c r="G84" s="201"/>
      <c r="H84" s="201"/>
      <c r="I84" s="819"/>
      <c r="J84" s="200"/>
      <c r="K84" s="201"/>
      <c r="L84" s="201"/>
      <c r="M84" s="201"/>
      <c r="N84" s="201"/>
      <c r="O84" s="201"/>
      <c r="P84" s="1605" t="str">
        <f>P1</f>
        <v>7.6.2 Activity Analysis</v>
      </c>
      <c r="Q84" s="1736"/>
    </row>
    <row r="85" spans="1:17" s="255" customFormat="1" x14ac:dyDescent="0.35">
      <c r="A85" s="424"/>
      <c r="B85" s="136"/>
      <c r="C85" s="136"/>
      <c r="D85" s="136"/>
      <c r="E85" s="136"/>
      <c r="F85" s="136"/>
      <c r="G85" s="136"/>
      <c r="H85" s="136"/>
      <c r="I85" s="136"/>
      <c r="J85" s="280"/>
      <c r="K85" s="136"/>
      <c r="L85" s="136"/>
      <c r="M85" s="136"/>
      <c r="N85" s="136"/>
      <c r="O85" s="136"/>
      <c r="P85" s="767"/>
      <c r="Q85" s="1709"/>
    </row>
    <row r="86" spans="1:17" s="1737" customFormat="1" ht="16.2" x14ac:dyDescent="0.35">
      <c r="A86" s="773" t="s">
        <v>1035</v>
      </c>
      <c r="B86" s="239" t="str">
        <f>'Reference sheet'!$C$12</f>
        <v>TRUCK INTERNATIONAL MOBILITY SA</v>
      </c>
      <c r="C86" s="240"/>
      <c r="D86" s="136"/>
      <c r="E86" s="136"/>
      <c r="F86" s="136"/>
      <c r="G86" s="136"/>
      <c r="H86" s="136"/>
      <c r="I86" s="136"/>
      <c r="J86" s="283" t="s">
        <v>1036</v>
      </c>
      <c r="K86" s="282">
        <f>'Reference sheet'!$C$15</f>
        <v>2</v>
      </c>
      <c r="L86" s="283" t="s">
        <v>1037</v>
      </c>
      <c r="M86" s="992" t="str">
        <f>'Reference sheet'!C$17</f>
        <v>October</v>
      </c>
      <c r="N86" s="992">
        <f>'Reference sheet'!D$17</f>
        <v>2018</v>
      </c>
      <c r="O86" s="143" t="s">
        <v>1175</v>
      </c>
      <c r="P86" s="1686" t="str">
        <f>'Reference sheet'!$C$21</f>
        <v>EUR</v>
      </c>
      <c r="Q86" s="1736"/>
    </row>
    <row r="87" spans="1:17" x14ac:dyDescent="0.35">
      <c r="A87" s="770"/>
      <c r="B87" s="136"/>
      <c r="C87" s="136"/>
      <c r="D87" s="136"/>
      <c r="E87" s="136"/>
      <c r="F87" s="136"/>
      <c r="G87" s="136"/>
      <c r="H87" s="136"/>
      <c r="I87" s="136"/>
      <c r="J87" s="136"/>
      <c r="K87" s="136"/>
      <c r="L87" s="136"/>
      <c r="M87" s="136"/>
      <c r="N87" s="136"/>
      <c r="O87" s="136"/>
      <c r="P87" s="425"/>
    </row>
    <row r="88" spans="1:17" ht="18.600000000000001" thickBot="1" x14ac:dyDescent="0.4">
      <c r="A88" s="1687"/>
      <c r="B88" s="2238" t="s">
        <v>1138</v>
      </c>
      <c r="C88" s="2239"/>
      <c r="D88" s="2239"/>
      <c r="E88" s="2239"/>
      <c r="F88" s="2240"/>
      <c r="G88" s="2238" t="s">
        <v>1147</v>
      </c>
      <c r="H88" s="2239"/>
      <c r="I88" s="2239"/>
      <c r="J88" s="2239"/>
      <c r="K88" s="2240"/>
      <c r="L88" s="2238" t="s">
        <v>197</v>
      </c>
      <c r="M88" s="2239"/>
      <c r="N88" s="2239"/>
      <c r="O88" s="2239"/>
      <c r="P88" s="2240"/>
    </row>
    <row r="89" spans="1:17" ht="18.600000000000001" thickBot="1" x14ac:dyDescent="0.4">
      <c r="A89" s="1218"/>
      <c r="B89" s="1689">
        <f>G89</f>
        <v>2019</v>
      </c>
      <c r="C89" s="1690">
        <f>H89</f>
        <v>2020</v>
      </c>
      <c r="D89" s="1690">
        <f>I89</f>
        <v>2021</v>
      </c>
      <c r="E89" s="1690">
        <f>J89</f>
        <v>2022</v>
      </c>
      <c r="F89" s="1691">
        <f>K89</f>
        <v>2023</v>
      </c>
      <c r="G89" s="1689">
        <f>B6</f>
        <v>2019</v>
      </c>
      <c r="H89" s="1690">
        <f>C6</f>
        <v>2020</v>
      </c>
      <c r="I89" s="1690">
        <f>D6</f>
        <v>2021</v>
      </c>
      <c r="J89" s="1690">
        <f>E6</f>
        <v>2022</v>
      </c>
      <c r="K89" s="1691">
        <f>F6</f>
        <v>2023</v>
      </c>
      <c r="L89" s="1689">
        <f>G89</f>
        <v>2019</v>
      </c>
      <c r="M89" s="1690">
        <f>H89</f>
        <v>2020</v>
      </c>
      <c r="N89" s="1690">
        <f>I89</f>
        <v>2021</v>
      </c>
      <c r="O89" s="1690">
        <f>J89</f>
        <v>2022</v>
      </c>
      <c r="P89" s="1691">
        <f>K89</f>
        <v>2023</v>
      </c>
    </row>
    <row r="90" spans="1:17" x14ac:dyDescent="0.35">
      <c r="A90" s="1692"/>
      <c r="B90" s="940"/>
      <c r="C90" s="941"/>
      <c r="D90" s="941"/>
      <c r="E90" s="941"/>
      <c r="F90" s="942"/>
      <c r="G90" s="940"/>
      <c r="H90" s="941"/>
      <c r="I90" s="941"/>
      <c r="J90" s="941"/>
      <c r="K90" s="942"/>
      <c r="L90" s="940"/>
      <c r="M90" s="941"/>
      <c r="N90" s="941"/>
      <c r="O90" s="941"/>
      <c r="P90" s="942"/>
    </row>
    <row r="91" spans="1:17" x14ac:dyDescent="0.35">
      <c r="A91" s="1216" t="s">
        <v>200</v>
      </c>
      <c r="B91" s="1693"/>
      <c r="C91" s="1694"/>
      <c r="D91" s="1694"/>
      <c r="E91" s="1694"/>
      <c r="F91" s="1695"/>
      <c r="G91" s="1693"/>
      <c r="H91" s="1694"/>
      <c r="I91" s="1694"/>
      <c r="J91" s="1694"/>
      <c r="K91" s="1695"/>
      <c r="L91" s="1693"/>
      <c r="M91" s="1694"/>
      <c r="N91" s="1694"/>
      <c r="O91" s="1694"/>
      <c r="P91" s="1695"/>
    </row>
    <row r="92" spans="1:17" x14ac:dyDescent="0.35">
      <c r="A92" s="1696" t="s">
        <v>201</v>
      </c>
      <c r="B92" s="1693"/>
      <c r="C92" s="1694"/>
      <c r="D92" s="1694"/>
      <c r="E92" s="1694"/>
      <c r="F92" s="1695"/>
      <c r="G92" s="1697"/>
      <c r="H92" s="1698"/>
      <c r="I92" s="1698"/>
      <c r="J92" s="1698"/>
      <c r="K92" s="1699"/>
      <c r="L92" s="1693"/>
      <c r="M92" s="1694"/>
      <c r="N92" s="1694"/>
      <c r="O92" s="1694"/>
      <c r="P92" s="1695"/>
    </row>
    <row r="93" spans="1:17" x14ac:dyDescent="0.35">
      <c r="A93" s="1696" t="s">
        <v>202</v>
      </c>
      <c r="B93" s="1697">
        <f>'7.2.2 Turnover Parts'!C17-'7.2.2 Turnover Parts'!C26</f>
        <v>149884</v>
      </c>
      <c r="C93" s="1698">
        <f ca="1">'7.2.2 Turnover Parts'!E17-'7.2.2 Turnover Parts'!E26</f>
        <v>347867.97640191647</v>
      </c>
      <c r="D93" s="1698">
        <f ca="1">'7.2.2 Turnover Parts'!G17-'7.2.2 Turnover Parts'!G26</f>
        <v>459598.00179504091</v>
      </c>
      <c r="E93" s="1698">
        <f ca="1">'7.2.2 Turnover Parts'!I17-'7.2.2 Turnover Parts'!I26</f>
        <v>640062.20919674356</v>
      </c>
      <c r="F93" s="1699">
        <f ca="1">'7.2.2 Turnover Parts'!K17-'7.2.2 Turnover Parts'!K26</f>
        <v>886794.58080437069</v>
      </c>
      <c r="G93" s="1697">
        <f>'7.2.3 Turnover Service &amp; Body'!C38</f>
        <v>18000</v>
      </c>
      <c r="H93" s="1698">
        <f>'7.2.3 Turnover Service &amp; Body'!E38</f>
        <v>40485.941739801259</v>
      </c>
      <c r="I93" s="1698">
        <f>'7.2.3 Turnover Service &amp; Body'!G38</f>
        <v>55282.035684660354</v>
      </c>
      <c r="J93" s="1698">
        <f>'7.2.3 Turnover Service &amp; Body'!I38</f>
        <v>77631.531789885077</v>
      </c>
      <c r="K93" s="1699">
        <f>'7.2.3 Turnover Service &amp; Body'!K38</f>
        <v>104841.09359900617</v>
      </c>
      <c r="L93" s="1693">
        <v>0</v>
      </c>
      <c r="M93" s="1694">
        <v>0</v>
      </c>
      <c r="N93" s="1694">
        <v>0</v>
      </c>
      <c r="O93" s="1694">
        <v>0</v>
      </c>
      <c r="P93" s="1695">
        <v>0</v>
      </c>
    </row>
    <row r="94" spans="1:17" s="781" customFormat="1" ht="18" x14ac:dyDescent="0.35">
      <c r="A94" s="1696" t="s">
        <v>203</v>
      </c>
      <c r="B94" s="1697">
        <f>'7.2.2 Turnover Parts'!C18-'7.2.2 Turnover Parts'!C27</f>
        <v>50000</v>
      </c>
      <c r="C94" s="1698">
        <f>'7.2.2 Turnover Parts'!E18-'7.2.2 Turnover Parts'!E27</f>
        <v>100000</v>
      </c>
      <c r="D94" s="1698">
        <f>'7.2.2 Turnover Parts'!G18-'7.2.2 Turnover Parts'!G27</f>
        <v>150000</v>
      </c>
      <c r="E94" s="1698">
        <f>'7.2.2 Turnover Parts'!I18-'7.2.2 Turnover Parts'!I27</f>
        <v>200000</v>
      </c>
      <c r="F94" s="1699">
        <f>'7.2.2 Turnover Parts'!K18-'7.2.2 Turnover Parts'!K27</f>
        <v>250000</v>
      </c>
      <c r="G94" s="1693">
        <f>'7.2.3 Turnover Service &amp; Body'!C41</f>
        <v>0</v>
      </c>
      <c r="H94" s="1694">
        <f>'7.2.3 Turnover Service &amp; Body'!E41</f>
        <v>6360</v>
      </c>
      <c r="I94" s="1694">
        <f>'7.2.3 Turnover Service &amp; Body'!G41</f>
        <v>13483.200000000003</v>
      </c>
      <c r="J94" s="1694">
        <f>'7.2.3 Turnover Service &amp; Body'!I41</f>
        <v>21438.288000000004</v>
      </c>
      <c r="K94" s="1695">
        <f>'7.2.3 Turnover Service &amp; Body'!K41</f>
        <v>30299.447040000006</v>
      </c>
      <c r="L94" s="1697">
        <v>0</v>
      </c>
      <c r="M94" s="1698">
        <v>0</v>
      </c>
      <c r="N94" s="1698">
        <v>0</v>
      </c>
      <c r="O94" s="1698">
        <v>0</v>
      </c>
      <c r="P94" s="1699">
        <v>0</v>
      </c>
      <c r="Q94" s="1688"/>
    </row>
    <row r="95" spans="1:17" x14ac:dyDescent="0.35">
      <c r="A95" s="1696" t="s">
        <v>204</v>
      </c>
      <c r="B95" s="1697">
        <f>'7.2.2 Turnover Parts'!C19</f>
        <v>0</v>
      </c>
      <c r="C95" s="1698">
        <f>'7.2.2 Turnover Parts'!E19</f>
        <v>13200</v>
      </c>
      <c r="D95" s="1698">
        <f>'7.2.2 Turnover Parts'!G19</f>
        <v>18200</v>
      </c>
      <c r="E95" s="1698">
        <f>'7.2.2 Turnover Parts'!I19</f>
        <v>27600</v>
      </c>
      <c r="F95" s="1699">
        <f>'7.2.2 Turnover Parts'!K19</f>
        <v>32200</v>
      </c>
      <c r="G95" s="1693">
        <v>0</v>
      </c>
      <c r="H95" s="1694">
        <v>0</v>
      </c>
      <c r="I95" s="1694">
        <v>0</v>
      </c>
      <c r="J95" s="1694">
        <v>0</v>
      </c>
      <c r="K95" s="1695">
        <v>0</v>
      </c>
      <c r="L95" s="1697">
        <v>0</v>
      </c>
      <c r="M95" s="1698">
        <v>0</v>
      </c>
      <c r="N95" s="1698">
        <v>0</v>
      </c>
      <c r="O95" s="1698">
        <v>0</v>
      </c>
      <c r="P95" s="1699">
        <v>0</v>
      </c>
    </row>
    <row r="96" spans="1:17" x14ac:dyDescent="0.35">
      <c r="A96" s="1696" t="s">
        <v>205</v>
      </c>
      <c r="B96" s="1697">
        <f>'7.2.2 Turnover Parts'!C20</f>
        <v>13858.604809455563</v>
      </c>
      <c r="C96" s="1698">
        <f>'7.2.2 Turnover Parts'!E20</f>
        <v>36237.19079605263</v>
      </c>
      <c r="D96" s="1698">
        <f>'7.2.2 Turnover Parts'!G20</f>
        <v>54853.585549342119</v>
      </c>
      <c r="E96" s="1698">
        <f>'7.2.2 Turnover Parts'!I20</f>
        <v>77881.343447368417</v>
      </c>
      <c r="F96" s="1699">
        <f>'7.2.2 Turnover Parts'!K20</f>
        <v>102840.14063486841</v>
      </c>
      <c r="G96" s="1697">
        <v>0</v>
      </c>
      <c r="H96" s="1698">
        <v>0</v>
      </c>
      <c r="I96" s="1698">
        <v>0</v>
      </c>
      <c r="J96" s="1698">
        <v>0</v>
      </c>
      <c r="K96" s="1699">
        <v>0</v>
      </c>
      <c r="L96" s="1693">
        <v>0</v>
      </c>
      <c r="M96" s="1694">
        <v>0</v>
      </c>
      <c r="N96" s="1694">
        <v>0</v>
      </c>
      <c r="O96" s="1694">
        <v>0</v>
      </c>
      <c r="P96" s="1695">
        <v>0</v>
      </c>
    </row>
    <row r="97" spans="1:16" x14ac:dyDescent="0.35">
      <c r="A97" s="1696" t="s">
        <v>53</v>
      </c>
      <c r="B97" s="1697">
        <v>0</v>
      </c>
      <c r="C97" s="1698">
        <v>0</v>
      </c>
      <c r="D97" s="1698">
        <v>0</v>
      </c>
      <c r="E97" s="1698">
        <v>0</v>
      </c>
      <c r="F97" s="1699">
        <v>0</v>
      </c>
      <c r="G97" s="1697">
        <f>'7.2.3 Turnover Service &amp; Body'!C52</f>
        <v>3000</v>
      </c>
      <c r="H97" s="1698">
        <f>'7.2.3 Turnover Service &amp; Body'!E52</f>
        <v>5000</v>
      </c>
      <c r="I97" s="1698">
        <f>'7.2.3 Turnover Service &amp; Body'!G52</f>
        <v>8000</v>
      </c>
      <c r="J97" s="1698">
        <f>'7.2.3 Turnover Service &amp; Body'!I52</f>
        <v>12000</v>
      </c>
      <c r="K97" s="1699">
        <f>'7.2.3 Turnover Service &amp; Body'!K52</f>
        <v>16000</v>
      </c>
      <c r="L97" s="1693">
        <v>0</v>
      </c>
      <c r="M97" s="1694">
        <v>0</v>
      </c>
      <c r="N97" s="1694">
        <v>0</v>
      </c>
      <c r="O97" s="1694">
        <v>0</v>
      </c>
      <c r="P97" s="1695">
        <v>0</v>
      </c>
    </row>
    <row r="98" spans="1:16" x14ac:dyDescent="0.35">
      <c r="A98" s="1696" t="s">
        <v>206</v>
      </c>
      <c r="B98" s="1700">
        <f>'7.2.2 Turnover Parts'!C28</f>
        <v>116</v>
      </c>
      <c r="C98" s="1701">
        <f>'7.2.2 Turnover Parts'!E28</f>
        <v>292</v>
      </c>
      <c r="D98" s="1701">
        <f>'7.2.2 Turnover Parts'!G28</f>
        <v>500</v>
      </c>
      <c r="E98" s="1701">
        <f>'7.2.2 Turnover Parts'!I28</f>
        <v>616</v>
      </c>
      <c r="F98" s="1702">
        <f>'7.2.2 Turnover Parts'!K28</f>
        <v>736</v>
      </c>
      <c r="G98" s="1700">
        <f>'7.2.3 Turnover Service &amp; Body'!C39+'7.2.3 Turnover Service &amp; Body'!C40</f>
        <v>0</v>
      </c>
      <c r="H98" s="1701">
        <f>'7.2.3 Turnover Service &amp; Body'!E39+'7.2.3 Turnover Service &amp; Body'!E40</f>
        <v>0</v>
      </c>
      <c r="I98" s="1701">
        <f>'7.2.3 Turnover Service &amp; Body'!G39+'7.2.3 Turnover Service &amp; Body'!G40</f>
        <v>0</v>
      </c>
      <c r="J98" s="1701">
        <f>'7.2.3 Turnover Service &amp; Body'!I39+'7.2.3 Turnover Service &amp; Body'!I40</f>
        <v>0</v>
      </c>
      <c r="K98" s="1702">
        <f>'7.2.3 Turnover Service &amp; Body'!K39+'7.2.3 Turnover Service &amp; Body'!K40</f>
        <v>0</v>
      </c>
      <c r="L98" s="1703">
        <v>0</v>
      </c>
      <c r="M98" s="1704">
        <v>0</v>
      </c>
      <c r="N98" s="1704">
        <v>0</v>
      </c>
      <c r="O98" s="1704">
        <v>0</v>
      </c>
      <c r="P98" s="1705">
        <v>0</v>
      </c>
    </row>
    <row r="99" spans="1:16" x14ac:dyDescent="0.35">
      <c r="A99" s="1216" t="s">
        <v>207</v>
      </c>
      <c r="B99" s="1706">
        <f t="shared" ref="B99:K99" si="9">SUM(B93:B98)</f>
        <v>213858.60480945557</v>
      </c>
      <c r="C99" s="1707">
        <f t="shared" ca="1" si="9"/>
        <v>497597.1671979691</v>
      </c>
      <c r="D99" s="1707">
        <f t="shared" ca="1" si="9"/>
        <v>683151.58734438301</v>
      </c>
      <c r="E99" s="1707">
        <f t="shared" ca="1" si="9"/>
        <v>946159.55264411191</v>
      </c>
      <c r="F99" s="1708">
        <f t="shared" ca="1" si="9"/>
        <v>1272570.7214392391</v>
      </c>
      <c r="G99" s="1706">
        <f t="shared" si="9"/>
        <v>21000</v>
      </c>
      <c r="H99" s="1707">
        <f t="shared" si="9"/>
        <v>51845.941739801259</v>
      </c>
      <c r="I99" s="1707">
        <f t="shared" si="9"/>
        <v>76765.235684660351</v>
      </c>
      <c r="J99" s="1707">
        <f t="shared" si="9"/>
        <v>111069.81978988508</v>
      </c>
      <c r="K99" s="1708">
        <f t="shared" si="9"/>
        <v>151140.54063900618</v>
      </c>
      <c r="L99" s="1706">
        <v>0</v>
      </c>
      <c r="M99" s="1707">
        <v>0</v>
      </c>
      <c r="N99" s="1707">
        <v>0</v>
      </c>
      <c r="O99" s="1707">
        <v>0</v>
      </c>
      <c r="P99" s="1708">
        <v>0</v>
      </c>
    </row>
    <row r="100" spans="1:16" x14ac:dyDescent="0.35">
      <c r="A100" s="1711"/>
      <c r="B100" s="1712"/>
      <c r="C100" s="1713"/>
      <c r="D100" s="1713"/>
      <c r="E100" s="1713"/>
      <c r="F100" s="1714"/>
      <c r="G100" s="1712"/>
      <c r="H100" s="1713"/>
      <c r="I100" s="1713"/>
      <c r="J100" s="1713"/>
      <c r="K100" s="1714"/>
      <c r="L100" s="1712"/>
      <c r="M100" s="1713"/>
      <c r="N100" s="1713"/>
      <c r="O100" s="1713"/>
      <c r="P100" s="1714"/>
    </row>
    <row r="101" spans="1:16" x14ac:dyDescent="0.35">
      <c r="A101" s="1692"/>
      <c r="B101" s="1715"/>
      <c r="C101" s="1202"/>
      <c r="D101" s="1202"/>
      <c r="E101" s="1202"/>
      <c r="F101" s="1716"/>
      <c r="G101" s="1715"/>
      <c r="H101" s="1202"/>
      <c r="I101" s="1202"/>
      <c r="J101" s="1202"/>
      <c r="K101" s="1716"/>
      <c r="L101" s="1715"/>
      <c r="M101" s="1202"/>
      <c r="N101" s="1202"/>
      <c r="O101" s="1202"/>
      <c r="P101" s="1716"/>
    </row>
    <row r="102" spans="1:16" x14ac:dyDescent="0.35">
      <c r="A102" s="1216" t="s">
        <v>208</v>
      </c>
      <c r="B102" s="1693"/>
      <c r="C102" s="1694"/>
      <c r="D102" s="1694"/>
      <c r="E102" s="1694"/>
      <c r="F102" s="1695"/>
      <c r="G102" s="1693"/>
      <c r="H102" s="1694"/>
      <c r="I102" s="1694"/>
      <c r="J102" s="1694"/>
      <c r="K102" s="1695"/>
      <c r="L102" s="1693"/>
      <c r="M102" s="1694"/>
      <c r="N102" s="1694"/>
      <c r="O102" s="1694"/>
      <c r="P102" s="1695"/>
    </row>
    <row r="103" spans="1:16" x14ac:dyDescent="0.35">
      <c r="A103" s="1696" t="s">
        <v>201</v>
      </c>
      <c r="B103" s="1693"/>
      <c r="C103" s="1694"/>
      <c r="D103" s="1694"/>
      <c r="E103" s="1694"/>
      <c r="F103" s="1695"/>
      <c r="G103" s="1693"/>
      <c r="H103" s="1694"/>
      <c r="I103" s="1694"/>
      <c r="J103" s="1694"/>
      <c r="K103" s="1695"/>
      <c r="L103" s="1693"/>
      <c r="M103" s="1694"/>
      <c r="N103" s="1694"/>
      <c r="O103" s="1694"/>
      <c r="P103" s="1695"/>
    </row>
    <row r="104" spans="1:16" x14ac:dyDescent="0.35">
      <c r="A104" s="1696" t="s">
        <v>202</v>
      </c>
      <c r="B104" s="1697">
        <f>'7.3 Cost of sales'!C76+'7.3 Cost of sales'!C78+'7.3 Cost of sales'!C80+'7.3 Cost of sales'!C81</f>
        <v>100130.8</v>
      </c>
      <c r="C104" s="1698">
        <f ca="1">'7.3 Cost of sales'!E76+'7.3 Cost of sales'!E78+'7.3 Cost of sales'!E80+'7.3 Cost of sales'!E81</f>
        <v>233281.78418928405</v>
      </c>
      <c r="D104" s="1698">
        <f ca="1">'7.3 Cost of sales'!G76+'7.3 Cost of sales'!G78+'7.3 Cost of sales'!G80+'7.3 Cost of sales'!G81</f>
        <v>310591.15121165261</v>
      </c>
      <c r="E104" s="1698">
        <f ca="1">'7.3 Cost of sales'!I76+'7.3 Cost of sales'!I78+'7.3 Cost of sales'!I80+'7.3 Cost of sales'!I81</f>
        <v>435691.98225378565</v>
      </c>
      <c r="F104" s="1699">
        <f ca="1">'7.3 Cost of sales'!K76+'7.3 Cost of sales'!K78+'7.3 Cost of sales'!K80+'7.3 Cost of sales'!K81</f>
        <v>607995.24785099388</v>
      </c>
      <c r="G104" s="1697">
        <v>0</v>
      </c>
      <c r="H104" s="1698">
        <v>0</v>
      </c>
      <c r="I104" s="1698">
        <v>0</v>
      </c>
      <c r="J104" s="1698">
        <v>0</v>
      </c>
      <c r="K104" s="1699">
        <v>0</v>
      </c>
      <c r="L104" s="1693">
        <v>0</v>
      </c>
      <c r="M104" s="1694">
        <v>0</v>
      </c>
      <c r="N104" s="1694">
        <v>0</v>
      </c>
      <c r="O104" s="1694">
        <v>0</v>
      </c>
      <c r="P104" s="1695">
        <v>0</v>
      </c>
    </row>
    <row r="105" spans="1:16" x14ac:dyDescent="0.35">
      <c r="A105" s="1696" t="s">
        <v>203</v>
      </c>
      <c r="B105" s="1697">
        <f>'7.3 Cost of sales'!C77+'7.3 Cost of sales'!C79+'7.3 Cost of sales'!C82</f>
        <v>49250</v>
      </c>
      <c r="C105" s="1698">
        <f>'7.3 Cost of sales'!E77+'7.3 Cost of sales'!E79+'7.3 Cost of sales'!E82</f>
        <v>97000</v>
      </c>
      <c r="D105" s="1698">
        <f>'7.3 Cost of sales'!G77+'7.3 Cost of sales'!G79+'7.3 Cost of sales'!G82</f>
        <v>145500</v>
      </c>
      <c r="E105" s="1698">
        <f>'7.3 Cost of sales'!I77+'7.3 Cost of sales'!I79+'7.3 Cost of sales'!I82</f>
        <v>191000</v>
      </c>
      <c r="F105" s="1699">
        <f>'7.3 Cost of sales'!K77+'7.3 Cost of sales'!K79+'7.3 Cost of sales'!K82</f>
        <v>238750</v>
      </c>
      <c r="G105" s="1693">
        <v>0</v>
      </c>
      <c r="H105" s="1694">
        <v>0</v>
      </c>
      <c r="I105" s="1694">
        <v>0</v>
      </c>
      <c r="J105" s="1694">
        <v>0</v>
      </c>
      <c r="K105" s="1695">
        <v>0</v>
      </c>
      <c r="L105" s="1697">
        <v>0</v>
      </c>
      <c r="M105" s="1698">
        <v>0</v>
      </c>
      <c r="N105" s="1698">
        <v>0</v>
      </c>
      <c r="O105" s="1698">
        <v>0</v>
      </c>
      <c r="P105" s="1699">
        <v>0</v>
      </c>
    </row>
    <row r="106" spans="1:16" x14ac:dyDescent="0.35">
      <c r="A106" s="1696" t="s">
        <v>204</v>
      </c>
      <c r="B106" s="1697">
        <f>'7.3 Cost of sales'!C83</f>
        <v>0</v>
      </c>
      <c r="C106" s="1698">
        <f>'7.3 Cost of sales'!E83</f>
        <v>10560</v>
      </c>
      <c r="D106" s="1698">
        <f>'7.3 Cost of sales'!G83</f>
        <v>14560</v>
      </c>
      <c r="E106" s="1698">
        <f>'7.3 Cost of sales'!I83</f>
        <v>22080</v>
      </c>
      <c r="F106" s="1699">
        <f>'7.3 Cost of sales'!K83</f>
        <v>25760</v>
      </c>
      <c r="G106" s="1693">
        <v>0</v>
      </c>
      <c r="H106" s="1694">
        <v>0</v>
      </c>
      <c r="I106" s="1694">
        <v>0</v>
      </c>
      <c r="J106" s="1694">
        <v>0</v>
      </c>
      <c r="K106" s="1695">
        <v>0</v>
      </c>
      <c r="L106" s="1697">
        <v>0</v>
      </c>
      <c r="M106" s="1698">
        <v>0</v>
      </c>
      <c r="N106" s="1698">
        <v>0</v>
      </c>
      <c r="O106" s="1698">
        <v>0</v>
      </c>
      <c r="P106" s="1699">
        <v>0</v>
      </c>
    </row>
    <row r="107" spans="1:16" x14ac:dyDescent="0.35">
      <c r="A107" s="1696" t="s">
        <v>205</v>
      </c>
      <c r="B107" s="1697">
        <f>'7.3 Cost of sales'!C84</f>
        <v>8315.1628856733369</v>
      </c>
      <c r="C107" s="1698">
        <f>'7.3 Cost of sales'!E84</f>
        <v>21742.314477631578</v>
      </c>
      <c r="D107" s="1698">
        <f>'7.3 Cost of sales'!G84</f>
        <v>32912.151329605273</v>
      </c>
      <c r="E107" s="1698">
        <f>'7.3 Cost of sales'!I84</f>
        <v>46728.80606842105</v>
      </c>
      <c r="F107" s="1699">
        <f>'7.3 Cost of sales'!K84</f>
        <v>61704.084380921042</v>
      </c>
      <c r="G107" s="1693">
        <v>0</v>
      </c>
      <c r="H107" s="1694">
        <v>0</v>
      </c>
      <c r="I107" s="1694">
        <v>0</v>
      </c>
      <c r="J107" s="1694">
        <v>0</v>
      </c>
      <c r="K107" s="1695">
        <v>0</v>
      </c>
      <c r="L107" s="1693">
        <v>0</v>
      </c>
      <c r="M107" s="1694">
        <v>0</v>
      </c>
      <c r="N107" s="1694">
        <v>0</v>
      </c>
      <c r="O107" s="1694">
        <v>0</v>
      </c>
      <c r="P107" s="1695">
        <v>0</v>
      </c>
    </row>
    <row r="108" spans="1:16" x14ac:dyDescent="0.35">
      <c r="A108" s="1696" t="s">
        <v>209</v>
      </c>
      <c r="B108" s="1697">
        <v>0</v>
      </c>
      <c r="C108" s="1698">
        <v>0</v>
      </c>
      <c r="D108" s="1698">
        <v>0</v>
      </c>
      <c r="E108" s="1698">
        <v>0</v>
      </c>
      <c r="F108" s="1699">
        <v>0</v>
      </c>
      <c r="G108" s="1693">
        <f>'7.2.3 Turnover Service &amp; Body'!C59*('7.4.1 Salaries &amp; Wages'!C105+'7.4.1 Salaries &amp; Wages'!C114)</f>
        <v>2949.3809999999999</v>
      </c>
      <c r="H108" s="1698">
        <f>'7.2.3 Turnover Service &amp; Body'!E59*('7.4.1 Salaries &amp; Wages'!E105+'7.4.1 Salaries &amp; Wages'!E114)</f>
        <v>6252.687719999999</v>
      </c>
      <c r="I108" s="1694">
        <f>'7.2.3 Turnover Service &amp; Body'!G59*('7.4.1 Salaries &amp; Wages'!G105+'7.4.1 Salaries &amp; Wages'!G114)</f>
        <v>9941.7734748000003</v>
      </c>
      <c r="J108" s="1698">
        <f>'7.2.3 Turnover Service &amp; Body'!I59*('7.4.1 Salaries &amp; Wages'!I105+'7.4.1 Salaries &amp; Wages'!I114)</f>
        <v>17563.799805480001</v>
      </c>
      <c r="K108" s="1699">
        <f>'7.2.3 Turnover Service &amp; Body'!K59*('7.4.1 Salaries &amp; Wages'!K105+'7.4.1 Salaries &amp; Wages'!K114)</f>
        <v>29788.204470094082</v>
      </c>
      <c r="L108" s="1693">
        <v>0</v>
      </c>
      <c r="M108" s="1698">
        <v>0</v>
      </c>
      <c r="N108" s="1698">
        <v>0</v>
      </c>
      <c r="O108" s="1698">
        <v>0</v>
      </c>
      <c r="P108" s="1699">
        <v>0</v>
      </c>
    </row>
    <row r="109" spans="1:16" x14ac:dyDescent="0.35">
      <c r="A109" s="1696" t="s">
        <v>210</v>
      </c>
      <c r="B109" s="1697">
        <f>-'7.3 Cost of sales'!C93</f>
        <v>0</v>
      </c>
      <c r="C109" s="1698">
        <f ca="1">-'7.3 Cost of sales'!E93</f>
        <v>0</v>
      </c>
      <c r="D109" s="1698">
        <f ca="1">-'7.3 Cost of sales'!G93</f>
        <v>0</v>
      </c>
      <c r="E109" s="1698">
        <f ca="1">-'7.3 Cost of sales'!I93</f>
        <v>0</v>
      </c>
      <c r="F109" s="1699">
        <f ca="1">-'7.3 Cost of sales'!K93</f>
        <v>0</v>
      </c>
      <c r="G109" s="1697">
        <v>0</v>
      </c>
      <c r="H109" s="1698">
        <v>0</v>
      </c>
      <c r="I109" s="1698">
        <v>0</v>
      </c>
      <c r="J109" s="1698">
        <v>0</v>
      </c>
      <c r="K109" s="1699">
        <v>0</v>
      </c>
      <c r="L109" s="1697">
        <v>0</v>
      </c>
      <c r="M109" s="1698">
        <v>0</v>
      </c>
      <c r="N109" s="1698">
        <v>0</v>
      </c>
      <c r="O109" s="1698">
        <v>0</v>
      </c>
      <c r="P109" s="1699">
        <v>0</v>
      </c>
    </row>
    <row r="110" spans="1:16" x14ac:dyDescent="0.35">
      <c r="A110" s="1696" t="s">
        <v>53</v>
      </c>
      <c r="B110" s="1697">
        <v>0</v>
      </c>
      <c r="C110" s="1698">
        <v>0</v>
      </c>
      <c r="D110" s="1698">
        <v>0</v>
      </c>
      <c r="E110" s="1698">
        <v>0</v>
      </c>
      <c r="F110" s="1699">
        <v>0</v>
      </c>
      <c r="G110" s="1697">
        <f>'7.3 Cost of sales'!C102</f>
        <v>2250</v>
      </c>
      <c r="H110" s="1698">
        <f>'7.3 Cost of sales'!E102</f>
        <v>3750</v>
      </c>
      <c r="I110" s="1698">
        <f>'7.3 Cost of sales'!G102</f>
        <v>6000</v>
      </c>
      <c r="J110" s="1698">
        <f>'7.3 Cost of sales'!I102</f>
        <v>9000</v>
      </c>
      <c r="K110" s="1699">
        <f>'7.3 Cost of sales'!K102</f>
        <v>12000</v>
      </c>
      <c r="L110" s="1697">
        <v>0</v>
      </c>
      <c r="M110" s="1698">
        <v>0</v>
      </c>
      <c r="N110" s="1698">
        <v>0</v>
      </c>
      <c r="O110" s="1698">
        <v>0</v>
      </c>
      <c r="P110" s="1699">
        <v>0</v>
      </c>
    </row>
    <row r="111" spans="1:16" x14ac:dyDescent="0.35">
      <c r="A111" s="1696" t="s">
        <v>206</v>
      </c>
      <c r="B111" s="1700">
        <v>0</v>
      </c>
      <c r="C111" s="1701">
        <v>0</v>
      </c>
      <c r="D111" s="1701">
        <v>0</v>
      </c>
      <c r="E111" s="1701">
        <v>0</v>
      </c>
      <c r="F111" s="1702">
        <v>0</v>
      </c>
      <c r="G111" s="1700">
        <v>0</v>
      </c>
      <c r="H111" s="1701">
        <v>0</v>
      </c>
      <c r="I111" s="1701">
        <v>0</v>
      </c>
      <c r="J111" s="1701">
        <v>0</v>
      </c>
      <c r="K111" s="1702">
        <v>0</v>
      </c>
      <c r="L111" s="1703">
        <v>0</v>
      </c>
      <c r="M111" s="1704">
        <v>0</v>
      </c>
      <c r="N111" s="1704">
        <v>0</v>
      </c>
      <c r="O111" s="1704">
        <v>0</v>
      </c>
      <c r="P111" s="1705">
        <v>0</v>
      </c>
    </row>
    <row r="112" spans="1:16" x14ac:dyDescent="0.35">
      <c r="A112" s="1216" t="s">
        <v>211</v>
      </c>
      <c r="B112" s="1706">
        <f t="shared" ref="B112:K112" si="10">SUM(B104:B111)</f>
        <v>157695.96288567333</v>
      </c>
      <c r="C112" s="1707">
        <f t="shared" ca="1" si="10"/>
        <v>362584.09866691567</v>
      </c>
      <c r="D112" s="1707">
        <f t="shared" ca="1" si="10"/>
        <v>503563.30254125787</v>
      </c>
      <c r="E112" s="1707">
        <f t="shared" ca="1" si="10"/>
        <v>695500.78832220682</v>
      </c>
      <c r="F112" s="1708">
        <f t="shared" ca="1" si="10"/>
        <v>934209.33223191497</v>
      </c>
      <c r="G112" s="1706">
        <f t="shared" si="10"/>
        <v>5199.3809999999994</v>
      </c>
      <c r="H112" s="1707">
        <f t="shared" si="10"/>
        <v>10002.687719999998</v>
      </c>
      <c r="I112" s="1707">
        <f t="shared" si="10"/>
        <v>15941.7734748</v>
      </c>
      <c r="J112" s="1707">
        <f t="shared" si="10"/>
        <v>26563.799805480001</v>
      </c>
      <c r="K112" s="1708">
        <f t="shared" si="10"/>
        <v>41788.204470094082</v>
      </c>
      <c r="L112" s="1706">
        <v>0</v>
      </c>
      <c r="M112" s="1707">
        <v>0</v>
      </c>
      <c r="N112" s="1707">
        <v>0</v>
      </c>
      <c r="O112" s="1707">
        <v>0</v>
      </c>
      <c r="P112" s="1708">
        <v>0</v>
      </c>
    </row>
    <row r="113" spans="1:17" x14ac:dyDescent="0.35">
      <c r="A113" s="1711"/>
      <c r="B113" s="1712"/>
      <c r="C113" s="1713"/>
      <c r="D113" s="1713"/>
      <c r="E113" s="1713"/>
      <c r="F113" s="1714"/>
      <c r="G113" s="1712"/>
      <c r="H113" s="1713"/>
      <c r="I113" s="1713"/>
      <c r="J113" s="1713"/>
      <c r="K113" s="1714"/>
      <c r="L113" s="1712"/>
      <c r="M113" s="1713"/>
      <c r="N113" s="1713"/>
      <c r="O113" s="1713"/>
      <c r="P113" s="1714"/>
    </row>
    <row r="114" spans="1:17" x14ac:dyDescent="0.35">
      <c r="A114" s="1692"/>
      <c r="B114" s="1715"/>
      <c r="C114" s="1202"/>
      <c r="D114" s="1202"/>
      <c r="E114" s="1202"/>
      <c r="F114" s="1716"/>
      <c r="G114" s="1715"/>
      <c r="H114" s="1202"/>
      <c r="I114" s="1202"/>
      <c r="J114" s="1202"/>
      <c r="K114" s="1716"/>
      <c r="L114" s="1715"/>
      <c r="M114" s="1202"/>
      <c r="N114" s="1202"/>
      <c r="O114" s="1202"/>
      <c r="P114" s="1716"/>
    </row>
    <row r="115" spans="1:17" x14ac:dyDescent="0.35">
      <c r="A115" s="1216" t="s">
        <v>212</v>
      </c>
      <c r="B115" s="1706">
        <f t="shared" ref="B115:K115" si="11">B99-B112</f>
        <v>56162.641923782241</v>
      </c>
      <c r="C115" s="1707">
        <f t="shared" ca="1" si="11"/>
        <v>135013.06853105343</v>
      </c>
      <c r="D115" s="1707">
        <f t="shared" ca="1" si="11"/>
        <v>179588.28480312513</v>
      </c>
      <c r="E115" s="1707">
        <f t="shared" ca="1" si="11"/>
        <v>250658.7643219051</v>
      </c>
      <c r="F115" s="1708">
        <f t="shared" ca="1" si="11"/>
        <v>338361.38920732413</v>
      </c>
      <c r="G115" s="1706">
        <f t="shared" si="11"/>
        <v>15800.619000000001</v>
      </c>
      <c r="H115" s="1707">
        <f t="shared" si="11"/>
        <v>41843.254019801258</v>
      </c>
      <c r="I115" s="1707">
        <f t="shared" si="11"/>
        <v>60823.46220986035</v>
      </c>
      <c r="J115" s="1707">
        <f t="shared" si="11"/>
        <v>84506.01998440508</v>
      </c>
      <c r="K115" s="1708">
        <f t="shared" si="11"/>
        <v>109352.33616891209</v>
      </c>
      <c r="L115" s="1706">
        <v>0</v>
      </c>
      <c r="M115" s="1707">
        <v>0</v>
      </c>
      <c r="N115" s="1707">
        <v>0</v>
      </c>
      <c r="O115" s="1707">
        <v>0</v>
      </c>
      <c r="P115" s="1708">
        <v>0</v>
      </c>
    </row>
    <row r="116" spans="1:17" x14ac:dyDescent="0.35">
      <c r="A116" s="1216"/>
      <c r="B116" s="1706"/>
      <c r="C116" s="1707"/>
      <c r="D116" s="1707"/>
      <c r="E116" s="1707"/>
      <c r="F116" s="1708"/>
      <c r="G116" s="1706"/>
      <c r="H116" s="1707"/>
      <c r="I116" s="1707"/>
      <c r="J116" s="1707"/>
      <c r="K116" s="1708"/>
      <c r="L116" s="1706"/>
      <c r="M116" s="1707"/>
      <c r="N116" s="1707"/>
      <c r="O116" s="1707"/>
      <c r="P116" s="1708"/>
    </row>
    <row r="117" spans="1:17" x14ac:dyDescent="0.35">
      <c r="A117" s="1717" t="s">
        <v>495</v>
      </c>
      <c r="B117" s="1718">
        <f>IF(B99=0,0,B115/B99)</f>
        <v>0.2626157688339088</v>
      </c>
      <c r="C117" s="1719">
        <f t="shared" ref="C117:P117" ca="1" si="12">IF(C99=0,0,C115/C99)</f>
        <v>0.27133005859203063</v>
      </c>
      <c r="D117" s="1719">
        <f t="shared" ca="1" si="12"/>
        <v>0.26288204277068161</v>
      </c>
      <c r="E117" s="1719">
        <f t="shared" ca="1" si="12"/>
        <v>0.26492229943820877</v>
      </c>
      <c r="F117" s="1720">
        <f t="shared" ca="1" si="12"/>
        <v>0.26588808268718267</v>
      </c>
      <c r="G117" s="1718">
        <f t="shared" si="12"/>
        <v>0.75241042857142859</v>
      </c>
      <c r="H117" s="1719">
        <f t="shared" si="12"/>
        <v>0.80706903212983583</v>
      </c>
      <c r="I117" s="1719">
        <f t="shared" si="12"/>
        <v>0.79233082094235563</v>
      </c>
      <c r="J117" s="1719">
        <f t="shared" si="12"/>
        <v>0.76083692351593146</v>
      </c>
      <c r="K117" s="1720">
        <f t="shared" si="12"/>
        <v>0.72351425836232963</v>
      </c>
      <c r="L117" s="1718">
        <f t="shared" si="12"/>
        <v>0</v>
      </c>
      <c r="M117" s="1719">
        <f t="shared" si="12"/>
        <v>0</v>
      </c>
      <c r="N117" s="1719">
        <f t="shared" si="12"/>
        <v>0</v>
      </c>
      <c r="O117" s="1719">
        <f t="shared" si="12"/>
        <v>0</v>
      </c>
      <c r="P117" s="1720">
        <f t="shared" si="12"/>
        <v>0</v>
      </c>
    </row>
    <row r="118" spans="1:17" x14ac:dyDescent="0.35">
      <c r="A118" s="1711"/>
      <c r="B118" s="1712"/>
      <c r="C118" s="1713"/>
      <c r="D118" s="1713"/>
      <c r="E118" s="1713"/>
      <c r="F118" s="1714"/>
      <c r="G118" s="1712"/>
      <c r="H118" s="1713"/>
      <c r="I118" s="1713"/>
      <c r="J118" s="1713"/>
      <c r="K118" s="1714"/>
      <c r="L118" s="1712"/>
      <c r="M118" s="1713"/>
      <c r="N118" s="1713"/>
      <c r="O118" s="1713"/>
      <c r="P118" s="1714"/>
    </row>
    <row r="119" spans="1:17" x14ac:dyDescent="0.35">
      <c r="A119" s="1692"/>
      <c r="B119" s="1715"/>
      <c r="C119" s="1202"/>
      <c r="D119" s="1202"/>
      <c r="E119" s="1202"/>
      <c r="F119" s="1716"/>
      <c r="G119" s="1715"/>
      <c r="H119" s="1202"/>
      <c r="I119" s="1202"/>
      <c r="J119" s="1202"/>
      <c r="K119" s="1716"/>
      <c r="L119" s="1715"/>
      <c r="M119" s="1202"/>
      <c r="N119" s="1202"/>
      <c r="O119" s="1202"/>
      <c r="P119" s="1716"/>
    </row>
    <row r="120" spans="1:17" s="255" customFormat="1" x14ac:dyDescent="0.35">
      <c r="A120" s="1723" t="s">
        <v>664</v>
      </c>
      <c r="B120" s="1706">
        <f>('7.4.2 Selling &amp; Oper. expenses'!C9*'7.4.2 Selling &amp; Oper. expenses'!$H$63)</f>
        <v>0</v>
      </c>
      <c r="C120" s="1707">
        <f>('7.4.2 Selling &amp; Oper. expenses'!E9*'7.4.2 Selling &amp; Oper. expenses'!$H$63)</f>
        <v>0</v>
      </c>
      <c r="D120" s="1707">
        <f>('7.4.2 Selling &amp; Oper. expenses'!G9*'7.4.2 Selling &amp; Oper. expenses'!$H$63)</f>
        <v>0</v>
      </c>
      <c r="E120" s="1707">
        <f>('7.4.2 Selling &amp; Oper. expenses'!I9*'7.4.2 Selling &amp; Oper. expenses'!$H$63)</f>
        <v>0</v>
      </c>
      <c r="F120" s="1708">
        <f>('7.4.2 Selling &amp; Oper. expenses'!K9*'7.4.2 Selling &amp; Oper. expenses'!$H$63)</f>
        <v>0</v>
      </c>
      <c r="G120" s="1706">
        <f>('7.4.2 Selling &amp; Oper. expenses'!C9*'7.4.2 Selling &amp; Oper. expenses'!$I$63)</f>
        <v>0</v>
      </c>
      <c r="H120" s="1707">
        <f>('7.4.2 Selling &amp; Oper. expenses'!E9*'7.4.2 Selling &amp; Oper. expenses'!$I$63)</f>
        <v>0</v>
      </c>
      <c r="I120" s="1707">
        <f>('7.4.2 Selling &amp; Oper. expenses'!G9*'7.4.2 Selling &amp; Oper. expenses'!$I$63)</f>
        <v>0</v>
      </c>
      <c r="J120" s="1707">
        <f>('7.4.2 Selling &amp; Oper. expenses'!I9*'7.4.2 Selling &amp; Oper. expenses'!$I$63)</f>
        <v>0</v>
      </c>
      <c r="K120" s="1708">
        <f>('7.4.2 Selling &amp; Oper. expenses'!K9*'7.4.2 Selling &amp; Oper. expenses'!$I$63)</f>
        <v>0</v>
      </c>
      <c r="L120" s="951">
        <f>'7.4.2 Selling &amp; Oper. expenses'!C9*'7.4.2 Selling &amp; Oper. expenses'!$J$63</f>
        <v>0</v>
      </c>
      <c r="M120" s="951">
        <f>'7.4.2 Selling &amp; Oper. expenses'!E9*'7.4.2 Selling &amp; Oper. expenses'!$J$63</f>
        <v>0</v>
      </c>
      <c r="N120" s="951">
        <f>'7.4.2 Selling &amp; Oper. expenses'!G9*'7.4.2 Selling &amp; Oper. expenses'!$J$63</f>
        <v>0</v>
      </c>
      <c r="O120" s="951">
        <f>'7.4.2 Selling &amp; Oper. expenses'!I9*'7.4.2 Selling &amp; Oper. expenses'!$J$63</f>
        <v>0</v>
      </c>
      <c r="P120" s="968">
        <f>'7.4.2 Selling &amp; Oper. expenses'!K9*'7.4.2 Selling &amp; Oper. expenses'!$J$63</f>
        <v>0</v>
      </c>
      <c r="Q120" s="1564"/>
    </row>
    <row r="121" spans="1:17" x14ac:dyDescent="0.35">
      <c r="A121" s="1727"/>
      <c r="B121" s="944"/>
      <c r="C121" s="945"/>
      <c r="D121" s="945"/>
      <c r="E121" s="945"/>
      <c r="F121" s="963"/>
      <c r="G121" s="944"/>
      <c r="H121" s="945"/>
      <c r="I121" s="945"/>
      <c r="J121" s="945"/>
      <c r="K121" s="963"/>
      <c r="L121" s="944"/>
      <c r="M121" s="945"/>
      <c r="N121" s="945"/>
      <c r="O121" s="945"/>
      <c r="P121" s="963"/>
    </row>
    <row r="122" spans="1:17" s="255" customFormat="1" x14ac:dyDescent="0.35">
      <c r="A122" s="1723" t="s">
        <v>209</v>
      </c>
      <c r="B122" s="951">
        <f>'7.6.1 Activity contribution'!E37</f>
        <v>21848.135000000002</v>
      </c>
      <c r="C122" s="952">
        <f>'7.6.1 Activity contribution'!E114</f>
        <v>64846.369200000001</v>
      </c>
      <c r="D122" s="952">
        <f>'7.6.1 Activity contribution'!E191</f>
        <v>56461.405620000005</v>
      </c>
      <c r="E122" s="952">
        <f>'7.6.1 Activity contribution'!E268</f>
        <v>59849.089957200005</v>
      </c>
      <c r="F122" s="953">
        <f>'7.6.1 Activity contribution'!E345</f>
        <v>63440.035354632018</v>
      </c>
      <c r="G122" s="951">
        <f>'7.6.1 Activity contribution'!F37</f>
        <v>13655.41</v>
      </c>
      <c r="H122" s="952">
        <f>'7.6.1 Activity contribution'!F114</f>
        <v>22002.038400000001</v>
      </c>
      <c r="I122" s="952">
        <f>'7.6.1 Activity contribution'!F191</f>
        <v>38665.379379999998</v>
      </c>
      <c r="J122" s="952">
        <f>'7.6.1 Activity contribution'!F268</f>
        <v>49442.980692480007</v>
      </c>
      <c r="K122" s="953">
        <f>'7.6.1 Activity contribution'!F345</f>
        <v>52409.559534028813</v>
      </c>
      <c r="L122" s="951">
        <f>'7.6.1 Activity contribution'!G37</f>
        <v>47520.409999999996</v>
      </c>
      <c r="M122" s="952">
        <f>'7.6.1 Activity contribution'!G114</f>
        <v>50371.634600000005</v>
      </c>
      <c r="N122" s="952">
        <f>'7.6.1 Activity contribution'!G191</f>
        <v>53393.932675999997</v>
      </c>
      <c r="O122" s="952">
        <f>'7.6.1 Activity contribution'!G268</f>
        <v>56597.568636560012</v>
      </c>
      <c r="P122" s="953">
        <f>'7.6.1 Activity contribution'!G345</f>
        <v>59993.422754753607</v>
      </c>
      <c r="Q122" s="1564"/>
    </row>
    <row r="123" spans="1:17" x14ac:dyDescent="0.35">
      <c r="A123" s="1723"/>
      <c r="B123" s="951"/>
      <c r="C123" s="952"/>
      <c r="D123" s="952"/>
      <c r="E123" s="952"/>
      <c r="F123" s="953"/>
      <c r="G123" s="951"/>
      <c r="H123" s="952"/>
      <c r="I123" s="952"/>
      <c r="J123" s="952"/>
      <c r="K123" s="953"/>
      <c r="L123" s="951"/>
      <c r="M123" s="952"/>
      <c r="N123" s="952"/>
      <c r="O123" s="952"/>
      <c r="P123" s="953"/>
    </row>
    <row r="124" spans="1:17" x14ac:dyDescent="0.35">
      <c r="A124" s="1216" t="s">
        <v>654</v>
      </c>
      <c r="B124" s="1693"/>
      <c r="C124" s="1694"/>
      <c r="D124" s="1694"/>
      <c r="E124" s="1694"/>
      <c r="F124" s="1695"/>
      <c r="G124" s="1693"/>
      <c r="H124" s="1694"/>
      <c r="I124" s="1694"/>
      <c r="J124" s="1694"/>
      <c r="K124" s="1695"/>
      <c r="L124" s="1693"/>
      <c r="M124" s="1694"/>
      <c r="N124" s="1694"/>
      <c r="O124" s="1694"/>
      <c r="P124" s="1695"/>
    </row>
    <row r="125" spans="1:17" x14ac:dyDescent="0.35">
      <c r="A125" s="1696" t="s">
        <v>83</v>
      </c>
      <c r="B125" s="1697">
        <f>'7.4.2 Selling &amp; Oper. expenses'!C37*'7.4.2 Selling &amp; Oper. expenses'!H68</f>
        <v>75</v>
      </c>
      <c r="C125" s="1698">
        <f>'7.4.2 Selling &amp; Oper. expenses'!E37*'7.4.2 Selling &amp; Oper. expenses'!H68</f>
        <v>258.10000000000002</v>
      </c>
      <c r="D125" s="1698">
        <f>'7.4.2 Selling &amp; Oper. expenses'!G37*'7.4.2 Selling &amp; Oper. expenses'!H68</f>
        <v>290.3</v>
      </c>
      <c r="E125" s="1698">
        <f>'7.4.2 Selling &amp; Oper. expenses'!I37*'7.4.2 Selling &amp; Oper. expenses'!H68</f>
        <v>322.60000000000002</v>
      </c>
      <c r="F125" s="1699">
        <f>'7.4.2 Selling &amp; Oper. expenses'!K37*'7.4.2 Selling &amp; Oper. expenses'!H68</f>
        <v>354.8</v>
      </c>
      <c r="G125" s="1697">
        <f>'7.4.2 Selling &amp; Oper. expenses'!C37*'7.4.2 Selling &amp; Oper. expenses'!I68</f>
        <v>75</v>
      </c>
      <c r="H125" s="1698">
        <f>'7.4.2 Selling &amp; Oper. expenses'!E37*'7.4.2 Selling &amp; Oper. expenses'!I68</f>
        <v>258.10000000000002</v>
      </c>
      <c r="I125" s="1698">
        <f>'7.4.2 Selling &amp; Oper. expenses'!G37*'7.4.2 Selling &amp; Oper. expenses'!I68</f>
        <v>290.3</v>
      </c>
      <c r="J125" s="1698">
        <f>'7.4.2 Selling &amp; Oper. expenses'!I37*'7.4.2 Selling &amp; Oper. expenses'!I68</f>
        <v>322.60000000000002</v>
      </c>
      <c r="K125" s="1699">
        <f>'7.4.2 Selling &amp; Oper. expenses'!K37*'7.4.2 Selling &amp; Oper. expenses'!I68</f>
        <v>354.8</v>
      </c>
      <c r="L125" s="1697">
        <f>'7.4.2 Selling &amp; Oper. expenses'!C37*'7.4.2 Selling &amp; Oper. expenses'!J68</f>
        <v>75</v>
      </c>
      <c r="M125" s="1698">
        <f>'7.4.2 Selling &amp; Oper. expenses'!E37*'7.4.2 Selling &amp; Oper. expenses'!J68</f>
        <v>258.10000000000002</v>
      </c>
      <c r="N125" s="1698">
        <f>'7.4.2 Selling &amp; Oper. expenses'!G37*'7.4.2 Selling &amp; Oper. expenses'!J68</f>
        <v>290.3</v>
      </c>
      <c r="O125" s="1698">
        <f>'7.4.2 Selling &amp; Oper. expenses'!I37*'7.4.2 Selling &amp; Oper. expenses'!J68</f>
        <v>322.60000000000002</v>
      </c>
      <c r="P125" s="1699">
        <f>'7.4.2 Selling &amp; Oper. expenses'!K37*'7.4.2 Selling &amp; Oper. expenses'!J68</f>
        <v>354.8</v>
      </c>
    </row>
    <row r="126" spans="1:17" x14ac:dyDescent="0.35">
      <c r="A126" s="1696" t="s">
        <v>84</v>
      </c>
      <c r="B126" s="1697">
        <f>'7.4.2 Selling &amp; Oper. expenses'!C38*'7.4.2 Selling &amp; Oper. expenses'!H69</f>
        <v>190</v>
      </c>
      <c r="C126" s="1698">
        <f>'7.4.2 Selling &amp; Oper. expenses'!E38*'7.4.2 Selling &amp; Oper. expenses'!H69</f>
        <v>645.20000000000005</v>
      </c>
      <c r="D126" s="1698">
        <f>'7.4.2 Selling &amp; Oper. expenses'!G38*'7.4.2 Selling &amp; Oper. expenses'!H69</f>
        <v>709.7</v>
      </c>
      <c r="E126" s="1698">
        <f>'7.4.2 Selling &amp; Oper. expenses'!I38*'7.4.2 Selling &amp; Oper. expenses'!H69</f>
        <v>774.2</v>
      </c>
      <c r="F126" s="1699">
        <f>'7.4.2 Selling &amp; Oper. expenses'!K38*'7.4.2 Selling &amp; Oper. expenses'!H69</f>
        <v>838.7</v>
      </c>
      <c r="G126" s="1697">
        <f>'7.4.2 Selling &amp; Oper. expenses'!C38*'7.4.2 Selling &amp; Oper. expenses'!I69</f>
        <v>190</v>
      </c>
      <c r="H126" s="1698">
        <f>'7.4.2 Selling &amp; Oper. expenses'!E38*'7.4.2 Selling &amp; Oper. expenses'!I69</f>
        <v>645.20000000000005</v>
      </c>
      <c r="I126" s="1698">
        <f>'7.4.2 Selling &amp; Oper. expenses'!G38*'7.4.2 Selling &amp; Oper. expenses'!I69</f>
        <v>709.7</v>
      </c>
      <c r="J126" s="1698">
        <f>'7.4.2 Selling &amp; Oper. expenses'!I38*'7.4.2 Selling &amp; Oper. expenses'!I69</f>
        <v>774.2</v>
      </c>
      <c r="K126" s="1699">
        <f>'7.4.2 Selling &amp; Oper. expenses'!K38*'7.4.2 Selling &amp; Oper. expenses'!I69</f>
        <v>838.7</v>
      </c>
      <c r="L126" s="1697">
        <f>'7.4.2 Selling &amp; Oper. expenses'!C38*'7.4.2 Selling &amp; Oper. expenses'!J69</f>
        <v>190</v>
      </c>
      <c r="M126" s="1698">
        <f>'7.4.2 Selling &amp; Oper. expenses'!E38*'7.4.2 Selling &amp; Oper. expenses'!J69</f>
        <v>645.20000000000005</v>
      </c>
      <c r="N126" s="1698">
        <f>'7.4.2 Selling &amp; Oper. expenses'!G38*'7.4.2 Selling &amp; Oper. expenses'!J69</f>
        <v>709.7</v>
      </c>
      <c r="O126" s="1698">
        <f>'7.4.2 Selling &amp; Oper. expenses'!I38*'7.4.2 Selling &amp; Oper. expenses'!J69</f>
        <v>774.2</v>
      </c>
      <c r="P126" s="1699">
        <f>'7.4.2 Selling &amp; Oper. expenses'!K38*'7.4.2 Selling &amp; Oper. expenses'!J69</f>
        <v>838.7</v>
      </c>
    </row>
    <row r="127" spans="1:17" s="219" customFormat="1" x14ac:dyDescent="0.35">
      <c r="A127" s="1696" t="s">
        <v>85</v>
      </c>
      <c r="B127" s="1697">
        <f>'7.4.2 Selling &amp; Oper. expenses'!C39*'7.4.2 Selling &amp; Oper. expenses'!H70</f>
        <v>400</v>
      </c>
      <c r="C127" s="1698">
        <f>'7.4.2 Selling &amp; Oper. expenses'!E39*'7.4.2 Selling &amp; Oper. expenses'!H70</f>
        <v>1250</v>
      </c>
      <c r="D127" s="1698">
        <f>'7.4.2 Selling &amp; Oper. expenses'!G39*'7.4.2 Selling &amp; Oper. expenses'!H70</f>
        <v>1250</v>
      </c>
      <c r="E127" s="1698">
        <f>'7.4.2 Selling &amp; Oper. expenses'!I39*'7.4.2 Selling &amp; Oper. expenses'!H70</f>
        <v>1250</v>
      </c>
      <c r="F127" s="1699">
        <f>'7.4.2 Selling &amp; Oper. expenses'!K39*'7.4.2 Selling &amp; Oper. expenses'!H70</f>
        <v>1250</v>
      </c>
      <c r="G127" s="1697">
        <f>'7.4.2 Selling &amp; Oper. expenses'!C39*'7.4.2 Selling &amp; Oper. expenses'!I70</f>
        <v>400</v>
      </c>
      <c r="H127" s="1698">
        <f>'7.4.2 Selling &amp; Oper. expenses'!E39*'7.4.2 Selling &amp; Oper. expenses'!I70</f>
        <v>1250</v>
      </c>
      <c r="I127" s="1698">
        <f>'7.4.2 Selling &amp; Oper. expenses'!G39*'7.4.2 Selling &amp; Oper. expenses'!I70</f>
        <v>1250</v>
      </c>
      <c r="J127" s="1698">
        <f>'7.4.2 Selling &amp; Oper. expenses'!I39*'7.4.2 Selling &amp; Oper. expenses'!I70</f>
        <v>1250</v>
      </c>
      <c r="K127" s="1699">
        <f>'7.4.2 Selling &amp; Oper. expenses'!K39*'7.4.2 Selling &amp; Oper. expenses'!I70</f>
        <v>1250</v>
      </c>
      <c r="L127" s="1697">
        <f>'7.4.2 Selling &amp; Oper. expenses'!C39*'7.4.2 Selling &amp; Oper. expenses'!J70</f>
        <v>160</v>
      </c>
      <c r="M127" s="1698">
        <f>'7.4.2 Selling &amp; Oper. expenses'!E39*'7.4.2 Selling &amp; Oper. expenses'!J70</f>
        <v>500</v>
      </c>
      <c r="N127" s="1698">
        <f>'7.4.2 Selling &amp; Oper. expenses'!G39*'7.4.2 Selling &amp; Oper. expenses'!J70</f>
        <v>500</v>
      </c>
      <c r="O127" s="1698">
        <f>'7.4.2 Selling &amp; Oper. expenses'!I39*'7.4.2 Selling &amp; Oper. expenses'!J70</f>
        <v>500</v>
      </c>
      <c r="P127" s="1699">
        <f>'7.4.2 Selling &amp; Oper. expenses'!K39*'7.4.2 Selling &amp; Oper. expenses'!J70</f>
        <v>500</v>
      </c>
      <c r="Q127" s="1738"/>
    </row>
    <row r="128" spans="1:17" s="219" customFormat="1" x14ac:dyDescent="0.35">
      <c r="A128" s="1696" t="s">
        <v>86</v>
      </c>
      <c r="B128" s="1697">
        <f>'7.4.2 Selling &amp; Oper. expenses'!C40*'7.4.2 Selling &amp; Oper. expenses'!H71</f>
        <v>600</v>
      </c>
      <c r="C128" s="1698">
        <f>'7.4.2 Selling &amp; Oper. expenses'!E40*'7.4.2 Selling &amp; Oper. expenses'!H71</f>
        <v>1800</v>
      </c>
      <c r="D128" s="1698">
        <f>'7.4.2 Selling &amp; Oper. expenses'!G40*'7.4.2 Selling &amp; Oper. expenses'!H71</f>
        <v>1800</v>
      </c>
      <c r="E128" s="1698">
        <f>'7.4.2 Selling &amp; Oper. expenses'!I40*'7.4.2 Selling &amp; Oper. expenses'!H71</f>
        <v>1800</v>
      </c>
      <c r="F128" s="1699">
        <f>'7.4.2 Selling &amp; Oper. expenses'!K40*'7.4.2 Selling &amp; Oper. expenses'!H71</f>
        <v>1800</v>
      </c>
      <c r="G128" s="1697">
        <f>'7.4.2 Selling &amp; Oper. expenses'!C40*'7.4.2 Selling &amp; Oper. expenses'!I71</f>
        <v>1000</v>
      </c>
      <c r="H128" s="1698">
        <f>'7.4.2 Selling &amp; Oper. expenses'!E40*'7.4.2 Selling &amp; Oper. expenses'!I71</f>
        <v>3000</v>
      </c>
      <c r="I128" s="1698">
        <f>'7.4.2 Selling &amp; Oper. expenses'!G40*'7.4.2 Selling &amp; Oper. expenses'!I71</f>
        <v>3000</v>
      </c>
      <c r="J128" s="1698">
        <f>'7.4.2 Selling &amp; Oper. expenses'!I40*'7.4.2 Selling &amp; Oper. expenses'!I71</f>
        <v>3000</v>
      </c>
      <c r="K128" s="1699">
        <f>'7.4.2 Selling &amp; Oper. expenses'!K40*'7.4.2 Selling &amp; Oper. expenses'!I71</f>
        <v>3000</v>
      </c>
      <c r="L128" s="1697">
        <f>'7.4.2 Selling &amp; Oper. expenses'!C40*'7.4.2 Selling &amp; Oper. expenses'!J71</f>
        <v>0</v>
      </c>
      <c r="M128" s="1698">
        <f>'7.4.2 Selling &amp; Oper. expenses'!E40*'7.4.2 Selling &amp; Oper. expenses'!J71</f>
        <v>0</v>
      </c>
      <c r="N128" s="1698">
        <f>'7.4.2 Selling &amp; Oper. expenses'!G40*'7.4.2 Selling &amp; Oper. expenses'!J71</f>
        <v>0</v>
      </c>
      <c r="O128" s="1698">
        <f>'7.4.2 Selling &amp; Oper. expenses'!I40*'7.4.2 Selling &amp; Oper. expenses'!J71</f>
        <v>0</v>
      </c>
      <c r="P128" s="1699">
        <f>'7.4.2 Selling &amp; Oper. expenses'!K40*'7.4.2 Selling &amp; Oper. expenses'!J71</f>
        <v>0</v>
      </c>
      <c r="Q128" s="1738"/>
    </row>
    <row r="129" spans="1:17" s="219" customFormat="1" x14ac:dyDescent="0.35">
      <c r="A129" s="1696" t="s">
        <v>88</v>
      </c>
      <c r="B129" s="1697">
        <f>'7.4.2 Selling &amp; Oper. expenses'!C41*'7.4.2 Selling &amp; Oper. expenses'!H72</f>
        <v>1050</v>
      </c>
      <c r="C129" s="1698">
        <f>'7.4.2 Selling &amp; Oper. expenses'!E41*'7.4.2 Selling &amp; Oper. expenses'!H72</f>
        <v>3150</v>
      </c>
      <c r="D129" s="1698">
        <f>'7.4.2 Selling &amp; Oper. expenses'!G41*'7.4.2 Selling &amp; Oper. expenses'!H72</f>
        <v>3300</v>
      </c>
      <c r="E129" s="1698">
        <f>'7.4.2 Selling &amp; Oper. expenses'!I41*'7.4.2 Selling &amp; Oper. expenses'!H72</f>
        <v>3450</v>
      </c>
      <c r="F129" s="1699">
        <f>'7.4.2 Selling &amp; Oper. expenses'!K41*'7.4.2 Selling &amp; Oper. expenses'!H72</f>
        <v>3600</v>
      </c>
      <c r="G129" s="1697">
        <f>'7.4.2 Selling &amp; Oper. expenses'!C41*'7.4.2 Selling &amp; Oper. expenses'!I72</f>
        <v>4200</v>
      </c>
      <c r="H129" s="1698">
        <f>'7.4.2 Selling &amp; Oper. expenses'!E41*'7.4.2 Selling &amp; Oper. expenses'!I72</f>
        <v>12600</v>
      </c>
      <c r="I129" s="1698">
        <f>'7.4.2 Selling &amp; Oper. expenses'!G41*'7.4.2 Selling &amp; Oper. expenses'!I72</f>
        <v>13200</v>
      </c>
      <c r="J129" s="1698">
        <f>'7.4.2 Selling &amp; Oper. expenses'!I41*'7.4.2 Selling &amp; Oper. expenses'!I72</f>
        <v>13800</v>
      </c>
      <c r="K129" s="1699">
        <f>'7.4.2 Selling &amp; Oper. expenses'!K41*'7.4.2 Selling &amp; Oper. expenses'!I72</f>
        <v>14400</v>
      </c>
      <c r="L129" s="1697">
        <f>'7.4.2 Selling &amp; Oper. expenses'!C41*'7.4.2 Selling &amp; Oper. expenses'!J72</f>
        <v>350</v>
      </c>
      <c r="M129" s="1698">
        <f>'7.4.2 Selling &amp; Oper. expenses'!E41*'7.4.2 Selling &amp; Oper. expenses'!J72</f>
        <v>1050</v>
      </c>
      <c r="N129" s="1698">
        <f>'7.4.2 Selling &amp; Oper. expenses'!G41*'7.4.2 Selling &amp; Oper. expenses'!J72</f>
        <v>1100</v>
      </c>
      <c r="O129" s="1698">
        <f>'7.4.2 Selling &amp; Oper. expenses'!I41*'7.4.2 Selling &amp; Oper. expenses'!J72</f>
        <v>1150</v>
      </c>
      <c r="P129" s="1699">
        <f>'7.4.2 Selling &amp; Oper. expenses'!K41*'7.4.2 Selling &amp; Oper. expenses'!J72</f>
        <v>1200</v>
      </c>
      <c r="Q129" s="1738"/>
    </row>
    <row r="130" spans="1:17" x14ac:dyDescent="0.35">
      <c r="A130" s="1696" t="s">
        <v>213</v>
      </c>
      <c r="B130" s="1697">
        <f>'7.4.2 Selling &amp; Oper. expenses'!C42*'7.4.2 Selling &amp; Oper. expenses'!H73</f>
        <v>5000</v>
      </c>
      <c r="C130" s="1698">
        <f>'7.4.2 Selling &amp; Oper. expenses'!E42*'7.4.2 Selling &amp; Oper. expenses'!H73</f>
        <v>10000</v>
      </c>
      <c r="D130" s="1698">
        <f>'7.4.2 Selling &amp; Oper. expenses'!G42*'7.4.2 Selling &amp; Oper. expenses'!H73</f>
        <v>12500</v>
      </c>
      <c r="E130" s="1698">
        <f>'7.4.2 Selling &amp; Oper. expenses'!I42*'7.4.2 Selling &amp; Oper. expenses'!H73</f>
        <v>15400</v>
      </c>
      <c r="F130" s="1699">
        <f>'7.4.2 Selling &amp; Oper. expenses'!K42*'7.4.2 Selling &amp; Oper. expenses'!H73</f>
        <v>18400</v>
      </c>
      <c r="G130" s="1697">
        <f>'7.4.2 Selling &amp; Oper. expenses'!C42*'7.4.2 Selling &amp; Oper. expenses'!I73</f>
        <v>5000</v>
      </c>
      <c r="H130" s="1698">
        <f>'7.4.2 Selling &amp; Oper. expenses'!E42*'7.4.2 Selling &amp; Oper. expenses'!I73</f>
        <v>10000</v>
      </c>
      <c r="I130" s="1698">
        <f>'7.4.2 Selling &amp; Oper. expenses'!G42*'7.4.2 Selling &amp; Oper. expenses'!I73</f>
        <v>12500</v>
      </c>
      <c r="J130" s="1698">
        <f>'7.4.2 Selling &amp; Oper. expenses'!I42*'7.4.2 Selling &amp; Oper. expenses'!I73</f>
        <v>15400</v>
      </c>
      <c r="K130" s="1699">
        <f>'7.4.2 Selling &amp; Oper. expenses'!K42*'7.4.2 Selling &amp; Oper. expenses'!I73</f>
        <v>18400</v>
      </c>
      <c r="L130" s="1697">
        <f>'7.4.2 Selling &amp; Oper. expenses'!C42*'7.4.2 Selling &amp; Oper. expenses'!J73</f>
        <v>0</v>
      </c>
      <c r="M130" s="1698">
        <f>'7.4.2 Selling &amp; Oper. expenses'!E42*'7.4.2 Selling &amp; Oper. expenses'!J73</f>
        <v>0</v>
      </c>
      <c r="N130" s="1698">
        <f>'7.4.2 Selling &amp; Oper. expenses'!G42*'7.4.2 Selling &amp; Oper. expenses'!J73</f>
        <v>0</v>
      </c>
      <c r="O130" s="1698">
        <f>'7.4.2 Selling &amp; Oper. expenses'!I42*'7.4.2 Selling &amp; Oper. expenses'!J73</f>
        <v>0</v>
      </c>
      <c r="P130" s="1699">
        <f>'7.4.2 Selling &amp; Oper. expenses'!K42*'7.4.2 Selling &amp; Oper. expenses'!J73</f>
        <v>0</v>
      </c>
    </row>
    <row r="131" spans="1:17" x14ac:dyDescent="0.35">
      <c r="A131" s="1696" t="s">
        <v>89</v>
      </c>
      <c r="B131" s="1697">
        <f>'7.4.2 Selling &amp; Oper. expenses'!C43*'7.4.2 Selling &amp; Oper. expenses'!H74</f>
        <v>3600</v>
      </c>
      <c r="C131" s="1698">
        <f>'7.4.2 Selling &amp; Oper. expenses'!E43*'7.4.2 Selling &amp; Oper. expenses'!H74</f>
        <v>5000</v>
      </c>
      <c r="D131" s="1698">
        <f>'7.4.2 Selling &amp; Oper. expenses'!G43*'7.4.2 Selling &amp; Oper. expenses'!H74</f>
        <v>5000</v>
      </c>
      <c r="E131" s="1698">
        <f>'7.4.2 Selling &amp; Oper. expenses'!I43*'7.4.2 Selling &amp; Oper. expenses'!H74</f>
        <v>5000</v>
      </c>
      <c r="F131" s="1699">
        <f>'7.4.2 Selling &amp; Oper. expenses'!K43*'7.4.2 Selling &amp; Oper. expenses'!H74</f>
        <v>5000</v>
      </c>
      <c r="G131" s="1697">
        <f>'7.4.2 Selling &amp; Oper. expenses'!C43*'7.4.2 Selling &amp; Oper. expenses'!I74</f>
        <v>3600</v>
      </c>
      <c r="H131" s="1698">
        <f>'7.4.2 Selling &amp; Oper. expenses'!E43*'7.4.2 Selling &amp; Oper. expenses'!I74</f>
        <v>5000</v>
      </c>
      <c r="I131" s="1698">
        <f>'7.4.2 Selling &amp; Oper. expenses'!G43*'7.4.2 Selling &amp; Oper. expenses'!I74</f>
        <v>5000</v>
      </c>
      <c r="J131" s="1698">
        <f>'7.4.2 Selling &amp; Oper. expenses'!I43*'7.4.2 Selling &amp; Oper. expenses'!I74</f>
        <v>5000</v>
      </c>
      <c r="K131" s="1699">
        <f>'7.4.2 Selling &amp; Oper. expenses'!K43*'7.4.2 Selling &amp; Oper. expenses'!I74</f>
        <v>5000</v>
      </c>
      <c r="L131" s="1697">
        <f>'7.4.2 Selling &amp; Oper. expenses'!C43*'7.4.2 Selling &amp; Oper. expenses'!J74</f>
        <v>0</v>
      </c>
      <c r="M131" s="1698">
        <f>'7.4.2 Selling &amp; Oper. expenses'!E43*'7.4.2 Selling &amp; Oper. expenses'!J74</f>
        <v>0</v>
      </c>
      <c r="N131" s="1698">
        <f>'7.4.2 Selling &amp; Oper. expenses'!G43*'7.4.2 Selling &amp; Oper. expenses'!J74</f>
        <v>0</v>
      </c>
      <c r="O131" s="1698">
        <f>'7.4.2 Selling &amp; Oper. expenses'!I43*'7.4.2 Selling &amp; Oper. expenses'!J74</f>
        <v>0</v>
      </c>
      <c r="P131" s="1699">
        <f>'7.4.2 Selling &amp; Oper. expenses'!K43*'7.4.2 Selling &amp; Oper. expenses'!J74</f>
        <v>0</v>
      </c>
    </row>
    <row r="132" spans="1:17" s="219" customFormat="1" x14ac:dyDescent="0.35">
      <c r="A132" s="1696" t="s">
        <v>90</v>
      </c>
      <c r="B132" s="1697">
        <f>'7.4.2 Selling &amp; Oper. expenses'!C44*'7.4.2 Selling &amp; Oper. expenses'!H75</f>
        <v>600</v>
      </c>
      <c r="C132" s="1698">
        <f>'7.4.2 Selling &amp; Oper. expenses'!E44*'7.4.2 Selling &amp; Oper. expenses'!H75</f>
        <v>967.80000000000007</v>
      </c>
      <c r="D132" s="1698">
        <f>'7.4.2 Selling &amp; Oper. expenses'!G44*'7.4.2 Selling &amp; Oper. expenses'!H75</f>
        <v>1290.4000000000001</v>
      </c>
      <c r="E132" s="1698">
        <f>'7.4.2 Selling &amp; Oper. expenses'!I44*'7.4.2 Selling &amp; Oper. expenses'!H75</f>
        <v>1613</v>
      </c>
      <c r="F132" s="1699">
        <f>'7.4.2 Selling &amp; Oper. expenses'!K44*'7.4.2 Selling &amp; Oper. expenses'!H75</f>
        <v>1935.4</v>
      </c>
      <c r="G132" s="1697">
        <f>'7.4.2 Selling &amp; Oper. expenses'!C44*'7.4.2 Selling &amp; Oper. expenses'!I75</f>
        <v>600</v>
      </c>
      <c r="H132" s="1698">
        <f>'7.4.2 Selling &amp; Oper. expenses'!E44*'7.4.2 Selling &amp; Oper. expenses'!I75</f>
        <v>967.80000000000007</v>
      </c>
      <c r="I132" s="1698">
        <f>'7.4.2 Selling &amp; Oper. expenses'!G44*'7.4.2 Selling &amp; Oper. expenses'!I75</f>
        <v>1290.4000000000001</v>
      </c>
      <c r="J132" s="1698">
        <f>'7.4.2 Selling &amp; Oper. expenses'!I44*'7.4.2 Selling &amp; Oper. expenses'!I75</f>
        <v>1613</v>
      </c>
      <c r="K132" s="1699">
        <f>'7.4.2 Selling &amp; Oper. expenses'!K44*'7.4.2 Selling &amp; Oper. expenses'!I75</f>
        <v>1935.4</v>
      </c>
      <c r="L132" s="1697">
        <f>'7.4.2 Selling &amp; Oper. expenses'!C44*'7.4.2 Selling &amp; Oper. expenses'!J75</f>
        <v>600</v>
      </c>
      <c r="M132" s="1698">
        <f>'7.4.2 Selling &amp; Oper. expenses'!E44*'7.4.2 Selling &amp; Oper. expenses'!J75</f>
        <v>967.80000000000007</v>
      </c>
      <c r="N132" s="1698">
        <f>'7.4.2 Selling &amp; Oper. expenses'!G44*'7.4.2 Selling &amp; Oper. expenses'!J75</f>
        <v>1290.4000000000001</v>
      </c>
      <c r="O132" s="1698">
        <f>'7.4.2 Selling &amp; Oper. expenses'!I44*'7.4.2 Selling &amp; Oper. expenses'!J75</f>
        <v>1613</v>
      </c>
      <c r="P132" s="1699">
        <f>'7.4.2 Selling &amp; Oper. expenses'!K44*'7.4.2 Selling &amp; Oper. expenses'!J75</f>
        <v>1935.4</v>
      </c>
      <c r="Q132" s="1738"/>
    </row>
    <row r="133" spans="1:17" x14ac:dyDescent="0.35">
      <c r="A133" s="1696" t="s">
        <v>214</v>
      </c>
      <c r="B133" s="1697">
        <f>'7.4.2 Selling &amp; Oper. expenses'!C45*'7.4.2 Selling &amp; Oper. expenses'!H76</f>
        <v>80</v>
      </c>
      <c r="C133" s="1698">
        <f>'7.4.2 Selling &amp; Oper. expenses'!E45*'7.4.2 Selling &amp; Oper. expenses'!H76</f>
        <v>387</v>
      </c>
      <c r="D133" s="1698">
        <f>'7.4.2 Selling &amp; Oper. expenses'!G45*'7.4.2 Selling &amp; Oper. expenses'!H76</f>
        <v>516.20000000000005</v>
      </c>
      <c r="E133" s="1698">
        <f>'7.4.2 Selling &amp; Oper. expenses'!I45*'7.4.2 Selling &amp; Oper. expenses'!H76</f>
        <v>645.20000000000005</v>
      </c>
      <c r="F133" s="1699">
        <f>'7.4.2 Selling &amp; Oper. expenses'!K45*'7.4.2 Selling &amp; Oper. expenses'!H76</f>
        <v>774.2</v>
      </c>
      <c r="G133" s="1697">
        <f>'7.4.2 Selling &amp; Oper. expenses'!C45*'7.4.2 Selling &amp; Oper. expenses'!I76</f>
        <v>80</v>
      </c>
      <c r="H133" s="1698">
        <f>'7.4.2 Selling &amp; Oper. expenses'!E45*'7.4.2 Selling &amp; Oper. expenses'!I76</f>
        <v>387</v>
      </c>
      <c r="I133" s="1698">
        <f>'7.4.2 Selling &amp; Oper. expenses'!G45*'7.4.2 Selling &amp; Oper. expenses'!I76</f>
        <v>516.20000000000005</v>
      </c>
      <c r="J133" s="1698">
        <f>'7.4.2 Selling &amp; Oper. expenses'!I45*'7.4.2 Selling &amp; Oper. expenses'!I76</f>
        <v>645.20000000000005</v>
      </c>
      <c r="K133" s="1699">
        <f>'7.4.2 Selling &amp; Oper. expenses'!K45*'7.4.2 Selling &amp; Oper. expenses'!I76</f>
        <v>774.2</v>
      </c>
      <c r="L133" s="1697">
        <f>'7.4.2 Selling &amp; Oper. expenses'!C45*'7.4.2 Selling &amp; Oper. expenses'!J76</f>
        <v>80</v>
      </c>
      <c r="M133" s="1698">
        <f>'7.4.2 Selling &amp; Oper. expenses'!E45*'7.4.2 Selling &amp; Oper. expenses'!J76</f>
        <v>387</v>
      </c>
      <c r="N133" s="1698">
        <f>'7.4.2 Selling &amp; Oper. expenses'!G45*'7.4.2 Selling &amp; Oper. expenses'!J76</f>
        <v>516.20000000000005</v>
      </c>
      <c r="O133" s="1698">
        <f>'7.4.2 Selling &amp; Oper. expenses'!I45*'7.4.2 Selling &amp; Oper. expenses'!J76</f>
        <v>645.20000000000005</v>
      </c>
      <c r="P133" s="1699">
        <f>'7.4.2 Selling &amp; Oper. expenses'!K45*'7.4.2 Selling &amp; Oper. expenses'!J76</f>
        <v>774.2</v>
      </c>
    </row>
    <row r="134" spans="1:17" x14ac:dyDescent="0.35">
      <c r="A134" s="1696" t="s">
        <v>92</v>
      </c>
      <c r="B134" s="1697">
        <f>'7.4.2 Selling &amp; Oper. expenses'!C46*'7.4.2 Selling &amp; Oper. expenses'!H77</f>
        <v>1000</v>
      </c>
      <c r="C134" s="1698">
        <f>'7.4.2 Selling &amp; Oper. expenses'!E46*'7.4.2 Selling &amp; Oper. expenses'!H77</f>
        <v>1935.4</v>
      </c>
      <c r="D134" s="1698">
        <f>'7.4.2 Selling &amp; Oper. expenses'!G46*'7.4.2 Selling &amp; Oper. expenses'!H77</f>
        <v>1935.4</v>
      </c>
      <c r="E134" s="1698">
        <f>'7.4.2 Selling &amp; Oper. expenses'!I46*'7.4.2 Selling &amp; Oper. expenses'!H77</f>
        <v>1935.4</v>
      </c>
      <c r="F134" s="1699">
        <f>'7.4.2 Selling &amp; Oper. expenses'!K46*'7.4.2 Selling &amp; Oper. expenses'!H77</f>
        <v>1935.4</v>
      </c>
      <c r="G134" s="1697">
        <f>'7.4.2 Selling &amp; Oper. expenses'!C46*'7.4.2 Selling &amp; Oper. expenses'!I77</f>
        <v>500</v>
      </c>
      <c r="H134" s="1698">
        <f>'7.4.2 Selling &amp; Oper. expenses'!E46*'7.4.2 Selling &amp; Oper. expenses'!I77</f>
        <v>967.7</v>
      </c>
      <c r="I134" s="1698">
        <f>'7.4.2 Selling &amp; Oper. expenses'!G46*'7.4.2 Selling &amp; Oper. expenses'!I77</f>
        <v>967.7</v>
      </c>
      <c r="J134" s="1698">
        <f>'7.4.2 Selling &amp; Oper. expenses'!I46*'7.4.2 Selling &amp; Oper. expenses'!I77</f>
        <v>967.7</v>
      </c>
      <c r="K134" s="1699">
        <f>'7.4.2 Selling &amp; Oper. expenses'!K46*'7.4.2 Selling &amp; Oper. expenses'!I77</f>
        <v>967.7</v>
      </c>
      <c r="L134" s="1697">
        <f>'7.4.2 Selling &amp; Oper. expenses'!C46*'7.4.2 Selling &amp; Oper. expenses'!J77</f>
        <v>1000</v>
      </c>
      <c r="M134" s="1698">
        <f>'7.4.2 Selling &amp; Oper. expenses'!E46*'7.4.2 Selling &amp; Oper. expenses'!J77</f>
        <v>1935.4</v>
      </c>
      <c r="N134" s="1698">
        <f>'7.4.2 Selling &amp; Oper. expenses'!G46*'7.4.2 Selling &amp; Oper. expenses'!J77</f>
        <v>1935.4</v>
      </c>
      <c r="O134" s="1698">
        <f>'7.4.2 Selling &amp; Oper. expenses'!I46*'7.4.2 Selling &amp; Oper. expenses'!J77</f>
        <v>1935.4</v>
      </c>
      <c r="P134" s="1699">
        <f>'7.4.2 Selling &amp; Oper. expenses'!K46*'7.4.2 Selling &amp; Oper. expenses'!J77</f>
        <v>1935.4</v>
      </c>
    </row>
    <row r="135" spans="1:17" x14ac:dyDescent="0.35">
      <c r="A135" s="1696" t="s">
        <v>93</v>
      </c>
      <c r="B135" s="1697">
        <f>'7.4.2 Selling &amp; Oper. expenses'!C47*'7.4.2 Selling &amp; Oper. expenses'!H78</f>
        <v>500</v>
      </c>
      <c r="C135" s="1698">
        <f>'7.4.2 Selling &amp; Oper. expenses'!E47*'7.4.2 Selling &amp; Oper. expenses'!H78</f>
        <v>1500</v>
      </c>
      <c r="D135" s="1698">
        <f>'7.4.2 Selling &amp; Oper. expenses'!G47*'7.4.2 Selling &amp; Oper. expenses'!H78</f>
        <v>1500</v>
      </c>
      <c r="E135" s="1698">
        <f>'7.4.2 Selling &amp; Oper. expenses'!I47*'7.4.2 Selling &amp; Oper. expenses'!H78</f>
        <v>1500</v>
      </c>
      <c r="F135" s="1699">
        <f>'7.4.2 Selling &amp; Oper. expenses'!K47*'7.4.2 Selling &amp; Oper. expenses'!H78</f>
        <v>1500</v>
      </c>
      <c r="G135" s="1697">
        <f>'7.4.2 Selling &amp; Oper. expenses'!C47*'7.4.2 Selling &amp; Oper. expenses'!I78</f>
        <v>2500</v>
      </c>
      <c r="H135" s="1698">
        <f>'7.4.2 Selling &amp; Oper. expenses'!E47*'7.4.2 Selling &amp; Oper. expenses'!I78</f>
        <v>7500</v>
      </c>
      <c r="I135" s="1698">
        <f>'7.4.2 Selling &amp; Oper. expenses'!G47*'7.4.2 Selling &amp; Oper. expenses'!I78</f>
        <v>7500</v>
      </c>
      <c r="J135" s="1698">
        <f>'7.4.2 Selling &amp; Oper. expenses'!I47*'7.4.2 Selling &amp; Oper. expenses'!I78</f>
        <v>7500</v>
      </c>
      <c r="K135" s="1699">
        <f>'7.4.2 Selling &amp; Oper. expenses'!K47*'7.4.2 Selling &amp; Oper. expenses'!I78</f>
        <v>7500</v>
      </c>
      <c r="L135" s="1697">
        <f>'7.4.2 Selling &amp; Oper. expenses'!C47*'7.4.2 Selling &amp; Oper. expenses'!J78</f>
        <v>0</v>
      </c>
      <c r="M135" s="1698">
        <f>'7.4.2 Selling &amp; Oper. expenses'!E47*'7.4.2 Selling &amp; Oper. expenses'!J78</f>
        <v>0</v>
      </c>
      <c r="N135" s="1698">
        <f>'7.4.2 Selling &amp; Oper. expenses'!G47*'7.4.2 Selling &amp; Oper. expenses'!J78</f>
        <v>0</v>
      </c>
      <c r="O135" s="1698">
        <f>'7.4.2 Selling &amp; Oper. expenses'!I47*'7.4.2 Selling &amp; Oper. expenses'!J78</f>
        <v>0</v>
      </c>
      <c r="P135" s="1699">
        <f>'7.4.2 Selling &amp; Oper. expenses'!K47*'7.4.2 Selling &amp; Oper. expenses'!J78</f>
        <v>0</v>
      </c>
    </row>
    <row r="136" spans="1:17" x14ac:dyDescent="0.35">
      <c r="A136" s="1696" t="s">
        <v>94</v>
      </c>
      <c r="B136" s="1697">
        <f>'7.4.2 Selling &amp; Oper. expenses'!C48*'7.4.2 Selling &amp; Oper. expenses'!H79</f>
        <v>800</v>
      </c>
      <c r="C136" s="1698">
        <f>'7.4.2 Selling &amp; Oper. expenses'!E48*'7.4.2 Selling &amp; Oper. expenses'!H79</f>
        <v>1290.4000000000001</v>
      </c>
      <c r="D136" s="1698">
        <f>'7.4.2 Selling &amp; Oper. expenses'!G48*'7.4.2 Selling &amp; Oper. expenses'!H79</f>
        <v>1935.4</v>
      </c>
      <c r="E136" s="1698">
        <f>'7.4.2 Selling &amp; Oper. expenses'!I48*'7.4.2 Selling &amp; Oper. expenses'!H79</f>
        <v>2258</v>
      </c>
      <c r="F136" s="1699">
        <f>'7.4.2 Selling &amp; Oper. expenses'!K48*'7.4.2 Selling &amp; Oper. expenses'!H79</f>
        <v>2580.6000000000004</v>
      </c>
      <c r="G136" s="1697">
        <f>'7.4.2 Selling &amp; Oper. expenses'!C48*'7.4.2 Selling &amp; Oper. expenses'!I79</f>
        <v>1600</v>
      </c>
      <c r="H136" s="1698">
        <f>'7.4.2 Selling &amp; Oper. expenses'!E48*'7.4.2 Selling &amp; Oper. expenses'!I79</f>
        <v>2580.8000000000002</v>
      </c>
      <c r="I136" s="1698">
        <f>'7.4.2 Selling &amp; Oper. expenses'!G48*'7.4.2 Selling &amp; Oper. expenses'!I79</f>
        <v>3870.8</v>
      </c>
      <c r="J136" s="1698">
        <f>'7.4.2 Selling &amp; Oper. expenses'!I48*'7.4.2 Selling &amp; Oper. expenses'!I79</f>
        <v>4516</v>
      </c>
      <c r="K136" s="1699">
        <f>'7.4.2 Selling &amp; Oper. expenses'!K48*'7.4.2 Selling &amp; Oper. expenses'!I79</f>
        <v>5161.2000000000007</v>
      </c>
      <c r="L136" s="1697">
        <f>'7.4.2 Selling &amp; Oper. expenses'!C48*'7.4.2 Selling &amp; Oper. expenses'!J79</f>
        <v>400</v>
      </c>
      <c r="M136" s="1698">
        <f>'7.4.2 Selling &amp; Oper. expenses'!E48*'7.4.2 Selling &amp; Oper. expenses'!J79</f>
        <v>645.20000000000005</v>
      </c>
      <c r="N136" s="1698">
        <f>'7.4.2 Selling &amp; Oper. expenses'!G48*'7.4.2 Selling &amp; Oper. expenses'!J79</f>
        <v>967.7</v>
      </c>
      <c r="O136" s="1698">
        <f>'7.4.2 Selling &amp; Oper. expenses'!I48*'7.4.2 Selling &amp; Oper. expenses'!J79</f>
        <v>1129</v>
      </c>
      <c r="P136" s="1699">
        <f>'7.4.2 Selling &amp; Oper. expenses'!K48*'7.4.2 Selling &amp; Oper. expenses'!J79</f>
        <v>1290.3000000000002</v>
      </c>
    </row>
    <row r="137" spans="1:17" x14ac:dyDescent="0.35">
      <c r="A137" s="1696" t="s">
        <v>115</v>
      </c>
      <c r="B137" s="1697">
        <v>0</v>
      </c>
      <c r="C137" s="1698">
        <f>'7.4.2 Selling &amp; Oper. expenses'!E49*'7.4.2 Selling &amp; Oper. expenses'!H80</f>
        <v>0</v>
      </c>
      <c r="D137" s="1698">
        <f>'7.4.2 Selling &amp; Oper. expenses'!G49*'7.4.2 Selling &amp; Oper. expenses'!H80</f>
        <v>0</v>
      </c>
      <c r="E137" s="1698">
        <f>'7.4.2 Selling &amp; Oper. expenses'!I49*'7.4.2 Selling &amp; Oper. expenses'!H80</f>
        <v>0</v>
      </c>
      <c r="F137" s="1699">
        <f>'7.4.2 Selling &amp; Oper. expenses'!K49*'7.4.2 Selling &amp; Oper. expenses'!H80</f>
        <v>0</v>
      </c>
      <c r="G137" s="1697">
        <v>0</v>
      </c>
      <c r="H137" s="1698">
        <f>'7.4.2 Selling &amp; Oper. expenses'!E49*'7.4.2 Selling &amp; Oper. expenses'!I80</f>
        <v>0</v>
      </c>
      <c r="I137" s="1698">
        <f>'7.4.2 Selling &amp; Oper. expenses'!G49*'7.4.2 Selling &amp; Oper. expenses'!I80</f>
        <v>0</v>
      </c>
      <c r="J137" s="1698">
        <f>'7.4.2 Selling &amp; Oper. expenses'!I49*'7.4.2 Selling &amp; Oper. expenses'!I80</f>
        <v>0</v>
      </c>
      <c r="K137" s="1699">
        <f>'7.4.2 Selling &amp; Oper. expenses'!K49*'7.4.2 Selling &amp; Oper. expenses'!I80</f>
        <v>0</v>
      </c>
      <c r="L137" s="1697">
        <f>'7.4.2 Selling &amp; Oper. expenses'!C49*'7.4.2 Selling &amp; Oper. expenses'!J80</f>
        <v>0</v>
      </c>
      <c r="M137" s="1698">
        <f>'7.4.2 Selling &amp; Oper. expenses'!E49*'7.4.2 Selling &amp; Oper. expenses'!J80</f>
        <v>0</v>
      </c>
      <c r="N137" s="1698">
        <f>'7.4.2 Selling &amp; Oper. expenses'!G49*'7.4.2 Selling &amp; Oper. expenses'!J80</f>
        <v>0</v>
      </c>
      <c r="O137" s="1698">
        <f>'7.4.2 Selling &amp; Oper. expenses'!I49*'7.4.2 Selling &amp; Oper. expenses'!J80</f>
        <v>0</v>
      </c>
      <c r="P137" s="1699">
        <f>'7.4.2 Selling &amp; Oper. expenses'!K49*'7.4.2 Selling &amp; Oper. expenses'!J80</f>
        <v>0</v>
      </c>
    </row>
    <row r="138" spans="1:17" x14ac:dyDescent="0.35">
      <c r="A138" s="1696" t="s">
        <v>707</v>
      </c>
      <c r="B138" s="1697">
        <f>'7.4.2 Selling &amp; Oper. expenses'!C50*'7.4.2 Selling &amp; Oper. expenses'!H81</f>
        <v>600</v>
      </c>
      <c r="C138" s="1698">
        <f>'7.4.2 Selling &amp; Oper. expenses'!E50*'7.4.2 Selling &amp; Oper. expenses'!H81</f>
        <v>2000</v>
      </c>
      <c r="D138" s="1698">
        <f>'7.4.2 Selling &amp; Oper. expenses'!G50*'7.4.2 Selling &amp; Oper. expenses'!H81</f>
        <v>2000</v>
      </c>
      <c r="E138" s="1698">
        <f>'7.4.2 Selling &amp; Oper. expenses'!I50*'7.4.2 Selling &amp; Oper. expenses'!H81</f>
        <v>2000</v>
      </c>
      <c r="F138" s="1699">
        <f>'7.4.2 Selling &amp; Oper. expenses'!K50*'7.4.2 Selling &amp; Oper. expenses'!H81</f>
        <v>2000</v>
      </c>
      <c r="G138" s="1697">
        <f>'7.4.2 Selling &amp; Oper. expenses'!C50*'7.4.2 Selling &amp; Oper. expenses'!I81</f>
        <v>600</v>
      </c>
      <c r="H138" s="1698">
        <f>'7.4.2 Selling &amp; Oper. expenses'!E50*'7.4.2 Selling &amp; Oper. expenses'!I81</f>
        <v>2000</v>
      </c>
      <c r="I138" s="1698">
        <f>'7.4.2 Selling &amp; Oper. expenses'!G50*'7.4.2 Selling &amp; Oper. expenses'!I81</f>
        <v>2000</v>
      </c>
      <c r="J138" s="1698">
        <f>'7.4.2 Selling &amp; Oper. expenses'!I50*'7.4.2 Selling &amp; Oper. expenses'!I81</f>
        <v>2000</v>
      </c>
      <c r="K138" s="1699">
        <f>'7.4.2 Selling &amp; Oper. expenses'!K50*'7.4.2 Selling &amp; Oper. expenses'!I81</f>
        <v>2000</v>
      </c>
      <c r="L138" s="1697">
        <f>'7.4.2 Selling &amp; Oper. expenses'!C50*'7.4.2 Selling &amp; Oper. expenses'!J81</f>
        <v>900</v>
      </c>
      <c r="M138" s="1698">
        <f>'7.4.2 Selling &amp; Oper. expenses'!E50*'7.4.2 Selling &amp; Oper. expenses'!J81</f>
        <v>3000</v>
      </c>
      <c r="N138" s="1698">
        <f>'7.4.2 Selling &amp; Oper. expenses'!G50*'7.4.2 Selling &amp; Oper. expenses'!J81</f>
        <v>3000</v>
      </c>
      <c r="O138" s="1698">
        <f>'7.4.2 Selling &amp; Oper. expenses'!I50*'7.4.2 Selling &amp; Oper. expenses'!J81</f>
        <v>3000</v>
      </c>
      <c r="P138" s="1699">
        <f>'7.4.2 Selling &amp; Oper. expenses'!K50*'7.4.2 Selling &amp; Oper. expenses'!J81</f>
        <v>3000</v>
      </c>
    </row>
    <row r="139" spans="1:17" x14ac:dyDescent="0.35">
      <c r="A139" s="1696" t="s">
        <v>97</v>
      </c>
      <c r="B139" s="1697">
        <f>'7.4.2 Selling &amp; Oper. expenses'!C51*'7.4.2 Selling &amp; Oper. expenses'!H82</f>
        <v>10000</v>
      </c>
      <c r="C139" s="1698">
        <f>'7.4.2 Selling &amp; Oper. expenses'!E51*'7.4.2 Selling &amp; Oper. expenses'!H82</f>
        <v>20000</v>
      </c>
      <c r="D139" s="1698">
        <f>'7.4.2 Selling &amp; Oper. expenses'!G51*'7.4.2 Selling &amp; Oper. expenses'!H82</f>
        <v>20000</v>
      </c>
      <c r="E139" s="1698">
        <f>'7.4.2 Selling &amp; Oper. expenses'!I51*'7.4.2 Selling &amp; Oper. expenses'!H82</f>
        <v>20000</v>
      </c>
      <c r="F139" s="1699">
        <f>'7.4.2 Selling &amp; Oper. expenses'!K51*'7.4.2 Selling &amp; Oper. expenses'!H82</f>
        <v>20000</v>
      </c>
      <c r="G139" s="1697">
        <f>'7.4.2 Selling &amp; Oper. expenses'!C51*'7.4.2 Selling &amp; Oper. expenses'!I82</f>
        <v>25000</v>
      </c>
      <c r="H139" s="1698">
        <f>'7.4.2 Selling &amp; Oper. expenses'!E51*'7.4.2 Selling &amp; Oper. expenses'!I82</f>
        <v>50000</v>
      </c>
      <c r="I139" s="1698">
        <f>'7.4.2 Selling &amp; Oper. expenses'!G51*'7.4.2 Selling &amp; Oper. expenses'!I82</f>
        <v>50000</v>
      </c>
      <c r="J139" s="1698">
        <f>'7.4.2 Selling &amp; Oper. expenses'!I51*'7.4.2 Selling &amp; Oper. expenses'!I82</f>
        <v>50000</v>
      </c>
      <c r="K139" s="1699">
        <f>'7.4.2 Selling &amp; Oper. expenses'!K51*'7.4.2 Selling &amp; Oper. expenses'!I82</f>
        <v>50000</v>
      </c>
      <c r="L139" s="1697">
        <f>'7.4.2 Selling &amp; Oper. expenses'!C51*'7.4.2 Selling &amp; Oper. expenses'!J82</f>
        <v>0</v>
      </c>
      <c r="M139" s="1698">
        <f>'7.4.2 Selling &amp; Oper. expenses'!E51*'7.4.2 Selling &amp; Oper. expenses'!J82</f>
        <v>0</v>
      </c>
      <c r="N139" s="1698">
        <f>'7.4.2 Selling &amp; Oper. expenses'!G51*'7.4.2 Selling &amp; Oper. expenses'!J82</f>
        <v>0</v>
      </c>
      <c r="O139" s="1698">
        <f>'7.4.2 Selling &amp; Oper. expenses'!I51*'7.4.2 Selling &amp; Oper. expenses'!J82</f>
        <v>0</v>
      </c>
      <c r="P139" s="1699">
        <f>'7.4.2 Selling &amp; Oper. expenses'!K51*'7.4.2 Selling &amp; Oper. expenses'!J82</f>
        <v>0</v>
      </c>
    </row>
    <row r="140" spans="1:17" x14ac:dyDescent="0.35">
      <c r="A140" s="1696" t="s">
        <v>217</v>
      </c>
      <c r="B140" s="1697">
        <f>'7.4.2 Selling &amp; Oper. expenses'!C52*'7.4.2 Selling &amp; Oper. expenses'!H83</f>
        <v>300</v>
      </c>
      <c r="C140" s="1698">
        <f>'7.4.2 Selling &amp; Oper. expenses'!E52*'7.4.2 Selling &amp; Oper. expenses'!H83</f>
        <v>330.00000000000006</v>
      </c>
      <c r="D140" s="1698">
        <f>'7.4.2 Selling &amp; Oper. expenses'!G52*'7.4.2 Selling &amp; Oper. expenses'!H83</f>
        <v>363.00000000000011</v>
      </c>
      <c r="E140" s="1698">
        <f>'7.4.2 Selling &amp; Oper. expenses'!I52*'7.4.2 Selling &amp; Oper. expenses'!H83</f>
        <v>399.30000000000018</v>
      </c>
      <c r="F140" s="1699">
        <f>'7.4.2 Selling &amp; Oper. expenses'!K52*'7.4.2 Selling &amp; Oper. expenses'!H83</f>
        <v>439.23000000000025</v>
      </c>
      <c r="G140" s="1697">
        <f>'7.4.2 Selling &amp; Oper. expenses'!C52*'7.4.2 Selling &amp; Oper. expenses'!I83</f>
        <v>750</v>
      </c>
      <c r="H140" s="1698">
        <f>'7.4.2 Selling &amp; Oper. expenses'!E52*'7.4.2 Selling &amp; Oper. expenses'!I83</f>
        <v>825.00000000000011</v>
      </c>
      <c r="I140" s="1698">
        <f>'7.4.2 Selling &amp; Oper. expenses'!G52*'7.4.2 Selling &amp; Oper. expenses'!I83</f>
        <v>907.50000000000023</v>
      </c>
      <c r="J140" s="1698">
        <f>'7.4.2 Selling &amp; Oper. expenses'!I52*'7.4.2 Selling &amp; Oper. expenses'!I83</f>
        <v>998.25000000000034</v>
      </c>
      <c r="K140" s="1699">
        <f>'7.4.2 Selling &amp; Oper. expenses'!K52*'7.4.2 Selling &amp; Oper. expenses'!I83</f>
        <v>1098.0750000000005</v>
      </c>
      <c r="L140" s="1697">
        <f>'7.4.2 Selling &amp; Oper. expenses'!C52*'7.4.2 Selling &amp; Oper. expenses'!J83</f>
        <v>0</v>
      </c>
      <c r="M140" s="1698">
        <f>'7.4.2 Selling &amp; Oper. expenses'!E52*'7.4.2 Selling &amp; Oper. expenses'!J83</f>
        <v>0</v>
      </c>
      <c r="N140" s="1698">
        <f>'7.4.2 Selling &amp; Oper. expenses'!G52*'7.4.2 Selling &amp; Oper. expenses'!J83</f>
        <v>0</v>
      </c>
      <c r="O140" s="1698">
        <f>'7.4.2 Selling &amp; Oper. expenses'!I52*'7.4.2 Selling &amp; Oper. expenses'!J83</f>
        <v>0</v>
      </c>
      <c r="P140" s="1699">
        <f>'7.4.2 Selling &amp; Oper. expenses'!K52*'7.4.2 Selling &amp; Oper. expenses'!J83</f>
        <v>0</v>
      </c>
    </row>
    <row r="141" spans="1:17" x14ac:dyDescent="0.35">
      <c r="A141" s="1696" t="s">
        <v>99</v>
      </c>
      <c r="B141" s="1697">
        <f>'7.4.2 Selling &amp; Oper. expenses'!C53*'7.4.2 Selling &amp; Oper. expenses'!H84</f>
        <v>1500</v>
      </c>
      <c r="C141" s="1698">
        <f>'7.4.2 Selling &amp; Oper. expenses'!E53*'7.4.2 Selling &amp; Oper. expenses'!H84</f>
        <v>4500</v>
      </c>
      <c r="D141" s="1698">
        <f>'7.4.2 Selling &amp; Oper. expenses'!G53*'7.4.2 Selling &amp; Oper. expenses'!H84</f>
        <v>6000</v>
      </c>
      <c r="E141" s="1698">
        <f>'7.4.2 Selling &amp; Oper. expenses'!I53*'7.4.2 Selling &amp; Oper. expenses'!H84</f>
        <v>6000</v>
      </c>
      <c r="F141" s="1699">
        <f>'7.4.2 Selling &amp; Oper. expenses'!K53*'7.4.2 Selling &amp; Oper. expenses'!H84</f>
        <v>6000</v>
      </c>
      <c r="G141" s="1697">
        <f>'7.4.2 Selling &amp; Oper. expenses'!C53*'7.4.2 Selling &amp; Oper. expenses'!I84</f>
        <v>500</v>
      </c>
      <c r="H141" s="1698">
        <f>'7.4.2 Selling &amp; Oper. expenses'!E53*'7.4.2 Selling &amp; Oper. expenses'!I84</f>
        <v>1500</v>
      </c>
      <c r="I141" s="1698">
        <f>'7.4.2 Selling &amp; Oper. expenses'!G53*'7.4.2 Selling &amp; Oper. expenses'!I84</f>
        <v>2000</v>
      </c>
      <c r="J141" s="1698">
        <f>'7.4.2 Selling &amp; Oper. expenses'!I53*'7.4.2 Selling &amp; Oper. expenses'!I84</f>
        <v>2000</v>
      </c>
      <c r="K141" s="1699">
        <f>'7.4.2 Selling &amp; Oper. expenses'!K53*'7.4.2 Selling &amp; Oper. expenses'!I84</f>
        <v>2000</v>
      </c>
      <c r="L141" s="1697">
        <f>'7.4.2 Selling &amp; Oper. expenses'!C53*'7.4.2 Selling &amp; Oper. expenses'!J84</f>
        <v>0</v>
      </c>
      <c r="M141" s="1698">
        <f>'7.4.2 Selling &amp; Oper. expenses'!E53*'7.4.2 Selling &amp; Oper. expenses'!J84</f>
        <v>0</v>
      </c>
      <c r="N141" s="1698">
        <f>'7.4.2 Selling &amp; Oper. expenses'!G53*'7.4.2 Selling &amp; Oper. expenses'!J84</f>
        <v>0</v>
      </c>
      <c r="O141" s="1698">
        <f>'7.4.2 Selling &amp; Oper. expenses'!I53*'7.4.2 Selling &amp; Oper. expenses'!J84</f>
        <v>0</v>
      </c>
      <c r="P141" s="1699">
        <f>'7.4.2 Selling &amp; Oper. expenses'!K53*'7.4.2 Selling &amp; Oper. expenses'!J84</f>
        <v>0</v>
      </c>
    </row>
    <row r="142" spans="1:17" x14ac:dyDescent="0.35">
      <c r="A142" s="1696" t="s">
        <v>96</v>
      </c>
      <c r="B142" s="1700">
        <f>'7.4.2 Selling &amp; Oper. expenses'!C54*'7.4.2 Selling &amp; Oper. expenses'!H85</f>
        <v>600</v>
      </c>
      <c r="C142" s="1701">
        <f>'7.4.2 Selling &amp; Oper. expenses'!E54*'7.4.2 Selling &amp; Oper. expenses'!H85</f>
        <v>660.00000000000011</v>
      </c>
      <c r="D142" s="1701">
        <f>'7.4.2 Selling &amp; Oper. expenses'!G54*'7.4.2 Selling &amp; Oper. expenses'!H85</f>
        <v>726.00000000000023</v>
      </c>
      <c r="E142" s="1701">
        <f>'7.4.2 Selling &amp; Oper. expenses'!I54*'7.4.2 Selling &amp; Oper. expenses'!H85</f>
        <v>798.60000000000036</v>
      </c>
      <c r="F142" s="1702">
        <f>'7.4.2 Selling &amp; Oper. expenses'!K54*'7.4.2 Selling &amp; Oper. expenses'!H85</f>
        <v>878.46000000000049</v>
      </c>
      <c r="G142" s="1700">
        <f>'7.4.2 Selling &amp; Oper. expenses'!C54*'7.4.2 Selling &amp; Oper. expenses'!I85</f>
        <v>600</v>
      </c>
      <c r="H142" s="1701">
        <f>'7.4.2 Selling &amp; Oper. expenses'!E54*'7.4.2 Selling &amp; Oper. expenses'!I85</f>
        <v>660.00000000000011</v>
      </c>
      <c r="I142" s="1701">
        <f>'7.4.2 Selling &amp; Oper. expenses'!G54*'7.4.2 Selling &amp; Oper. expenses'!I85</f>
        <v>726.00000000000023</v>
      </c>
      <c r="J142" s="1701">
        <f>'7.4.2 Selling &amp; Oper. expenses'!I54*'7.4.2 Selling &amp; Oper. expenses'!I85</f>
        <v>798.60000000000036</v>
      </c>
      <c r="K142" s="1702">
        <f>'7.4.2 Selling &amp; Oper. expenses'!K54*'7.4.2 Selling &amp; Oper. expenses'!I85</f>
        <v>878.46000000000049</v>
      </c>
      <c r="L142" s="1700">
        <f>'7.4.2 Selling &amp; Oper. expenses'!C54*'7.4.2 Selling &amp; Oper. expenses'!J85</f>
        <v>300</v>
      </c>
      <c r="M142" s="1701">
        <f>'7.4.2 Selling &amp; Oper. expenses'!E54*'7.4.2 Selling &amp; Oper. expenses'!J85</f>
        <v>330.00000000000006</v>
      </c>
      <c r="N142" s="1701">
        <f>'7.4.2 Selling &amp; Oper. expenses'!G54*'7.4.2 Selling &amp; Oper. expenses'!J85</f>
        <v>363.00000000000011</v>
      </c>
      <c r="O142" s="1701">
        <f>'7.4.2 Selling &amp; Oper. expenses'!I54*'7.4.2 Selling &amp; Oper. expenses'!J85</f>
        <v>399.30000000000018</v>
      </c>
      <c r="P142" s="1702">
        <f>'7.4.2 Selling &amp; Oper. expenses'!K54*'7.4.2 Selling &amp; Oper. expenses'!J85</f>
        <v>439.23000000000025</v>
      </c>
    </row>
    <row r="143" spans="1:17" x14ac:dyDescent="0.35">
      <c r="A143" s="1216" t="s">
        <v>655</v>
      </c>
      <c r="B143" s="1729">
        <f t="shared" ref="B143:G143" si="13">SUM(B125:B142)</f>
        <v>26895</v>
      </c>
      <c r="C143" s="1730">
        <f t="shared" si="13"/>
        <v>55673.9</v>
      </c>
      <c r="D143" s="1730">
        <f t="shared" si="13"/>
        <v>61116.400000000009</v>
      </c>
      <c r="E143" s="1730">
        <f t="shared" si="13"/>
        <v>65146.3</v>
      </c>
      <c r="F143" s="1731">
        <f t="shared" si="13"/>
        <v>69286.790000000008</v>
      </c>
      <c r="G143" s="1729">
        <f t="shared" si="13"/>
        <v>47195</v>
      </c>
      <c r="H143" s="1730">
        <f t="shared" ref="H143:P143" si="14">SUM(H125:H142)</f>
        <v>100141.6</v>
      </c>
      <c r="I143" s="1730">
        <f t="shared" si="14"/>
        <v>105728.6</v>
      </c>
      <c r="J143" s="1730">
        <f t="shared" si="14"/>
        <v>110585.55</v>
      </c>
      <c r="K143" s="1731">
        <f t="shared" si="14"/>
        <v>115558.535</v>
      </c>
      <c r="L143" s="1729">
        <f t="shared" si="14"/>
        <v>4055</v>
      </c>
      <c r="M143" s="1730">
        <f t="shared" si="14"/>
        <v>9718.7000000000007</v>
      </c>
      <c r="N143" s="1730">
        <f t="shared" si="14"/>
        <v>10672.7</v>
      </c>
      <c r="O143" s="1730">
        <f t="shared" si="14"/>
        <v>11468.7</v>
      </c>
      <c r="P143" s="1731">
        <f t="shared" si="14"/>
        <v>12268.029999999999</v>
      </c>
    </row>
    <row r="144" spans="1:17" x14ac:dyDescent="0.35">
      <c r="A144" s="1216"/>
      <c r="B144" s="1706"/>
      <c r="C144" s="1707"/>
      <c r="D144" s="1707"/>
      <c r="E144" s="1707"/>
      <c r="F144" s="1708"/>
      <c r="G144" s="1706"/>
      <c r="H144" s="1707"/>
      <c r="I144" s="1707"/>
      <c r="J144" s="1707"/>
      <c r="K144" s="1708"/>
      <c r="L144" s="1706"/>
      <c r="M144" s="1707"/>
      <c r="N144" s="1707"/>
      <c r="O144" s="1707"/>
      <c r="P144" s="1708"/>
    </row>
    <row r="145" spans="1:17" s="255" customFormat="1" x14ac:dyDescent="0.35">
      <c r="A145" s="1216" t="s">
        <v>656</v>
      </c>
      <c r="B145" s="1706">
        <f>'7.4.3 Inv. &amp; Depr.'!D129</f>
        <v>16129</v>
      </c>
      <c r="C145" s="1707">
        <f>'7.4.3 Inv. &amp; Depr.'!F129</f>
        <v>0</v>
      </c>
      <c r="D145" s="1707">
        <f>'7.4.3 Inv. &amp; Depr.'!H129</f>
        <v>0</v>
      </c>
      <c r="E145" s="1707">
        <f>'7.4.3 Inv. &amp; Depr.'!J129</f>
        <v>0</v>
      </c>
      <c r="F145" s="1708">
        <f>'7.4.3 Inv. &amp; Depr.'!L129</f>
        <v>0</v>
      </c>
      <c r="G145" s="1706">
        <v>0</v>
      </c>
      <c r="H145" s="1707">
        <v>0</v>
      </c>
      <c r="I145" s="1707">
        <v>0</v>
      </c>
      <c r="J145" s="1707">
        <v>0</v>
      </c>
      <c r="K145" s="1708">
        <v>0</v>
      </c>
      <c r="L145" s="1706">
        <f>'7.4.3 Inv. &amp; Depr.'!D121+'7.4.3 Inv. &amp; Depr.'!D131</f>
        <v>52815</v>
      </c>
      <c r="M145" s="1707">
        <f>'7.4.3 Inv. &amp; Depr.'!F121+'7.4.3 Inv. &amp; Depr.'!F131</f>
        <v>114486.00000000001</v>
      </c>
      <c r="N145" s="1707">
        <f>'7.4.3 Inv. &amp; Depr.'!H121+'7.4.3 Inv. &amp; Depr.'!H131</f>
        <v>103733.33333333334</v>
      </c>
      <c r="O145" s="1707">
        <f>'7.4.3 Inv. &amp; Depr.'!J121+'7.4.3 Inv. &amp; Depr.'!J131</f>
        <v>90400</v>
      </c>
      <c r="P145" s="1708">
        <f>'7.4.3 Inv. &amp; Depr.'!L121+'7.4.3 Inv. &amp; Depr.'!L131</f>
        <v>50400</v>
      </c>
      <c r="Q145" s="1564"/>
    </row>
    <row r="146" spans="1:17" x14ac:dyDescent="0.35">
      <c r="A146" s="1216"/>
      <c r="B146" s="1706"/>
      <c r="C146" s="1707"/>
      <c r="D146" s="1707"/>
      <c r="E146" s="1707"/>
      <c r="F146" s="1708"/>
      <c r="G146" s="1706"/>
      <c r="H146" s="1707"/>
      <c r="I146" s="1707"/>
      <c r="J146" s="1707"/>
      <c r="K146" s="1708"/>
      <c r="L146" s="1706"/>
      <c r="M146" s="1707"/>
      <c r="N146" s="1707"/>
      <c r="O146" s="1707"/>
      <c r="P146" s="1708"/>
    </row>
    <row r="147" spans="1:17" x14ac:dyDescent="0.35">
      <c r="A147" s="1692"/>
      <c r="B147" s="1729"/>
      <c r="C147" s="1730"/>
      <c r="D147" s="1730"/>
      <c r="E147" s="1730"/>
      <c r="F147" s="1731"/>
      <c r="G147" s="1729"/>
      <c r="H147" s="1730"/>
      <c r="I147" s="1730"/>
      <c r="J147" s="1730"/>
      <c r="K147" s="1731"/>
      <c r="L147" s="1729"/>
      <c r="M147" s="1730"/>
      <c r="N147" s="1730"/>
      <c r="O147" s="1730"/>
      <c r="P147" s="1731"/>
    </row>
    <row r="148" spans="1:17" x14ac:dyDescent="0.35">
      <c r="A148" s="1216" t="s">
        <v>218</v>
      </c>
      <c r="B148" s="951">
        <f>B115-B120-B122-B143-B145</f>
        <v>-8709.493076217761</v>
      </c>
      <c r="C148" s="952">
        <f ca="1">C115-C120-C122-C143-C145</f>
        <v>14492.799331053429</v>
      </c>
      <c r="D148" s="952">
        <f ca="1">D115-D120-D122-D143-D145</f>
        <v>62010.47918312512</v>
      </c>
      <c r="E148" s="952">
        <f ca="1">E115-E120-E122-E143-E145</f>
        <v>125663.3743647051</v>
      </c>
      <c r="F148" s="953">
        <f ca="1">F115-F120-F122-F143-F145</f>
        <v>205634.56385269211</v>
      </c>
      <c r="G148" s="951">
        <f t="shared" ref="G148:P148" si="15">G115-G120-G122-G143-G145</f>
        <v>-45049.790999999997</v>
      </c>
      <c r="H148" s="952">
        <f t="shared" si="15"/>
        <v>-80300.384380198753</v>
      </c>
      <c r="I148" s="952">
        <f t="shared" si="15"/>
        <v>-83570.517170139647</v>
      </c>
      <c r="J148" s="952">
        <f t="shared" si="15"/>
        <v>-75522.510708074929</v>
      </c>
      <c r="K148" s="953">
        <f t="shared" si="15"/>
        <v>-58615.758365116722</v>
      </c>
      <c r="L148" s="951">
        <f t="shared" si="15"/>
        <v>-104390.41</v>
      </c>
      <c r="M148" s="952">
        <f t="shared" si="15"/>
        <v>-174576.3346</v>
      </c>
      <c r="N148" s="952">
        <f t="shared" si="15"/>
        <v>-167799.96600933332</v>
      </c>
      <c r="O148" s="952">
        <f t="shared" si="15"/>
        <v>-158466.26863656001</v>
      </c>
      <c r="P148" s="953">
        <f t="shared" si="15"/>
        <v>-122661.45275475361</v>
      </c>
    </row>
    <row r="149" spans="1:17" x14ac:dyDescent="0.35">
      <c r="A149" s="1216"/>
      <c r="B149" s="1706"/>
      <c r="C149" s="1707"/>
      <c r="D149" s="1707"/>
      <c r="E149" s="1707"/>
      <c r="F149" s="1708"/>
      <c r="G149" s="1706"/>
      <c r="H149" s="1707"/>
      <c r="I149" s="1707"/>
      <c r="J149" s="1707"/>
      <c r="K149" s="1708"/>
      <c r="L149" s="1706"/>
      <c r="M149" s="1707"/>
      <c r="N149" s="1707"/>
      <c r="O149" s="1707"/>
      <c r="P149" s="1708"/>
    </row>
    <row r="150" spans="1:17" x14ac:dyDescent="0.35">
      <c r="A150" s="1216" t="s">
        <v>495</v>
      </c>
      <c r="B150" s="1718">
        <f>IF(B99=0,0,B148/B99)</f>
        <v>-4.0725474123324487E-2</v>
      </c>
      <c r="C150" s="1719">
        <f t="shared" ref="C150:P150" ca="1" si="16">IF(C99=0,0,C148/C99)</f>
        <v>2.9125566394728825E-2</v>
      </c>
      <c r="D150" s="1719">
        <f t="shared" ca="1" si="16"/>
        <v>9.0771185095505122E-2</v>
      </c>
      <c r="E150" s="1719">
        <f t="shared" ca="1" si="16"/>
        <v>0.13281414748023168</v>
      </c>
      <c r="F150" s="1720">
        <f t="shared" ca="1" si="16"/>
        <v>0.16158989075288926</v>
      </c>
      <c r="G150" s="1718">
        <f t="shared" si="16"/>
        <v>-2.1452281428571429</v>
      </c>
      <c r="H150" s="1719">
        <f t="shared" si="16"/>
        <v>-1.5488268066033315</v>
      </c>
      <c r="I150" s="1719">
        <f t="shared" si="16"/>
        <v>-1.0886505646049773</v>
      </c>
      <c r="J150" s="1719">
        <f t="shared" si="16"/>
        <v>-0.67995528264062799</v>
      </c>
      <c r="K150" s="1720">
        <f t="shared" si="16"/>
        <v>-0.38782287080154343</v>
      </c>
      <c r="L150" s="1718">
        <f t="shared" si="16"/>
        <v>0</v>
      </c>
      <c r="M150" s="1719">
        <f t="shared" si="16"/>
        <v>0</v>
      </c>
      <c r="N150" s="1719">
        <f t="shared" si="16"/>
        <v>0</v>
      </c>
      <c r="O150" s="1719">
        <f t="shared" si="16"/>
        <v>0</v>
      </c>
      <c r="P150" s="1720">
        <f t="shared" si="16"/>
        <v>0</v>
      </c>
    </row>
    <row r="151" spans="1:17" x14ac:dyDescent="0.35">
      <c r="A151" s="1711"/>
      <c r="B151" s="1712"/>
      <c r="C151" s="1713"/>
      <c r="D151" s="1713"/>
      <c r="E151" s="1713"/>
      <c r="F151" s="1714"/>
      <c r="G151" s="1712"/>
      <c r="H151" s="1713"/>
      <c r="I151" s="1713"/>
      <c r="J151" s="1713"/>
      <c r="K151" s="1714"/>
      <c r="L151" s="1712"/>
      <c r="M151" s="1713"/>
      <c r="N151" s="1713"/>
      <c r="O151" s="1713"/>
      <c r="P151" s="1714"/>
    </row>
    <row r="152" spans="1:17" x14ac:dyDescent="0.35">
      <c r="A152" s="1216"/>
      <c r="B152" s="1706"/>
      <c r="C152" s="1707"/>
      <c r="D152" s="1707"/>
      <c r="E152" s="1707"/>
      <c r="F152" s="1708"/>
      <c r="G152" s="1706"/>
      <c r="H152" s="1707"/>
      <c r="I152" s="1707"/>
      <c r="J152" s="1707"/>
      <c r="K152" s="1708"/>
      <c r="L152" s="1706"/>
      <c r="M152" s="1707"/>
      <c r="N152" s="1707"/>
      <c r="O152" s="1707"/>
      <c r="P152" s="1708"/>
    </row>
    <row r="153" spans="1:17" x14ac:dyDescent="0.35">
      <c r="A153" s="1696" t="s">
        <v>215</v>
      </c>
      <c r="B153" s="1697">
        <v>0</v>
      </c>
      <c r="C153" s="1698">
        <v>0</v>
      </c>
      <c r="D153" s="1698">
        <v>0</v>
      </c>
      <c r="E153" s="1698">
        <v>0</v>
      </c>
      <c r="F153" s="1699">
        <v>0</v>
      </c>
      <c r="G153" s="1697">
        <v>0</v>
      </c>
      <c r="H153" s="1698">
        <v>0</v>
      </c>
      <c r="I153" s="1698">
        <v>0</v>
      </c>
      <c r="J153" s="1698">
        <v>0</v>
      </c>
      <c r="K153" s="1699">
        <v>0</v>
      </c>
      <c r="L153" s="1697">
        <f ca="1">-'7.5.2 Fin. Income &amp; Expenses '!E70</f>
        <v>0</v>
      </c>
      <c r="M153" s="1698">
        <f ca="1">-'7.5.2 Fin. Income &amp; Expenses '!G70</f>
        <v>-8531.0077993280374</v>
      </c>
      <c r="N153" s="1698">
        <f ca="1">-'7.5.2 Fin. Income &amp; Expenses '!I70</f>
        <v>0</v>
      </c>
      <c r="O153" s="1698">
        <f ca="1">-'7.5.2 Fin. Income &amp; Expenses '!K70</f>
        <v>0</v>
      </c>
      <c r="P153" s="1699">
        <f ca="1">-'7.5.2 Fin. Income &amp; Expenses '!M70</f>
        <v>0</v>
      </c>
    </row>
    <row r="154" spans="1:17" x14ac:dyDescent="0.35">
      <c r="A154" s="1696" t="s">
        <v>216</v>
      </c>
      <c r="B154" s="1697">
        <v>0</v>
      </c>
      <c r="C154" s="1698">
        <v>0</v>
      </c>
      <c r="D154" s="1698">
        <v>0</v>
      </c>
      <c r="E154" s="1698">
        <v>0</v>
      </c>
      <c r="F154" s="1699">
        <v>0</v>
      </c>
      <c r="G154" s="1697">
        <v>0</v>
      </c>
      <c r="H154" s="1698">
        <v>0</v>
      </c>
      <c r="I154" s="1698">
        <v>0</v>
      </c>
      <c r="J154" s="1698">
        <v>0</v>
      </c>
      <c r="K154" s="1699">
        <v>0</v>
      </c>
      <c r="L154" s="1697">
        <f>-'7.5.2 Fin. Income &amp; Expenses '!E71</f>
        <v>-29250</v>
      </c>
      <c r="M154" s="1698">
        <f>-'7.5.2 Fin. Income &amp; Expenses '!G71</f>
        <v>-24750</v>
      </c>
      <c r="N154" s="1698">
        <f>-'7.5.2 Fin. Income &amp; Expenses '!I71</f>
        <v>-20250.000000000004</v>
      </c>
      <c r="O154" s="1698">
        <f>-'7.5.2 Fin. Income &amp; Expenses '!K71</f>
        <v>-15750.000000000005</v>
      </c>
      <c r="P154" s="1699">
        <f>-'7.5.2 Fin. Income &amp; Expenses '!M71</f>
        <v>-11250.000000000004</v>
      </c>
    </row>
    <row r="155" spans="1:17" x14ac:dyDescent="0.35">
      <c r="A155" s="1696" t="s">
        <v>782</v>
      </c>
      <c r="B155" s="1697">
        <v>0</v>
      </c>
      <c r="C155" s="1698">
        <v>0</v>
      </c>
      <c r="D155" s="1698">
        <v>0</v>
      </c>
      <c r="E155" s="1698">
        <v>0</v>
      </c>
      <c r="F155" s="1699">
        <v>0</v>
      </c>
      <c r="G155" s="1697">
        <v>0</v>
      </c>
      <c r="H155" s="1698">
        <v>0</v>
      </c>
      <c r="I155" s="1698">
        <v>0</v>
      </c>
      <c r="J155" s="1698">
        <v>0</v>
      </c>
      <c r="K155" s="1699">
        <v>0</v>
      </c>
      <c r="L155" s="1697">
        <f>-'7.5.2 Fin. Income &amp; Expenses '!E72</f>
        <v>0</v>
      </c>
      <c r="M155" s="1698">
        <f>-'7.5.2 Fin. Income &amp; Expenses '!G72</f>
        <v>0</v>
      </c>
      <c r="N155" s="1698">
        <f>-'7.5.2 Fin. Income &amp; Expenses '!I72</f>
        <v>0</v>
      </c>
      <c r="O155" s="1698">
        <f>-'7.5.2 Fin. Income &amp; Expenses '!K72</f>
        <v>0</v>
      </c>
      <c r="P155" s="1699">
        <f>-'7.5.2 Fin. Income &amp; Expenses '!M72</f>
        <v>0</v>
      </c>
    </row>
    <row r="156" spans="1:17" x14ac:dyDescent="0.35">
      <c r="A156" s="1727" t="s">
        <v>357</v>
      </c>
      <c r="B156" s="947">
        <v>0</v>
      </c>
      <c r="C156" s="949">
        <v>0</v>
      </c>
      <c r="D156" s="949">
        <v>0</v>
      </c>
      <c r="E156" s="949">
        <v>0</v>
      </c>
      <c r="F156" s="964">
        <v>0</v>
      </c>
      <c r="G156" s="947">
        <v>0</v>
      </c>
      <c r="H156" s="949">
        <v>0</v>
      </c>
      <c r="I156" s="949">
        <v>0</v>
      </c>
      <c r="J156" s="949">
        <v>0</v>
      </c>
      <c r="K156" s="964">
        <v>0</v>
      </c>
      <c r="L156" s="1697">
        <v>0</v>
      </c>
      <c r="M156" s="1698">
        <v>0</v>
      </c>
      <c r="N156" s="1698">
        <v>0</v>
      </c>
      <c r="O156" s="1698">
        <v>0</v>
      </c>
      <c r="P156" s="1702">
        <v>0</v>
      </c>
    </row>
    <row r="157" spans="1:17" s="255" customFormat="1" x14ac:dyDescent="0.35">
      <c r="A157" s="1216" t="s">
        <v>816</v>
      </c>
      <c r="B157" s="1729">
        <f t="shared" ref="B157:G157" si="17">SUM(B153:B156)</f>
        <v>0</v>
      </c>
      <c r="C157" s="1730">
        <f t="shared" si="17"/>
        <v>0</v>
      </c>
      <c r="D157" s="1730">
        <f t="shared" si="17"/>
        <v>0</v>
      </c>
      <c r="E157" s="1730">
        <f t="shared" si="17"/>
        <v>0</v>
      </c>
      <c r="F157" s="1731">
        <f t="shared" si="17"/>
        <v>0</v>
      </c>
      <c r="G157" s="1729">
        <f t="shared" si="17"/>
        <v>0</v>
      </c>
      <c r="H157" s="1730">
        <f t="shared" ref="H157:P157" si="18">SUM(H153:H156)</f>
        <v>0</v>
      </c>
      <c r="I157" s="1730">
        <f t="shared" si="18"/>
        <v>0</v>
      </c>
      <c r="J157" s="1730">
        <f t="shared" si="18"/>
        <v>0</v>
      </c>
      <c r="K157" s="1731">
        <f t="shared" si="18"/>
        <v>0</v>
      </c>
      <c r="L157" s="1729">
        <f t="shared" ca="1" si="18"/>
        <v>-29250</v>
      </c>
      <c r="M157" s="1730">
        <f t="shared" ca="1" si="18"/>
        <v>-33281.007799328036</v>
      </c>
      <c r="N157" s="1730">
        <f t="shared" ca="1" si="18"/>
        <v>-20250.000000000004</v>
      </c>
      <c r="O157" s="1730">
        <f t="shared" ca="1" si="18"/>
        <v>-15750.000000000005</v>
      </c>
      <c r="P157" s="1731">
        <f t="shared" ca="1" si="18"/>
        <v>-11250.000000000004</v>
      </c>
      <c r="Q157" s="1564"/>
    </row>
    <row r="158" spans="1:17" s="255" customFormat="1" x14ac:dyDescent="0.35">
      <c r="A158" s="1216"/>
      <c r="B158" s="1706"/>
      <c r="C158" s="1145"/>
      <c r="D158" s="1145"/>
      <c r="E158" s="1145"/>
      <c r="F158" s="1146"/>
      <c r="G158" s="1706"/>
      <c r="H158" s="1145"/>
      <c r="I158" s="1145"/>
      <c r="J158" s="1145"/>
      <c r="K158" s="1146"/>
      <c r="L158" s="1706"/>
      <c r="M158" s="1145"/>
      <c r="N158" s="1145"/>
      <c r="O158" s="1145"/>
      <c r="P158" s="1708"/>
      <c r="Q158" s="1564"/>
    </row>
    <row r="159" spans="1:17" s="255" customFormat="1" x14ac:dyDescent="0.35">
      <c r="A159" s="1216" t="s">
        <v>660</v>
      </c>
      <c r="B159" s="1706">
        <v>0</v>
      </c>
      <c r="C159" s="1145">
        <v>0</v>
      </c>
      <c r="D159" s="1145">
        <v>0</v>
      </c>
      <c r="E159" s="1145">
        <v>0</v>
      </c>
      <c r="F159" s="1146">
        <v>0</v>
      </c>
      <c r="G159" s="1706">
        <v>0</v>
      </c>
      <c r="H159" s="1145">
        <v>0</v>
      </c>
      <c r="I159" s="1145">
        <v>0</v>
      </c>
      <c r="J159" s="1145">
        <v>0</v>
      </c>
      <c r="K159" s="1146">
        <v>0</v>
      </c>
      <c r="L159" s="1706">
        <f ca="1">'7.5.2 Fin. Income &amp; Expenses '!E86</f>
        <v>25886.650599507157</v>
      </c>
      <c r="M159" s="1145">
        <f ca="1">'7.5.2 Fin. Income &amp; Expenses '!G86</f>
        <v>0</v>
      </c>
      <c r="N159" s="1145">
        <f ca="1">'7.5.2 Fin. Income &amp; Expenses '!I86</f>
        <v>8949.100713548949</v>
      </c>
      <c r="O159" s="1145">
        <f ca="1">'7.5.2 Fin. Income &amp; Expenses '!K86</f>
        <v>31945.615019056178</v>
      </c>
      <c r="P159" s="1708">
        <f ca="1">'7.5.2 Fin. Income &amp; Expenses '!M86</f>
        <v>75192.9467247789</v>
      </c>
      <c r="Q159" s="1564"/>
    </row>
    <row r="160" spans="1:17" x14ac:dyDescent="0.35">
      <c r="A160" s="1216"/>
      <c r="B160" s="1706"/>
      <c r="C160" s="1145"/>
      <c r="D160" s="1145"/>
      <c r="E160" s="1145"/>
      <c r="F160" s="1146"/>
      <c r="G160" s="1706"/>
      <c r="H160" s="1145"/>
      <c r="I160" s="1145"/>
      <c r="J160" s="1145"/>
      <c r="K160" s="1146"/>
      <c r="L160" s="1706"/>
      <c r="M160" s="1145"/>
      <c r="N160" s="1145"/>
      <c r="O160" s="1145"/>
      <c r="P160" s="1708"/>
    </row>
    <row r="161" spans="1:17" x14ac:dyDescent="0.35">
      <c r="A161" s="1692"/>
      <c r="B161" s="1715"/>
      <c r="C161" s="1202"/>
      <c r="D161" s="1202"/>
      <c r="E161" s="1202"/>
      <c r="F161" s="1716"/>
      <c r="G161" s="1715"/>
      <c r="H161" s="1202"/>
      <c r="I161" s="1202"/>
      <c r="J161" s="1202"/>
      <c r="K161" s="1716"/>
      <c r="L161" s="1715"/>
      <c r="M161" s="1202"/>
      <c r="N161" s="1202"/>
      <c r="O161" s="1202"/>
      <c r="P161" s="1716"/>
    </row>
    <row r="162" spans="1:17" x14ac:dyDescent="0.35">
      <c r="A162" s="1723" t="s">
        <v>663</v>
      </c>
      <c r="B162" s="951">
        <f>B148+B157+B159</f>
        <v>-8709.493076217761</v>
      </c>
      <c r="C162" s="952">
        <f t="shared" ref="C162:L162" ca="1" si="19">C148+C157+C159</f>
        <v>14492.799331053429</v>
      </c>
      <c r="D162" s="952">
        <f t="shared" ca="1" si="19"/>
        <v>62010.47918312512</v>
      </c>
      <c r="E162" s="952">
        <f t="shared" ca="1" si="19"/>
        <v>125663.3743647051</v>
      </c>
      <c r="F162" s="953">
        <f t="shared" ca="1" si="19"/>
        <v>205634.56385269211</v>
      </c>
      <c r="G162" s="951">
        <f t="shared" si="19"/>
        <v>-45049.790999999997</v>
      </c>
      <c r="H162" s="952">
        <f t="shared" si="19"/>
        <v>-80300.384380198753</v>
      </c>
      <c r="I162" s="952">
        <f t="shared" si="19"/>
        <v>-83570.517170139647</v>
      </c>
      <c r="J162" s="952">
        <f t="shared" si="19"/>
        <v>-75522.510708074929</v>
      </c>
      <c r="K162" s="953">
        <f t="shared" si="19"/>
        <v>-58615.758365116722</v>
      </c>
      <c r="L162" s="951">
        <f t="shared" ca="1" si="19"/>
        <v>-107753.75940049285</v>
      </c>
      <c r="M162" s="952">
        <f ca="1">M148+M157+M159</f>
        <v>-207857.34239932804</v>
      </c>
      <c r="N162" s="952">
        <f ca="1">N148+N157+N159</f>
        <v>-179100.86529578437</v>
      </c>
      <c r="O162" s="952">
        <f ca="1">O148+O157+O159</f>
        <v>-142270.65361750382</v>
      </c>
      <c r="P162" s="953">
        <f ca="1">P148+P157+P159</f>
        <v>-58718.506029974713</v>
      </c>
    </row>
    <row r="163" spans="1:17" x14ac:dyDescent="0.35">
      <c r="A163" s="1216"/>
      <c r="B163" s="1706"/>
      <c r="C163" s="1707"/>
      <c r="D163" s="1707"/>
      <c r="E163" s="1707"/>
      <c r="F163" s="1708"/>
      <c r="G163" s="1706"/>
      <c r="H163" s="1707"/>
      <c r="I163" s="1707"/>
      <c r="J163" s="1707"/>
      <c r="K163" s="1708"/>
      <c r="L163" s="1706"/>
      <c r="M163" s="1707"/>
      <c r="N163" s="1707"/>
      <c r="O163" s="1707"/>
      <c r="P163" s="1708"/>
    </row>
    <row r="164" spans="1:17" x14ac:dyDescent="0.35">
      <c r="A164" s="1723" t="s">
        <v>495</v>
      </c>
      <c r="B164" s="1718">
        <f>IF(B99=0,0,B162/B99)</f>
        <v>-4.0725474123324487E-2</v>
      </c>
      <c r="C164" s="1719">
        <f t="shared" ref="C164:P164" ca="1" si="20">IF(C99=0,0,C162/C99)</f>
        <v>2.9125566394728825E-2</v>
      </c>
      <c r="D164" s="1719">
        <f t="shared" ca="1" si="20"/>
        <v>9.0771185095505122E-2</v>
      </c>
      <c r="E164" s="1719">
        <f t="shared" ca="1" si="20"/>
        <v>0.13281414748023168</v>
      </c>
      <c r="F164" s="1720">
        <f t="shared" ca="1" si="20"/>
        <v>0.16158989075288926</v>
      </c>
      <c r="G164" s="1718">
        <f t="shared" si="20"/>
        <v>-2.1452281428571429</v>
      </c>
      <c r="H164" s="1719">
        <f t="shared" si="20"/>
        <v>-1.5488268066033315</v>
      </c>
      <c r="I164" s="1719">
        <f t="shared" si="20"/>
        <v>-1.0886505646049773</v>
      </c>
      <c r="J164" s="1719">
        <f t="shared" si="20"/>
        <v>-0.67995528264062799</v>
      </c>
      <c r="K164" s="1720">
        <f t="shared" si="20"/>
        <v>-0.38782287080154343</v>
      </c>
      <c r="L164" s="1718">
        <f t="shared" si="20"/>
        <v>0</v>
      </c>
      <c r="M164" s="1719">
        <f t="shared" si="20"/>
        <v>0</v>
      </c>
      <c r="N164" s="1719">
        <f t="shared" si="20"/>
        <v>0</v>
      </c>
      <c r="O164" s="1719">
        <f t="shared" si="20"/>
        <v>0</v>
      </c>
      <c r="P164" s="1720">
        <f t="shared" si="20"/>
        <v>0</v>
      </c>
    </row>
    <row r="165" spans="1:17" ht="15" thickBot="1" x14ac:dyDescent="0.4">
      <c r="A165" s="1732"/>
      <c r="B165" s="1733"/>
      <c r="C165" s="1734"/>
      <c r="D165" s="1734"/>
      <c r="E165" s="1734"/>
      <c r="F165" s="1735"/>
      <c r="G165" s="1733"/>
      <c r="H165" s="1734"/>
      <c r="I165" s="1734"/>
      <c r="J165" s="1734"/>
      <c r="K165" s="1735"/>
      <c r="L165" s="1733"/>
      <c r="M165" s="1734"/>
      <c r="N165" s="1734"/>
      <c r="O165" s="1734"/>
      <c r="P165" s="1735"/>
    </row>
    <row r="166" spans="1:17" hidden="1" x14ac:dyDescent="0.35"/>
    <row r="167" spans="1:17" hidden="1" x14ac:dyDescent="0.35"/>
    <row r="168" spans="1:17" hidden="1" x14ac:dyDescent="0.35"/>
    <row r="169" spans="1:17" hidden="1" x14ac:dyDescent="0.35"/>
    <row r="170" spans="1:17" s="219" customFormat="1" hidden="1" x14ac:dyDescent="0.35">
      <c r="A170" s="1696"/>
      <c r="B170" s="839"/>
      <c r="C170" s="839"/>
      <c r="D170" s="839"/>
      <c r="E170" s="839"/>
      <c r="F170" s="839"/>
      <c r="G170" s="839"/>
      <c r="H170" s="839"/>
      <c r="I170" s="839"/>
      <c r="J170" s="839"/>
      <c r="K170" s="839"/>
      <c r="L170" s="839"/>
      <c r="M170" s="839"/>
      <c r="N170" s="839"/>
      <c r="O170" s="839"/>
      <c r="P170" s="1739"/>
      <c r="Q170" s="1738"/>
    </row>
  </sheetData>
  <sheetProtection password="813F" sheet="1" objects="1" scenarios="1" selectLockedCells="1"/>
  <customSheetViews>
    <customSheetView guid="{51165254-F18A-4CD1-9981-8F2DE14CC76C}" scale="70" showGridLines="0" hiddenRows="1" hiddenColumns="1" showRuler="0">
      <pane ySplit="1" topLeftCell="A2" activePane="bottomLeft" state="frozen"/>
      <selection pane="bottomLeft" activeCell="F108" sqref="F108"/>
      <rowBreaks count="1" manualBreakCount="1">
        <brk id="83" max="15" man="1"/>
      </rowBreaks>
      <pageMargins left="0.78740157480314965" right="0.78740157480314965" top="0.98425196850393704" bottom="0.98425196850393704" header="0.51181102362204722" footer="0.51181102362204722"/>
      <printOptions horizontalCentered="1" verticalCentered="1"/>
      <pageSetup paperSize="9" scale="35" fitToHeight="2" orientation="portrait" r:id="rId1"/>
      <headerFooter alignWithMargins="0">
        <oddHeader>&amp;L&amp;F</oddHeader>
        <oddFooter xml:space="preserve">&amp;LDAF Dealer Business Plan&amp;CPrint date: &amp;D&amp;R&amp;P/&amp;N | DAF Trucks NV    </oddFooter>
      </headerFooter>
    </customSheetView>
  </customSheetViews>
  <mergeCells count="6">
    <mergeCell ref="G5:K5"/>
    <mergeCell ref="B5:F5"/>
    <mergeCell ref="L5:P5"/>
    <mergeCell ref="L88:P88"/>
    <mergeCell ref="B88:F88"/>
    <mergeCell ref="G88:K88"/>
  </mergeCells>
  <phoneticPr fontId="11" type="noConversion"/>
  <printOptions horizontalCentered="1" verticalCentered="1"/>
  <pageMargins left="0.78740157480314965" right="0.78740157480314965" top="0.98425196850393704" bottom="0.98425196850393704" header="0.51181102362204722" footer="0.51181102362204722"/>
  <pageSetup paperSize="9" scale="35" fitToHeight="2" orientation="portrait" r:id="rId2"/>
  <headerFooter alignWithMargins="0">
    <oddHeader>&amp;L&amp;F</oddHeader>
    <oddFooter xml:space="preserve">&amp;LDAF Dealer Business Plan - Version January 2011&amp;CPrint date: &amp;D&amp;R&amp;P/&amp;N | DAF Trucks NV    </oddFooter>
  </headerFooter>
  <rowBreaks count="1" manualBreakCount="1">
    <brk id="83" max="15" man="1"/>
  </rowBreaks>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9">
    <tabColor indexed="22"/>
    <pageSetUpPr fitToPage="1"/>
  </sheetPr>
  <dimension ref="A1:M73"/>
  <sheetViews>
    <sheetView showGridLines="0" zoomScale="75" zoomScaleNormal="60" workbookViewId="0">
      <pane ySplit="5" topLeftCell="A13" activePane="bottomLeft" state="frozen"/>
      <selection activeCell="C21" sqref="C21"/>
      <selection pane="bottomLeft" activeCell="J39" sqref="J39"/>
    </sheetView>
  </sheetViews>
  <sheetFormatPr baseColWidth="10" defaultColWidth="0" defaultRowHeight="14.4" zeroHeight="1" x14ac:dyDescent="0.35"/>
  <cols>
    <col min="1" max="1" width="32.33203125" style="441" customWidth="1"/>
    <col min="2" max="2" width="20.44140625" style="441" customWidth="1"/>
    <col min="3" max="3" width="16.33203125" style="1396" customWidth="1"/>
    <col min="4" max="4" width="10.44140625" style="441" customWidth="1"/>
    <col min="5" max="5" width="16.77734375" style="1396" customWidth="1"/>
    <col min="6" max="6" width="10.44140625" style="441" customWidth="1"/>
    <col min="7" max="7" width="17.44140625" style="1396" customWidth="1"/>
    <col min="8" max="8" width="10.44140625" style="441" customWidth="1"/>
    <col min="9" max="9" width="18.44140625" style="1396" customWidth="1"/>
    <col min="10" max="10" width="10.44140625" style="441" customWidth="1"/>
    <col min="11" max="11" width="20" style="1396" customWidth="1"/>
    <col min="12" max="12" width="2.109375" style="827" customWidth="1"/>
    <col min="13" max="16384" width="9.109375" style="441" hidden="1"/>
  </cols>
  <sheetData>
    <row r="1" spans="1:12" ht="28.8" x14ac:dyDescent="0.55000000000000004">
      <c r="A1" s="1108" t="s">
        <v>1173</v>
      </c>
      <c r="B1" s="1109"/>
      <c r="C1" s="1109"/>
      <c r="D1" s="1109"/>
      <c r="E1" s="1109"/>
      <c r="F1" s="1109"/>
      <c r="G1" s="1109"/>
      <c r="H1" s="1109"/>
      <c r="I1" s="1109"/>
      <c r="J1" s="1109"/>
      <c r="K1" s="1110" t="s">
        <v>696</v>
      </c>
    </row>
    <row r="2" spans="1:12" x14ac:dyDescent="0.35">
      <c r="A2" s="442"/>
      <c r="B2" s="443"/>
      <c r="C2" s="1333"/>
      <c r="D2" s="443"/>
      <c r="E2" s="1334"/>
      <c r="F2" s="443"/>
      <c r="G2" s="1333"/>
      <c r="H2" s="443"/>
      <c r="I2" s="1333"/>
      <c r="J2" s="443"/>
      <c r="K2" s="445"/>
    </row>
    <row r="3" spans="1:12" ht="16.2" x14ac:dyDescent="0.35">
      <c r="A3" s="447" t="s">
        <v>1035</v>
      </c>
      <c r="B3" s="1335" t="str">
        <f>'Reference sheet'!C12</f>
        <v>TRUCK INTERNATIONAL MOBILITY SA</v>
      </c>
      <c r="C3" s="1336"/>
      <c r="E3" s="452" t="s">
        <v>1036</v>
      </c>
      <c r="F3" s="451">
        <f>'Reference sheet'!C15</f>
        <v>2</v>
      </c>
      <c r="G3" s="452" t="s">
        <v>1037</v>
      </c>
      <c r="H3" s="1989" t="str">
        <f>'Reference sheet'!C17</f>
        <v>October</v>
      </c>
      <c r="I3" s="1033">
        <f>'Reference sheet'!D17</f>
        <v>2018</v>
      </c>
      <c r="J3" s="454" t="s">
        <v>1175</v>
      </c>
      <c r="K3" s="1337" t="str">
        <f>'Reference sheet'!C21</f>
        <v>EUR</v>
      </c>
    </row>
    <row r="4" spans="1:12" x14ac:dyDescent="0.35">
      <c r="A4" s="442"/>
      <c r="B4" s="456"/>
      <c r="C4" s="1333"/>
      <c r="D4" s="443"/>
      <c r="E4" s="1333"/>
      <c r="F4" s="443"/>
      <c r="G4" s="1338"/>
      <c r="H4" s="443"/>
      <c r="I4" s="1333"/>
      <c r="J4" s="443"/>
      <c r="K4" s="1339"/>
    </row>
    <row r="5" spans="1:12" ht="16.2" x14ac:dyDescent="0.35">
      <c r="A5" s="447"/>
      <c r="B5" s="1340"/>
      <c r="C5" s="1341">
        <f>+'7.1 Dealer area'!C5</f>
        <v>2019</v>
      </c>
      <c r="D5" s="1342"/>
      <c r="E5" s="1341">
        <f>+'7.1 Dealer area'!E5</f>
        <v>2020</v>
      </c>
      <c r="F5" s="1343"/>
      <c r="G5" s="1341">
        <f>+'7.1 Dealer area'!G5</f>
        <v>2021</v>
      </c>
      <c r="H5" s="1344"/>
      <c r="I5" s="1341">
        <f>+'7.1 Dealer area'!I5</f>
        <v>2022</v>
      </c>
      <c r="J5" s="1344"/>
      <c r="K5" s="1341">
        <f>+'7.1 Dealer area'!K5</f>
        <v>2023</v>
      </c>
    </row>
    <row r="6" spans="1:12" s="443" customFormat="1" ht="16.2" x14ac:dyDescent="0.35">
      <c r="A6" s="1345"/>
      <c r="B6" s="1346"/>
      <c r="C6" s="1347"/>
      <c r="D6" s="1346"/>
      <c r="E6" s="1348"/>
      <c r="F6" s="1346"/>
      <c r="G6" s="1348"/>
      <c r="H6" s="1346"/>
      <c r="I6" s="1348"/>
      <c r="J6" s="1346"/>
      <c r="K6" s="1347"/>
      <c r="L6" s="53"/>
    </row>
    <row r="7" spans="1:12" ht="16.2" x14ac:dyDescent="0.35">
      <c r="A7" s="1349" t="s">
        <v>200</v>
      </c>
      <c r="B7" s="1350"/>
      <c r="C7" s="1351">
        <f>'7.6.1 Activity contribution'!H16</f>
        <v>2091426.6048094556</v>
      </c>
      <c r="D7" s="1350"/>
      <c r="E7" s="1352">
        <f ca="1">'7.6.1 Activity contribution'!H93</f>
        <v>5221371.6089377711</v>
      </c>
      <c r="F7" s="1350"/>
      <c r="G7" s="1352">
        <f ca="1">'7.6.1 Activity contribution'!H170</f>
        <v>8757981.3230290413</v>
      </c>
      <c r="H7" s="1350"/>
      <c r="I7" s="1352">
        <f ca="1">'7.6.1 Activity contribution'!H247</f>
        <v>11107178.192433998</v>
      </c>
      <c r="J7" s="1350"/>
      <c r="K7" s="1351">
        <f ca="1">'7.6.1 Activity contribution'!H324</f>
        <v>13431373.112078246</v>
      </c>
    </row>
    <row r="8" spans="1:12" ht="16.2" x14ac:dyDescent="0.35">
      <c r="A8" s="1353"/>
      <c r="B8" s="1354"/>
      <c r="C8" s="1355"/>
      <c r="D8" s="1354"/>
      <c r="E8" s="1356"/>
      <c r="F8" s="1354"/>
      <c r="G8" s="1356"/>
      <c r="H8" s="1354"/>
      <c r="I8" s="1356"/>
      <c r="J8" s="1354"/>
      <c r="K8" s="1355"/>
    </row>
    <row r="9" spans="1:12" ht="16.2" x14ac:dyDescent="0.35">
      <c r="A9" s="1357"/>
      <c r="B9" s="1275"/>
      <c r="C9" s="1358"/>
      <c r="D9" s="1275"/>
      <c r="E9" s="1359"/>
      <c r="F9" s="1275"/>
      <c r="G9" s="1359"/>
      <c r="H9" s="1275"/>
      <c r="I9" s="1359"/>
      <c r="J9" s="1275"/>
      <c r="K9" s="1358"/>
    </row>
    <row r="10" spans="1:12" ht="16.2" x14ac:dyDescent="0.35">
      <c r="A10" s="447" t="s">
        <v>208</v>
      </c>
      <c r="B10" s="1275"/>
      <c r="C10" s="1358">
        <f>'7.6.1 Activity contribution'!H29</f>
        <v>1793620.7578856733</v>
      </c>
      <c r="D10" s="1275"/>
      <c r="E10" s="1359">
        <f ca="1">'7.6.1 Activity contribution'!H106</f>
        <v>4474873.0398669159</v>
      </c>
      <c r="F10" s="1275"/>
      <c r="G10" s="1359">
        <f ca="1">'7.6.1 Activity contribution'!H183</f>
        <v>7541209.0399992578</v>
      </c>
      <c r="H10" s="1275"/>
      <c r="I10" s="1359">
        <f ca="1">'7.6.1 Activity contribution'!H260</f>
        <v>9548282.4613980055</v>
      </c>
      <c r="J10" s="1275"/>
      <c r="K10" s="1358">
        <f ca="1">'7.6.1 Activity contribution'!H337</f>
        <v>11527391.24918207</v>
      </c>
    </row>
    <row r="11" spans="1:12" ht="16.2" x14ac:dyDescent="0.35">
      <c r="A11" s="447"/>
      <c r="B11" s="1275"/>
      <c r="C11" s="1360"/>
      <c r="D11" s="1275"/>
      <c r="E11" s="1361"/>
      <c r="F11" s="1275"/>
      <c r="G11" s="1361"/>
      <c r="H11" s="1275"/>
      <c r="I11" s="1361"/>
      <c r="J11" s="1275"/>
      <c r="K11" s="1360"/>
    </row>
    <row r="12" spans="1:12" ht="16.2" x14ac:dyDescent="0.35">
      <c r="A12" s="1345"/>
      <c r="B12" s="1346"/>
      <c r="C12" s="1347"/>
      <c r="D12" s="1346"/>
      <c r="E12" s="1348"/>
      <c r="F12" s="1346"/>
      <c r="G12" s="1348"/>
      <c r="H12" s="1346"/>
      <c r="I12" s="1348"/>
      <c r="J12" s="1346"/>
      <c r="K12" s="1347"/>
    </row>
    <row r="13" spans="1:12" s="1362" customFormat="1" ht="18" x14ac:dyDescent="0.35">
      <c r="A13" s="1349" t="s">
        <v>429</v>
      </c>
      <c r="B13" s="1350"/>
      <c r="C13" s="1351">
        <f>C7-C10</f>
        <v>297805.84692378226</v>
      </c>
      <c r="D13" s="1350"/>
      <c r="E13" s="1352">
        <f ca="1">E7-E10</f>
        <v>746498.56907085516</v>
      </c>
      <c r="F13" s="1350"/>
      <c r="G13" s="1352">
        <f ca="1">G7-G10</f>
        <v>1216772.2830297835</v>
      </c>
      <c r="H13" s="1350"/>
      <c r="I13" s="1352">
        <f ca="1">I7-I10</f>
        <v>1558895.7310359925</v>
      </c>
      <c r="J13" s="1350"/>
      <c r="K13" s="1351">
        <f ca="1">K7-K10</f>
        <v>1903981.8628961761</v>
      </c>
      <c r="L13" s="1586"/>
    </row>
    <row r="14" spans="1:12" ht="16.2" x14ac:dyDescent="0.35">
      <c r="A14" s="1363"/>
      <c r="B14" s="1354"/>
      <c r="C14" s="1364"/>
      <c r="D14" s="1354"/>
      <c r="E14" s="1365"/>
      <c r="F14" s="1354"/>
      <c r="G14" s="1365"/>
      <c r="H14" s="1354"/>
      <c r="I14" s="1365"/>
      <c r="J14" s="1354"/>
      <c r="K14" s="1364"/>
    </row>
    <row r="15" spans="1:12" ht="16.2" x14ac:dyDescent="0.35">
      <c r="A15" s="447"/>
      <c r="B15" s="1275"/>
      <c r="C15" s="1360"/>
      <c r="D15" s="1275"/>
      <c r="E15" s="1361"/>
      <c r="F15" s="1275"/>
      <c r="G15" s="1361"/>
      <c r="H15" s="1275"/>
      <c r="I15" s="1361"/>
      <c r="J15" s="1275"/>
      <c r="K15" s="1360"/>
    </row>
    <row r="16" spans="1:12" ht="16.2" x14ac:dyDescent="0.35">
      <c r="A16" s="447" t="s">
        <v>652</v>
      </c>
      <c r="B16" s="1275"/>
      <c r="C16" s="1358">
        <f>'7.6.1 Activity contribution'!I35</f>
        <v>62455.212500000001</v>
      </c>
      <c r="D16" s="1275"/>
      <c r="E16" s="1359">
        <f>'7.6.1 Activity contribution'!I112</f>
        <v>86180.362500000003</v>
      </c>
      <c r="F16" s="1275"/>
      <c r="G16" s="1359">
        <f>'7.6.1 Activity contribution'!I189</f>
        <v>129582.8125</v>
      </c>
      <c r="H16" s="1275"/>
      <c r="I16" s="1359">
        <f>'7.6.1 Activity contribution'!I266</f>
        <v>160038.02499999999</v>
      </c>
      <c r="J16" s="1275"/>
      <c r="K16" s="1358">
        <f>'7.6.1 Activity contribution'!I343</f>
        <v>192577.9</v>
      </c>
    </row>
    <row r="17" spans="1:12" ht="16.2" x14ac:dyDescent="0.35">
      <c r="A17" s="447" t="s">
        <v>657</v>
      </c>
      <c r="B17" s="1275"/>
      <c r="C17" s="1358">
        <f>'7.6.1 Activity contribution'!I37</f>
        <v>111972.01749989703</v>
      </c>
      <c r="D17" s="1275"/>
      <c r="E17" s="1359">
        <f>'7.6.1 Activity contribution'!I114</f>
        <v>176589.27694993804</v>
      </c>
      <c r="F17" s="1275"/>
      <c r="G17" s="1359">
        <f>'7.6.1 Activity contribution'!I191</f>
        <v>201298.52148296166</v>
      </c>
      <c r="H17" s="1275"/>
      <c r="I17" s="1359">
        <f>'7.6.1 Activity contribution'!I268</f>
        <v>221834.11132162763</v>
      </c>
      <c r="J17" s="1275"/>
      <c r="K17" s="1358">
        <f>'7.6.1 Activity contribution'!I345</f>
        <v>235144.15800093094</v>
      </c>
    </row>
    <row r="18" spans="1:12" ht="16.2" x14ac:dyDescent="0.35">
      <c r="A18" s="447" t="s">
        <v>658</v>
      </c>
      <c r="B18" s="1275"/>
      <c r="C18" s="1358">
        <f>'7.6.1 Activity contribution'!I58</f>
        <v>161150</v>
      </c>
      <c r="D18" s="1275"/>
      <c r="E18" s="1359">
        <f>'7.6.1 Activity contribution'!I135</f>
        <v>335176</v>
      </c>
      <c r="F18" s="1275"/>
      <c r="G18" s="1359">
        <f>'7.6.1 Activity contribution'!I212</f>
        <v>373251</v>
      </c>
      <c r="H18" s="1275"/>
      <c r="I18" s="1359">
        <f>'7.6.1 Activity contribution'!I289</f>
        <v>408828.5</v>
      </c>
      <c r="J18" s="1275"/>
      <c r="K18" s="1358">
        <f>'7.6.1 Activity contribution'!I366</f>
        <v>445264.45</v>
      </c>
    </row>
    <row r="19" spans="1:12" ht="16.2" x14ac:dyDescent="0.35">
      <c r="A19" s="447" t="s">
        <v>659</v>
      </c>
      <c r="B19" s="1275"/>
      <c r="C19" s="1358">
        <f>'7.6.1 Activity contribution'!I60</f>
        <v>52815</v>
      </c>
      <c r="D19" s="1275"/>
      <c r="E19" s="1359">
        <f>'7.6.1 Activity contribution'!I137</f>
        <v>114486.00000000001</v>
      </c>
      <c r="F19" s="1275"/>
      <c r="G19" s="1359">
        <f>'7.6.1 Activity contribution'!I214</f>
        <v>103733.33333333334</v>
      </c>
      <c r="H19" s="1275"/>
      <c r="I19" s="1359">
        <f>'7.6.1 Activity contribution'!I291</f>
        <v>90400</v>
      </c>
      <c r="J19" s="1275"/>
      <c r="K19" s="1358">
        <f>'7.6.1 Activity contribution'!I368</f>
        <v>50400</v>
      </c>
    </row>
    <row r="20" spans="1:12" ht="16.2" x14ac:dyDescent="0.35">
      <c r="A20" s="1366" t="str">
        <f>IF(SUM('7.4.2 Selling &amp; Oper. expenses'!K63:K85)&lt;1900%,"Warning! Not all expenses have been allocated yet."," ")</f>
        <v xml:space="preserve"> </v>
      </c>
      <c r="B20" s="1275"/>
      <c r="C20" s="1360"/>
      <c r="D20" s="1275"/>
      <c r="E20" s="1361"/>
      <c r="F20" s="1275"/>
      <c r="G20" s="1361"/>
      <c r="H20" s="1275"/>
      <c r="I20" s="1361"/>
      <c r="J20" s="1275"/>
      <c r="K20" s="1360"/>
    </row>
    <row r="21" spans="1:12" ht="16.2" x14ac:dyDescent="0.35">
      <c r="A21" s="1345"/>
      <c r="B21" s="1346"/>
      <c r="C21" s="1347"/>
      <c r="D21" s="1346"/>
      <c r="E21" s="1348"/>
      <c r="F21" s="1346"/>
      <c r="G21" s="1348"/>
      <c r="H21" s="1346"/>
      <c r="I21" s="1348"/>
      <c r="J21" s="1346"/>
      <c r="K21" s="1347"/>
    </row>
    <row r="22" spans="1:12" s="1362" customFormat="1" ht="18" x14ac:dyDescent="0.35">
      <c r="A22" s="1349" t="s">
        <v>430</v>
      </c>
      <c r="B22" s="1350"/>
      <c r="C22" s="1351">
        <f>C13-(C16+C17+C18+C19)</f>
        <v>-90586.383076114813</v>
      </c>
      <c r="D22" s="1367"/>
      <c r="E22" s="1352">
        <f ca="1">E13-(E16+E17+E18+E19)</f>
        <v>34066.929620917188</v>
      </c>
      <c r="F22" s="1352"/>
      <c r="G22" s="1352">
        <f ca="1">G13-(G16+G17+G18+G19)</f>
        <v>408906.61571348843</v>
      </c>
      <c r="H22" s="1352"/>
      <c r="I22" s="1352">
        <f ca="1">I13-(I16+I17+I18+I19)</f>
        <v>677795.09471436485</v>
      </c>
      <c r="J22" s="1352"/>
      <c r="K22" s="1351">
        <f ca="1">K13-(K16+K17+K18+K19)</f>
        <v>980595.35489524505</v>
      </c>
      <c r="L22" s="1586"/>
    </row>
    <row r="23" spans="1:12" s="1362" customFormat="1" ht="18" x14ac:dyDescent="0.35">
      <c r="A23" s="1349"/>
      <c r="B23" s="1350"/>
      <c r="C23" s="1351"/>
      <c r="D23" s="1350"/>
      <c r="E23" s="1352"/>
      <c r="F23" s="1350"/>
      <c r="G23" s="1352"/>
      <c r="H23" s="1350"/>
      <c r="I23" s="1352"/>
      <c r="J23" s="1350"/>
      <c r="K23" s="1351"/>
      <c r="L23" s="1586"/>
    </row>
    <row r="24" spans="1:12" s="1369" customFormat="1" ht="18" x14ac:dyDescent="0.35">
      <c r="A24" s="1302"/>
      <c r="B24" s="1368"/>
      <c r="C24" s="1802"/>
      <c r="D24" s="1803"/>
      <c r="E24" s="1804"/>
      <c r="F24" s="2048"/>
      <c r="G24" s="1805"/>
      <c r="H24" s="1806"/>
      <c r="I24" s="1805"/>
      <c r="J24" s="1806"/>
      <c r="K24" s="1807"/>
      <c r="L24" s="1587"/>
    </row>
    <row r="25" spans="1:12" s="1362" customFormat="1" ht="18" x14ac:dyDescent="0.35">
      <c r="A25" s="447" t="s">
        <v>925</v>
      </c>
      <c r="B25" s="1275"/>
      <c r="C25" s="1808">
        <f ca="1">-'7.5.2 Fin. Income &amp; Expenses '!E76+'7.5.2 Fin. Income &amp; Expenses '!E86</f>
        <v>-16935.375733826171</v>
      </c>
      <c r="D25" s="1809"/>
      <c r="E25" s="1810">
        <f ca="1">-'7.5.2 Fin. Income &amp; Expenses '!G76+'7.5.2 Fin. Income &amp; Expenses '!G86</f>
        <v>-67429.556090994709</v>
      </c>
      <c r="F25" s="1803"/>
      <c r="G25" s="1812">
        <f ca="1">-'7.5.2 Fin. Income &amp; Expenses '!I76+'7.5.2 Fin. Income &amp; Expenses '!I86</f>
        <v>-69755.700244784384</v>
      </c>
      <c r="H25" s="1813"/>
      <c r="I25" s="1812">
        <f ca="1">-'7.5.2 Fin. Income &amp; Expenses '!K76+'7.5.2 Fin. Income &amp; Expenses '!K86</f>
        <v>-57253.490592610498</v>
      </c>
      <c r="J25" s="1813"/>
      <c r="K25" s="1808">
        <f ca="1">-'7.5.2 Fin. Income &amp; Expenses '!M76+'7.5.2 Fin. Income &amp; Expenses '!M86</f>
        <v>-23813.710854387755</v>
      </c>
      <c r="L25" s="1586"/>
    </row>
    <row r="26" spans="1:12" s="1362" customFormat="1" ht="18" x14ac:dyDescent="0.35">
      <c r="A26" s="447"/>
      <c r="B26" s="1275"/>
      <c r="C26" s="1808"/>
      <c r="D26" s="1811"/>
      <c r="E26" s="1812"/>
      <c r="F26" s="1811"/>
      <c r="G26" s="1810"/>
      <c r="H26" s="1813"/>
      <c r="I26" s="1810"/>
      <c r="J26" s="1813"/>
      <c r="K26" s="1814"/>
      <c r="L26" s="1586"/>
    </row>
    <row r="27" spans="1:12" s="1369" customFormat="1" ht="18" x14ac:dyDescent="0.35">
      <c r="A27" s="1372"/>
      <c r="B27" s="1346"/>
      <c r="C27" s="1815"/>
      <c r="D27" s="1763"/>
      <c r="E27" s="1816"/>
      <c r="F27" s="1763"/>
      <c r="G27" s="1816"/>
      <c r="H27" s="1763"/>
      <c r="I27" s="1816"/>
      <c r="J27" s="1763"/>
      <c r="K27" s="1815"/>
      <c r="L27" s="1587"/>
    </row>
    <row r="28" spans="1:12" s="1373" customFormat="1" ht="18" x14ac:dyDescent="0.35">
      <c r="A28" s="1349" t="s">
        <v>653</v>
      </c>
      <c r="B28" s="1350"/>
      <c r="C28" s="1351">
        <f ca="1">C22+C25</f>
        <v>-107521.75880994098</v>
      </c>
      <c r="D28" s="1367"/>
      <c r="E28" s="1352">
        <f t="shared" ref="E28:K28" ca="1" si="0">E22+E25</f>
        <v>-33362.626470077521</v>
      </c>
      <c r="F28" s="1352"/>
      <c r="G28" s="1352">
        <f t="shared" ca="1" si="0"/>
        <v>339150.91546870407</v>
      </c>
      <c r="H28" s="1352"/>
      <c r="I28" s="1352">
        <f t="shared" ca="1" si="0"/>
        <v>620541.60412175441</v>
      </c>
      <c r="J28" s="1352"/>
      <c r="K28" s="1351">
        <f t="shared" ca="1" si="0"/>
        <v>956781.64404085733</v>
      </c>
      <c r="L28" s="1586"/>
    </row>
    <row r="29" spans="1:12" ht="16.2" x14ac:dyDescent="0.35">
      <c r="A29" s="1363"/>
      <c r="B29" s="1354"/>
      <c r="C29" s="1364"/>
      <c r="D29" s="1354"/>
      <c r="E29" s="1365"/>
      <c r="F29" s="1354"/>
      <c r="G29" s="1365"/>
      <c r="H29" s="1354"/>
      <c r="I29" s="1365"/>
      <c r="J29" s="1354"/>
      <c r="K29" s="1364"/>
    </row>
    <row r="30" spans="1:12" ht="16.2" x14ac:dyDescent="0.35">
      <c r="A30" s="447"/>
      <c r="B30" s="1275"/>
      <c r="C30" s="1360"/>
      <c r="D30" s="1275"/>
      <c r="E30" s="1361"/>
      <c r="F30" s="1275"/>
      <c r="G30" s="1361"/>
      <c r="H30" s="1275"/>
      <c r="I30" s="1361"/>
      <c r="J30" s="1275"/>
      <c r="K30" s="1360"/>
    </row>
    <row r="31" spans="1:12" ht="16.2" x14ac:dyDescent="0.35">
      <c r="A31" s="447" t="s">
        <v>220</v>
      </c>
      <c r="B31" s="1374"/>
      <c r="C31" s="782">
        <v>0</v>
      </c>
      <c r="D31" s="1375"/>
      <c r="E31" s="783">
        <v>0</v>
      </c>
      <c r="F31" s="1375"/>
      <c r="G31" s="783">
        <v>0</v>
      </c>
      <c r="H31" s="1375"/>
      <c r="I31" s="783">
        <v>0</v>
      </c>
      <c r="J31" s="1375"/>
      <c r="K31" s="782">
        <v>0</v>
      </c>
    </row>
    <row r="32" spans="1:12" ht="16.2" x14ac:dyDescent="0.35">
      <c r="A32" s="447" t="s">
        <v>221</v>
      </c>
      <c r="B32" s="1275"/>
      <c r="C32" s="784">
        <v>0</v>
      </c>
      <c r="D32" s="1275"/>
      <c r="E32" s="144">
        <v>0</v>
      </c>
      <c r="F32" s="454"/>
      <c r="G32" s="144">
        <v>0</v>
      </c>
      <c r="H32" s="1275"/>
      <c r="I32" s="144">
        <v>0</v>
      </c>
      <c r="J32" s="1275"/>
      <c r="K32" s="784">
        <v>0</v>
      </c>
    </row>
    <row r="33" spans="1:13" ht="16.2" x14ac:dyDescent="0.35">
      <c r="A33" s="447" t="s">
        <v>793</v>
      </c>
      <c r="B33" s="1275"/>
      <c r="C33" s="784">
        <v>0</v>
      </c>
      <c r="D33" s="1275"/>
      <c r="E33" s="144">
        <v>0</v>
      </c>
      <c r="F33" s="454"/>
      <c r="G33" s="144">
        <v>0</v>
      </c>
      <c r="H33" s="454"/>
      <c r="I33" s="144">
        <v>0</v>
      </c>
      <c r="J33" s="454"/>
      <c r="K33" s="784">
        <v>0</v>
      </c>
    </row>
    <row r="34" spans="1:13" ht="16.2" x14ac:dyDescent="0.35">
      <c r="A34" s="447"/>
      <c r="B34" s="1275"/>
      <c r="C34" s="1360"/>
      <c r="D34" s="1275"/>
      <c r="E34" s="1361"/>
      <c r="F34" s="1275"/>
      <c r="G34" s="1361"/>
      <c r="H34" s="1275"/>
      <c r="I34" s="1361"/>
      <c r="J34" s="1275"/>
      <c r="K34" s="1376"/>
    </row>
    <row r="35" spans="1:13" ht="16.2" x14ac:dyDescent="0.35">
      <c r="A35" s="1345"/>
      <c r="B35" s="1346"/>
      <c r="C35" s="1347"/>
      <c r="D35" s="1346"/>
      <c r="E35" s="1348"/>
      <c r="F35" s="1346"/>
      <c r="G35" s="1348"/>
      <c r="H35" s="1346"/>
      <c r="I35" s="1348"/>
      <c r="J35" s="1346"/>
      <c r="K35" s="1347"/>
    </row>
    <row r="36" spans="1:13" s="1362" customFormat="1" ht="18" x14ac:dyDescent="0.35">
      <c r="A36" s="1349" t="s">
        <v>431</v>
      </c>
      <c r="B36" s="1350"/>
      <c r="C36" s="1351">
        <f ca="1">C28+C31-C32-C33</f>
        <v>-107521.75880994098</v>
      </c>
      <c r="D36" s="1350"/>
      <c r="E36" s="1352">
        <f ca="1">E28+E31-E32-E33</f>
        <v>-33362.626470077521</v>
      </c>
      <c r="F36" s="1350"/>
      <c r="G36" s="1352">
        <f ca="1">G28+G31-G32-G33</f>
        <v>339150.91546870407</v>
      </c>
      <c r="H36" s="1350"/>
      <c r="I36" s="1352">
        <f ca="1">I28+I31-I32-I33</f>
        <v>620541.60412175441</v>
      </c>
      <c r="J36" s="1350"/>
      <c r="K36" s="1351">
        <f ca="1">K28+K31-K32-K33</f>
        <v>956781.64404085733</v>
      </c>
      <c r="L36" s="1586"/>
    </row>
    <row r="37" spans="1:13" ht="16.2" x14ac:dyDescent="0.35">
      <c r="A37" s="1363"/>
      <c r="B37" s="1354"/>
      <c r="C37" s="1364"/>
      <c r="D37" s="1354"/>
      <c r="E37" s="1365"/>
      <c r="F37" s="1354"/>
      <c r="G37" s="1365"/>
      <c r="H37" s="1354"/>
      <c r="I37" s="1365"/>
      <c r="J37" s="1354"/>
      <c r="K37" s="1364"/>
    </row>
    <row r="38" spans="1:13" ht="16.2" x14ac:dyDescent="0.35">
      <c r="A38" s="447"/>
      <c r="B38" s="1275"/>
      <c r="C38" s="1360"/>
      <c r="D38" s="1275"/>
      <c r="E38" s="1361"/>
      <c r="F38" s="1275"/>
      <c r="G38" s="1361"/>
      <c r="H38" s="1275"/>
      <c r="I38" s="1361"/>
      <c r="J38" s="1275"/>
      <c r="K38" s="1360"/>
    </row>
    <row r="39" spans="1:13" ht="16.2" x14ac:dyDescent="0.35">
      <c r="A39" s="447" t="s">
        <v>223</v>
      </c>
      <c r="B39" s="785">
        <v>0.25</v>
      </c>
      <c r="C39" s="1358">
        <f ca="1">IF(C36&lt;=0,0,C36*$B$39)</f>
        <v>0</v>
      </c>
      <c r="D39" s="785">
        <f>B39</f>
        <v>0.25</v>
      </c>
      <c r="E39" s="1359">
        <f ca="1">IF(E36&lt;=0,0,E36*D39)</f>
        <v>0</v>
      </c>
      <c r="F39" s="785">
        <f>D39</f>
        <v>0.25</v>
      </c>
      <c r="G39" s="1359">
        <f ca="1">IF(G36&lt;=0,0,G36*F39)</f>
        <v>84787.728867176018</v>
      </c>
      <c r="H39" s="785">
        <f>F39</f>
        <v>0.25</v>
      </c>
      <c r="I39" s="1359">
        <f ca="1">IF(I36&lt;=0,0,I36*H39)</f>
        <v>155135.4010304386</v>
      </c>
      <c r="J39" s="785">
        <f>H39</f>
        <v>0.25</v>
      </c>
      <c r="K39" s="1358">
        <f ca="1">IF(K36&lt;=0,0,K36*J39)</f>
        <v>239195.41101021433</v>
      </c>
    </row>
    <row r="40" spans="1:13" ht="16.2" x14ac:dyDescent="0.35">
      <c r="A40" s="447"/>
      <c r="B40" s="1275"/>
      <c r="C40" s="1360"/>
      <c r="D40" s="1275"/>
      <c r="E40" s="1361"/>
      <c r="F40" s="1275"/>
      <c r="G40" s="1361"/>
      <c r="H40" s="1275"/>
      <c r="I40" s="1361"/>
      <c r="J40" s="1275"/>
      <c r="K40" s="1360"/>
    </row>
    <row r="41" spans="1:13" ht="16.2" x14ac:dyDescent="0.35">
      <c r="A41" s="1345"/>
      <c r="B41" s="1346"/>
      <c r="C41" s="1347"/>
      <c r="D41" s="1346"/>
      <c r="E41" s="1348"/>
      <c r="F41" s="1346"/>
      <c r="G41" s="1348"/>
      <c r="H41" s="1346"/>
      <c r="I41" s="1348"/>
      <c r="J41" s="1346"/>
      <c r="K41" s="1347"/>
    </row>
    <row r="42" spans="1:13" s="1362" customFormat="1" ht="18" x14ac:dyDescent="0.35">
      <c r="A42" s="1349" t="s">
        <v>432</v>
      </c>
      <c r="B42" s="1350"/>
      <c r="C42" s="1377">
        <f ca="1">C36-C39</f>
        <v>-107521.75880994098</v>
      </c>
      <c r="D42" s="1378"/>
      <c r="E42" s="1379">
        <f ca="1">E36-E39</f>
        <v>-33362.626470077521</v>
      </c>
      <c r="F42" s="1378"/>
      <c r="G42" s="1379">
        <f ca="1">G36-G39</f>
        <v>254363.18660152805</v>
      </c>
      <c r="H42" s="1378"/>
      <c r="I42" s="1379">
        <f ca="1">I36-I39</f>
        <v>465406.20309131581</v>
      </c>
      <c r="J42" s="1378"/>
      <c r="K42" s="1377">
        <f ca="1">K36-K39</f>
        <v>717586.23303064296</v>
      </c>
      <c r="L42" s="1586"/>
    </row>
    <row r="43" spans="1:13" ht="16.2" x14ac:dyDescent="0.35">
      <c r="A43" s="1363"/>
      <c r="B43" s="1354"/>
      <c r="C43" s="1364"/>
      <c r="D43" s="1354"/>
      <c r="E43" s="1365"/>
      <c r="F43" s="1354"/>
      <c r="G43" s="1365"/>
      <c r="H43" s="1354"/>
      <c r="I43" s="1365"/>
      <c r="J43" s="1354"/>
      <c r="K43" s="1364"/>
    </row>
    <row r="44" spans="1:13" ht="16.2" x14ac:dyDescent="0.35">
      <c r="A44" s="1271"/>
      <c r="B44" s="1271"/>
      <c r="C44" s="1380"/>
      <c r="D44" s="1271"/>
      <c r="E44" s="1380"/>
      <c r="F44" s="1271"/>
      <c r="G44" s="1380"/>
      <c r="H44" s="1271"/>
      <c r="I44" s="1380"/>
      <c r="J44" s="1271"/>
      <c r="K44" s="1380"/>
    </row>
    <row r="45" spans="1:13" ht="16.2" x14ac:dyDescent="0.35">
      <c r="A45" s="1271"/>
      <c r="B45" s="1271"/>
      <c r="C45" s="1380"/>
      <c r="D45" s="1271"/>
      <c r="E45" s="1380"/>
      <c r="F45" s="1271"/>
      <c r="G45" s="1380"/>
      <c r="H45" s="1271"/>
      <c r="I45" s="1380"/>
      <c r="J45" s="1271"/>
      <c r="K45" s="1380"/>
      <c r="M45" s="472"/>
    </row>
    <row r="46" spans="1:13" ht="16.2" x14ac:dyDescent="0.35">
      <c r="A46" s="1381" t="s">
        <v>433</v>
      </c>
      <c r="B46" s="1382"/>
      <c r="C46" s="1383"/>
      <c r="D46" s="1384"/>
      <c r="E46" s="1383"/>
      <c r="F46" s="1384"/>
      <c r="G46" s="1385"/>
      <c r="H46" s="1384"/>
      <c r="I46" s="1383"/>
      <c r="J46" s="1384"/>
      <c r="K46" s="1386"/>
      <c r="M46" s="472"/>
    </row>
    <row r="47" spans="1:13" ht="16.2" x14ac:dyDescent="0.35">
      <c r="A47" s="1387"/>
      <c r="B47" s="1368"/>
      <c r="C47" s="1388"/>
      <c r="D47" s="1368"/>
      <c r="E47" s="1389"/>
      <c r="F47" s="1368"/>
      <c r="G47" s="1389"/>
      <c r="H47" s="1368"/>
      <c r="I47" s="1389"/>
      <c r="J47" s="1368"/>
      <c r="K47" s="1388"/>
    </row>
    <row r="48" spans="1:13" ht="16.2" x14ac:dyDescent="0.35">
      <c r="A48" s="447" t="s">
        <v>224</v>
      </c>
      <c r="B48" s="1275"/>
      <c r="C48" s="782">
        <v>0</v>
      </c>
      <c r="D48" s="1390"/>
      <c r="E48" s="783">
        <v>0</v>
      </c>
      <c r="F48" s="1390"/>
      <c r="G48" s="783">
        <v>0</v>
      </c>
      <c r="H48" s="1390"/>
      <c r="I48" s="783">
        <v>0</v>
      </c>
      <c r="J48" s="1390"/>
      <c r="K48" s="782">
        <v>0</v>
      </c>
    </row>
    <row r="49" spans="1:11" ht="16.2" x14ac:dyDescent="0.35">
      <c r="A49" s="1366" t="s">
        <v>225</v>
      </c>
      <c r="B49" s="1275"/>
      <c r="C49" s="786">
        <v>0</v>
      </c>
      <c r="D49" s="1390"/>
      <c r="E49" s="787">
        <v>0</v>
      </c>
      <c r="F49" s="1390"/>
      <c r="G49" s="787">
        <v>0</v>
      </c>
      <c r="H49" s="1390"/>
      <c r="I49" s="787">
        <v>0</v>
      </c>
      <c r="J49" s="1390"/>
      <c r="K49" s="786">
        <v>0</v>
      </c>
    </row>
    <row r="50" spans="1:11" ht="16.2" x14ac:dyDescent="0.35">
      <c r="A50" s="447" t="s">
        <v>226</v>
      </c>
      <c r="B50" s="1275"/>
      <c r="C50" s="1371">
        <f ca="1">C42-C48-C49</f>
        <v>-107521.75880994098</v>
      </c>
      <c r="D50" s="1390"/>
      <c r="E50" s="1370">
        <f ca="1">E42-E48-E49</f>
        <v>-33362.626470077521</v>
      </c>
      <c r="F50" s="1390"/>
      <c r="G50" s="1370">
        <f ca="1">G42-G48-G49</f>
        <v>254363.18660152805</v>
      </c>
      <c r="H50" s="1390"/>
      <c r="I50" s="1370">
        <f ca="1">I42-I48-I49</f>
        <v>465406.20309131581</v>
      </c>
      <c r="J50" s="1390"/>
      <c r="K50" s="1371">
        <f ca="1">K42-K48-K49</f>
        <v>717586.23303064296</v>
      </c>
    </row>
    <row r="51" spans="1:11" ht="16.2" x14ac:dyDescent="0.35">
      <c r="A51" s="447"/>
      <c r="B51" s="1275"/>
      <c r="C51" s="1371"/>
      <c r="D51" s="1390"/>
      <c r="E51" s="1370"/>
      <c r="F51" s="1390"/>
      <c r="G51" s="1370"/>
      <c r="H51" s="1390"/>
      <c r="I51" s="1370"/>
      <c r="J51" s="1390"/>
      <c r="K51" s="1371"/>
    </row>
    <row r="52" spans="1:11" ht="16.2" x14ac:dyDescent="0.35">
      <c r="A52" s="1366" t="s">
        <v>227</v>
      </c>
      <c r="B52" s="1275"/>
      <c r="C52" s="1371"/>
      <c r="D52" s="1375"/>
      <c r="E52" s="1370"/>
      <c r="F52" s="1375"/>
      <c r="G52" s="1370"/>
      <c r="H52" s="1375"/>
      <c r="I52" s="1370"/>
      <c r="J52" s="1375"/>
      <c r="K52" s="1371"/>
    </row>
    <row r="53" spans="1:11" ht="16.2" x14ac:dyDescent="0.35">
      <c r="A53" s="1391"/>
      <c r="B53" s="1392"/>
      <c r="C53" s="1393"/>
      <c r="D53" s="1394"/>
      <c r="E53" s="1395"/>
      <c r="F53" s="1394"/>
      <c r="G53" s="1395"/>
      <c r="H53" s="1394"/>
      <c r="I53" s="1395"/>
      <c r="J53" s="1394"/>
      <c r="K53" s="1393"/>
    </row>
    <row r="54" spans="1:11" hidden="1" x14ac:dyDescent="0.35"/>
    <row r="55" spans="1:11" hidden="1" x14ac:dyDescent="0.35"/>
    <row r="56" spans="1:11" hidden="1" x14ac:dyDescent="0.35">
      <c r="B56" s="1397"/>
    </row>
    <row r="57" spans="1:11" hidden="1" x14ac:dyDescent="0.35">
      <c r="B57" s="1397"/>
    </row>
    <row r="58" spans="1:11" hidden="1" x14ac:dyDescent="0.35">
      <c r="B58" s="1397"/>
    </row>
    <row r="59" spans="1:11" hidden="1" x14ac:dyDescent="0.35">
      <c r="B59" s="1397"/>
    </row>
    <row r="60" spans="1:11" hidden="1" x14ac:dyDescent="0.35">
      <c r="B60" s="1397"/>
    </row>
    <row r="61" spans="1:11" hidden="1" x14ac:dyDescent="0.35">
      <c r="B61" s="1397"/>
    </row>
    <row r="62" spans="1:11" hidden="1" x14ac:dyDescent="0.35">
      <c r="B62" s="1397"/>
    </row>
    <row r="63" spans="1:11" hidden="1" x14ac:dyDescent="0.35">
      <c r="B63" s="1397"/>
    </row>
    <row r="64" spans="1:11" hidden="1" x14ac:dyDescent="0.35">
      <c r="B64" s="1397"/>
    </row>
    <row r="65" spans="2:2" hidden="1" x14ac:dyDescent="0.35">
      <c r="B65" s="1397"/>
    </row>
    <row r="66" spans="2:2" hidden="1" x14ac:dyDescent="0.35">
      <c r="B66" s="1397"/>
    </row>
    <row r="67" spans="2:2" hidden="1" x14ac:dyDescent="0.35">
      <c r="B67" s="1397"/>
    </row>
    <row r="68" spans="2:2" hidden="1" x14ac:dyDescent="0.35">
      <c r="B68" s="1397"/>
    </row>
    <row r="69" spans="2:2" hidden="1" x14ac:dyDescent="0.35">
      <c r="B69" s="1397"/>
    </row>
    <row r="70" spans="2:2" hidden="1" x14ac:dyDescent="0.35">
      <c r="B70" s="1397"/>
    </row>
    <row r="71" spans="2:2" hidden="1" x14ac:dyDescent="0.35">
      <c r="B71" s="1397"/>
    </row>
    <row r="72" spans="2:2" hidden="1" x14ac:dyDescent="0.35">
      <c r="B72" s="1397"/>
    </row>
    <row r="73" spans="2:2" hidden="1" x14ac:dyDescent="0.35">
      <c r="B73" s="1397"/>
    </row>
  </sheetData>
  <sheetProtection password="813F" sheet="1" objects="1" scenarios="1" selectLockedCells="1"/>
  <customSheetViews>
    <customSheetView guid="{51165254-F18A-4CD1-9981-8F2DE14CC76C}" scale="90" showGridLines="0" fitToPage="1" hiddenRows="1" hiddenColumns="1" showRuler="0">
      <pane ySplit="5" topLeftCell="A6" activePane="bottomLeft" state="frozen"/>
      <selection pane="bottomLeft" activeCell="C24" sqref="C24"/>
      <pageMargins left="0.78740157480314965" right="0.78740157480314965" top="0.98425196850393704" bottom="0.98425196850393704" header="0.51181102362204722" footer="0.51181102362204722"/>
      <printOptions horizontalCentered="1" verticalCentered="1"/>
      <pageSetup paperSize="9" scale="47"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47"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0">
    <tabColor indexed="22"/>
    <pageSetUpPr fitToPage="1"/>
  </sheetPr>
  <dimension ref="A1:IV100"/>
  <sheetViews>
    <sheetView showGridLines="0" zoomScaleNormal="100" workbookViewId="0">
      <pane ySplit="6" topLeftCell="A64" activePane="bottomLeft" state="frozen"/>
      <selection activeCell="C21" sqref="C21"/>
      <selection pane="bottomLeft" activeCell="C21" sqref="C21"/>
    </sheetView>
  </sheetViews>
  <sheetFormatPr baseColWidth="10" defaultColWidth="0" defaultRowHeight="14.4" zeroHeight="1" x14ac:dyDescent="0.35"/>
  <cols>
    <col min="1" max="1" width="43.77734375" style="45" customWidth="1"/>
    <col min="2" max="2" width="9.109375" style="45" customWidth="1"/>
    <col min="3" max="3" width="17.77734375" style="45" customWidth="1"/>
    <col min="4" max="4" width="12.33203125" style="45" customWidth="1"/>
    <col min="5" max="5" width="17.77734375" style="45" customWidth="1"/>
    <col min="6" max="6" width="12.33203125" style="45" customWidth="1"/>
    <col min="7" max="7" width="17.77734375" style="45" customWidth="1"/>
    <col min="8" max="8" width="12.33203125" style="45" customWidth="1"/>
    <col min="9" max="9" width="17.77734375" style="45" customWidth="1"/>
    <col min="10" max="10" width="12.33203125" style="45" customWidth="1"/>
    <col min="11" max="11" width="17.77734375" style="45" customWidth="1"/>
    <col min="12" max="12" width="1.44140625" style="45" customWidth="1"/>
    <col min="13" max="16384" width="9.109375" style="45" hidden="1"/>
  </cols>
  <sheetData>
    <row r="1" spans="1:11" ht="28.8" x14ac:dyDescent="0.55000000000000004">
      <c r="A1" s="200" t="s">
        <v>1173</v>
      </c>
      <c r="B1" s="201"/>
      <c r="C1" s="201"/>
      <c r="D1" s="201"/>
      <c r="E1" s="201"/>
      <c r="F1" s="201"/>
      <c r="G1" s="201"/>
      <c r="H1" s="201"/>
      <c r="I1" s="201"/>
      <c r="J1" s="201"/>
      <c r="K1" s="202" t="s">
        <v>783</v>
      </c>
    </row>
    <row r="2" spans="1:11" x14ac:dyDescent="0.35">
      <c r="A2" s="135"/>
      <c r="B2" s="136"/>
      <c r="C2" s="136"/>
      <c r="D2" s="136"/>
      <c r="E2" s="280"/>
      <c r="F2" s="136"/>
      <c r="G2" s="136"/>
      <c r="H2" s="136"/>
      <c r="I2" s="136"/>
      <c r="J2" s="136"/>
      <c r="K2" s="137"/>
    </row>
    <row r="3" spans="1:11" ht="16.2" x14ac:dyDescent="0.35">
      <c r="A3" s="138" t="s">
        <v>1035</v>
      </c>
      <c r="B3" s="239" t="str">
        <f>'Reference sheet'!C12</f>
        <v>TRUCK INTERNATIONAL MOBILITY SA</v>
      </c>
      <c r="C3" s="240"/>
      <c r="E3" s="242" t="s">
        <v>1036</v>
      </c>
      <c r="F3" s="282">
        <f>'Reference sheet'!C15</f>
        <v>2</v>
      </c>
      <c r="G3" s="283" t="s">
        <v>1037</v>
      </c>
      <c r="H3" s="982" t="str">
        <f>'Reference sheet'!C17</f>
        <v>October</v>
      </c>
      <c r="I3" s="982">
        <f>'Reference sheet'!D17</f>
        <v>2018</v>
      </c>
      <c r="J3" s="143" t="s">
        <v>1175</v>
      </c>
      <c r="K3" s="284" t="str">
        <f>'Reference sheet'!C21</f>
        <v>EUR</v>
      </c>
    </row>
    <row r="4" spans="1:11" x14ac:dyDescent="0.35">
      <c r="A4" s="135"/>
      <c r="B4" s="181"/>
      <c r="C4" s="136"/>
      <c r="D4" s="136"/>
      <c r="E4" s="136"/>
      <c r="F4" s="136"/>
      <c r="G4" s="182"/>
      <c r="H4" s="136"/>
      <c r="I4" s="136"/>
      <c r="J4" s="136"/>
      <c r="K4" s="340"/>
    </row>
    <row r="5" spans="1:11" x14ac:dyDescent="0.35">
      <c r="A5" s="135"/>
      <c r="B5" s="181"/>
      <c r="C5" s="642"/>
      <c r="D5" s="136"/>
      <c r="E5" s="136"/>
      <c r="F5" s="136"/>
      <c r="G5" s="182"/>
      <c r="H5" s="136"/>
      <c r="I5" s="136"/>
      <c r="J5" s="136"/>
      <c r="K5" s="340"/>
    </row>
    <row r="6" spans="1:11" x14ac:dyDescent="0.35">
      <c r="A6" s="145"/>
      <c r="B6" s="178"/>
      <c r="C6" s="341">
        <f>'7.9.2 Balance Liabilities'!C6</f>
        <v>2019</v>
      </c>
      <c r="D6" s="342"/>
      <c r="E6" s="288">
        <f>+'7.1 Dealer area'!E5</f>
        <v>2020</v>
      </c>
      <c r="F6" s="343"/>
      <c r="G6" s="288">
        <f>+'7.1 Dealer area'!G5</f>
        <v>2021</v>
      </c>
      <c r="H6" s="344"/>
      <c r="I6" s="288">
        <f>+'7.1 Dealer area'!I5</f>
        <v>2022</v>
      </c>
      <c r="J6" s="344"/>
      <c r="K6" s="288">
        <f>+'7.1 Dealer area'!K5</f>
        <v>2023</v>
      </c>
    </row>
    <row r="7" spans="1:11" ht="22.2" x14ac:dyDescent="0.45">
      <c r="A7" s="1181" t="s">
        <v>600</v>
      </c>
      <c r="B7" s="1210"/>
      <c r="C7" s="1078"/>
      <c r="D7" s="833"/>
      <c r="E7" s="833"/>
      <c r="F7" s="833"/>
      <c r="G7" s="1102"/>
      <c r="H7" s="833"/>
      <c r="I7" s="833"/>
      <c r="J7" s="833"/>
      <c r="K7" s="1103"/>
    </row>
    <row r="8" spans="1:11" x14ac:dyDescent="0.35">
      <c r="A8" s="135"/>
      <c r="B8" s="1679"/>
      <c r="C8" s="841"/>
      <c r="D8" s="839"/>
      <c r="E8" s="839"/>
      <c r="F8" s="839"/>
      <c r="G8" s="1185"/>
      <c r="H8" s="839"/>
      <c r="I8" s="839"/>
      <c r="J8" s="839"/>
      <c r="K8" s="1186"/>
    </row>
    <row r="9" spans="1:11" x14ac:dyDescent="0.35">
      <c r="A9" s="221" t="s">
        <v>596</v>
      </c>
      <c r="B9" s="79"/>
      <c r="C9" s="981">
        <f>'7.7 P&amp;L'!C7</f>
        <v>2091426.6048094556</v>
      </c>
      <c r="D9" s="1680"/>
      <c r="E9" s="1680">
        <f ca="1">'7.7 P&amp;L'!E7</f>
        <v>5221371.6089377711</v>
      </c>
      <c r="F9" s="1680"/>
      <c r="G9" s="1680">
        <f ca="1">'7.7 P&amp;L'!G7</f>
        <v>8757981.3230290413</v>
      </c>
      <c r="H9" s="1680"/>
      <c r="I9" s="1680">
        <f ca="1">'7.7 P&amp;L'!I7</f>
        <v>11107178.192433998</v>
      </c>
      <c r="J9" s="1680"/>
      <c r="K9" s="981">
        <f ca="1">'7.7 P&amp;L'!K7</f>
        <v>13431373.112078246</v>
      </c>
    </row>
    <row r="10" spans="1:11" x14ac:dyDescent="0.35">
      <c r="A10" s="221" t="s">
        <v>38</v>
      </c>
      <c r="B10" s="79"/>
      <c r="C10" s="1191">
        <f>IF('7.7 P&amp;L'!C7=0,0,'7.7 P&amp;L'!C13/'7.7 P&amp;L'!C7)</f>
        <v>0.14239363993885626</v>
      </c>
      <c r="D10" s="1681"/>
      <c r="E10" s="1681">
        <f ca="1">IF('7.7 P&amp;L'!E7=0,0,'7.7 P&amp;L'!E13/'7.7 P&amp;L'!E7)</f>
        <v>0.1429698219128904</v>
      </c>
      <c r="F10" s="1681"/>
      <c r="G10" s="1681">
        <f ca="1">IF('7.7 P&amp;L'!G7=0,0,'7.7 P&amp;L'!G13/'7.7 P&amp;L'!G7)</f>
        <v>0.13893296162099486</v>
      </c>
      <c r="H10" s="1681"/>
      <c r="I10" s="1681">
        <f ca="1">IF('7.7 P&amp;L'!I7=0,0,'7.7 P&amp;L'!I13/'7.7 P&amp;L'!I7)</f>
        <v>0.14035029455977244</v>
      </c>
      <c r="J10" s="1681"/>
      <c r="K10" s="1191">
        <f ca="1">IF('7.7 P&amp;L'!K7=0,0,'7.7 P&amp;L'!K13/'7.7 P&amp;L'!K7)</f>
        <v>0.14175630793727326</v>
      </c>
    </row>
    <row r="11" spans="1:11" x14ac:dyDescent="0.35">
      <c r="A11" s="221" t="s">
        <v>583</v>
      </c>
      <c r="B11" s="79"/>
      <c r="C11" s="1191">
        <f>IF('7.7 P&amp;L'!C7=0,0,'7.7 P&amp;L'!C22/'7.7 P&amp;L'!C7)</f>
        <v>-4.3313202035300639E-2</v>
      </c>
      <c r="D11" s="1190"/>
      <c r="E11" s="1190">
        <f ca="1">IF('7.7 P&amp;L'!E7=0,0,'7.7 P&amp;L'!E22/'7.7 P&amp;L'!E7)</f>
        <v>6.5245173437957459E-3</v>
      </c>
      <c r="F11" s="1190"/>
      <c r="G11" s="1190">
        <f ca="1">IF('7.7 P&amp;L'!G7=0,0,'7.7 P&amp;L'!G22/'7.7 P&amp;L'!G7)</f>
        <v>4.6689596681174894E-2</v>
      </c>
      <c r="H11" s="1190"/>
      <c r="I11" s="1190">
        <f ca="1">IF('7.7 P&amp;L'!I7=0,0,'7.7 P&amp;L'!I22/'7.7 P&amp;L'!I7)</f>
        <v>6.1023158445055486E-2</v>
      </c>
      <c r="J11" s="1190"/>
      <c r="K11" s="1191">
        <f ca="1">IF('7.7 P&amp;L'!K7=0,0,'7.7 P&amp;L'!K22/'7.7 P&amp;L'!K7)</f>
        <v>7.3007826281993357E-2</v>
      </c>
    </row>
    <row r="12" spans="1:11" x14ac:dyDescent="0.35">
      <c r="A12" s="221" t="s">
        <v>584</v>
      </c>
      <c r="B12" s="79"/>
      <c r="C12" s="1191">
        <f ca="1">IF('7.7 P&amp;L'!C7=0,0,'7.7 P&amp;L'!C42/'7.7 P&amp;L'!C7)</f>
        <v>-5.1410725369316512E-2</v>
      </c>
      <c r="D12" s="1190"/>
      <c r="E12" s="1190">
        <f ca="1">IF('7.7 P&amp;L'!E7=0,0,'7.7 P&amp;L'!E42/'7.7 P&amp;L'!E7)</f>
        <v>-6.3896288118946527E-3</v>
      </c>
      <c r="F12" s="1190"/>
      <c r="G12" s="1190">
        <f ca="1">IF('7.7 P&amp;L'!G7=0,0,'7.7 P&amp;L'!G42/'7.7 P&amp;L'!G7)</f>
        <v>2.9043586326529619E-2</v>
      </c>
      <c r="H12" s="1190"/>
      <c r="I12" s="1190">
        <f ca="1">IF('7.7 P&amp;L'!I7=0,0,'7.7 P&amp;L'!I42/'7.7 P&amp;L'!I7)</f>
        <v>4.1901389806489449E-2</v>
      </c>
      <c r="J12" s="1190"/>
      <c r="K12" s="1191">
        <f ca="1">IF('7.7 P&amp;L'!K7=0,0,'7.7 P&amp;L'!K42/'7.7 P&amp;L'!K7)</f>
        <v>5.3426126058946949E-2</v>
      </c>
    </row>
    <row r="13" spans="1:11" x14ac:dyDescent="0.35">
      <c r="A13" s="221" t="s">
        <v>585</v>
      </c>
      <c r="B13" s="79"/>
      <c r="C13" s="1191">
        <f ca="1">IF('7.9.1 Balance Assets'!C50=0,0,'7.7 P&amp;L'!C42/'7.9.1 Balance Assets'!C50)</f>
        <v>-6.0533374988600105E-2</v>
      </c>
      <c r="D13" s="1190"/>
      <c r="E13" s="1190">
        <f ca="1">IF('7.9.1 Balance Assets'!E50=0,0,'7.7 P&amp;L'!E42/'7.9.1 Balance Assets'!E50)</f>
        <v>-8.3358538356228095E-3</v>
      </c>
      <c r="F13" s="1190"/>
      <c r="G13" s="1190">
        <f ca="1">IF('7.9.1 Balance Assets'!G50=0,0,'7.7 P&amp;L'!G42/'7.9.1 Balance Assets'!G50)</f>
        <v>3.997729034248787E-2</v>
      </c>
      <c r="H13" s="1190"/>
      <c r="I13" s="1190">
        <f ca="1">IF('7.9.1 Balance Assets'!I50=0,0,'7.7 P&amp;L'!I42/'7.9.1 Balance Assets'!I50)</f>
        <v>5.7942596582278336E-2</v>
      </c>
      <c r="J13" s="1190"/>
      <c r="K13" s="1191">
        <f ca="1">IF('7.9.1 Balance Assets'!K50=0,0,'7.7 P&amp;L'!K42/'7.9.1 Balance Assets'!K50)</f>
        <v>7.2467256484897019E-2</v>
      </c>
    </row>
    <row r="14" spans="1:11" x14ac:dyDescent="0.35">
      <c r="A14" s="221" t="s">
        <v>586</v>
      </c>
      <c r="B14" s="79"/>
      <c r="C14" s="1191">
        <f ca="1">IF('7.9.2 Balance Liabilities'!C22=0,0,'7.7 P&amp;L'!C42/'7.9.2 Balance Liabilities'!C22)</f>
        <v>-0.27395597392588494</v>
      </c>
      <c r="D14" s="1190"/>
      <c r="E14" s="1190">
        <f ca="1">IF('7.9.2 Balance Liabilities'!E22=0,0,'7.7 P&amp;L'!E42/'7.9.2 Balance Liabilities'!E22)</f>
        <v>-3.8833686524195783E-2</v>
      </c>
      <c r="F14" s="1190"/>
      <c r="G14" s="1190">
        <f ca="1">IF('7.9.2 Balance Liabilities'!G22=0,0,'7.7 P&amp;L'!G42/'7.9.2 Balance Liabilities'!G22)</f>
        <v>0.18655455908444959</v>
      </c>
      <c r="H14" s="1190"/>
      <c r="I14" s="1190">
        <f ca="1">IF('7.9.2 Balance Liabilities'!I22=0,0,'7.7 P&amp;L'!I42/'7.9.2 Balance Liabilities'!I22)</f>
        <v>0.2544753781502721</v>
      </c>
      <c r="J14" s="1190"/>
      <c r="K14" s="1191">
        <f ca="1">IF('7.9.2 Balance Liabilities'!K22=0,0,'7.7 P&amp;L'!K42/'7.9.2 Balance Liabilities'!K22)</f>
        <v>0.28179632366516116</v>
      </c>
    </row>
    <row r="15" spans="1:11" x14ac:dyDescent="0.35">
      <c r="A15" s="221" t="s">
        <v>587</v>
      </c>
      <c r="B15" s="79"/>
      <c r="C15" s="1191">
        <f>IF('7.10 Ratio''s balance'!C73=0,0,'7.10 Ratio''s balance'!C73)</f>
        <v>0.21466726136378261</v>
      </c>
      <c r="D15" s="1190"/>
      <c r="E15" s="1190">
        <f ca="1">IF('7.10 Ratio''s balance'!E73=0,0,'7.10 Ratio''s balance'!E73)</f>
        <v>0.27563195545332803</v>
      </c>
      <c r="F15" s="1190"/>
      <c r="G15" s="1190">
        <f ca="1">IF('7.10 Ratio''s balance'!G73=0,0,'7.10 Ratio''s balance'!G73)</f>
        <v>0.34448592702976033</v>
      </c>
      <c r="H15" s="1190"/>
      <c r="I15" s="1190">
        <f ca="1">IF('7.10 Ratio''s balance'!I73=0,0,'7.10 Ratio''s balance'!I73)</f>
        <v>0.44836825451733808</v>
      </c>
      <c r="J15" s="1190"/>
      <c r="K15" s="1191">
        <f ca="1">IF('7.10 Ratio''s balance'!K73=0,0,'7.10 Ratio''s balance'!K73)</f>
        <v>0.58520236039095852</v>
      </c>
    </row>
    <row r="16" spans="1:11" x14ac:dyDescent="0.35">
      <c r="A16" s="221" t="s">
        <v>588</v>
      </c>
      <c r="B16" s="79"/>
      <c r="C16" s="1191">
        <f ca="1">IF('7.9.2 Balance Liabilities'!C22=0,0,'7.9.2 Balance Liabilities'!C56/'7.9.2 Balance Liabilities'!C22)</f>
        <v>3.5257013007696578</v>
      </c>
      <c r="D16" s="1190"/>
      <c r="E16" s="1190">
        <f ca="1">IF('7.9.2 Balance Liabilities'!E22=0,0,'7.9.2 Balance Liabilities'!E56/'7.9.2 Balance Liabilities'!E22)</f>
        <v>3.6586333313861821</v>
      </c>
      <c r="F16" s="1190"/>
      <c r="G16" s="1190">
        <f ca="1">IF('7.9.2 Balance Liabilities'!G22=0,0,'7.9.2 Balance Liabilities'!G56/'7.9.2 Balance Liabilities'!G22)</f>
        <v>3.6665133501101597</v>
      </c>
      <c r="H16" s="1190"/>
      <c r="I16" s="1190">
        <f ca="1">IF('7.9.2 Balance Liabilities'!I22=0,0,'7.9.2 Balance Liabilities'!I56/'7.9.2 Balance Liabilities'!I22)</f>
        <v>3.3918531988623899</v>
      </c>
      <c r="J16" s="1190"/>
      <c r="K16" s="1191">
        <f ca="1">IF('7.9.2 Balance Liabilities'!K22=0,0,'7.9.2 Balance Liabilities'!K56/'7.9.2 Balance Liabilities'!K22)</f>
        <v>2.88860207125256</v>
      </c>
    </row>
    <row r="17" spans="1:256" x14ac:dyDescent="0.35">
      <c r="A17" s="221" t="s">
        <v>589</v>
      </c>
      <c r="B17" s="79"/>
      <c r="C17" s="1250">
        <f ca="1">IF('7.9.2 Balance Liabilities'!C53=0,0,'7.9.1 Balance Assets'!C45/'7.9.2 Balance Liabilities'!C53)</f>
        <v>1.4358611492455911</v>
      </c>
      <c r="D17" s="1255"/>
      <c r="E17" s="1255">
        <f ca="1">IF('7.9.2 Balance Liabilities'!E53=0,0,'7.9.1 Balance Assets'!E45/'7.9.2 Balance Liabilities'!E53)</f>
        <v>1.1844770113443315</v>
      </c>
      <c r="F17" s="1255"/>
      <c r="G17" s="1255">
        <f ca="1">IF('7.9.2 Balance Liabilities'!G53=0,0,'7.9.1 Balance Assets'!G45/'7.9.2 Balance Liabilities'!G53)</f>
        <v>1.2289983470289167</v>
      </c>
      <c r="H17" s="1255"/>
      <c r="I17" s="1255">
        <f ca="1">IF('7.9.2 Balance Liabilities'!I53=0,0,'7.9.1 Balance Assets'!I45/'7.9.2 Balance Liabilities'!I53)</f>
        <v>1.2664318625632651</v>
      </c>
      <c r="J17" s="1255"/>
      <c r="K17" s="1250">
        <f ca="1">IF('7.9.2 Balance Liabilities'!K53=0,0,'7.9.1 Balance Assets'!K45/'7.9.2 Balance Liabilities'!K53)</f>
        <v>1.3223691737232275</v>
      </c>
    </row>
    <row r="18" spans="1:256" x14ac:dyDescent="0.35">
      <c r="A18" s="221" t="s">
        <v>590</v>
      </c>
      <c r="B18" s="79"/>
      <c r="C18" s="1251">
        <f ca="1">IF('7.9.2 Balance Liabilities'!C53=0,0,('7.9.1 Balance Assets'!C45-'7.9.1 Balance Assets'!C36)/'7.9.2 Balance Liabilities'!C53)</f>
        <v>0.90304885879490171</v>
      </c>
      <c r="D18" s="1255"/>
      <c r="E18" s="1255">
        <f ca="1">IF('7.9.2 Balance Liabilities'!E53=0,0,('7.9.1 Balance Assets'!E45-'7.9.1 Balance Assets'!E36)/'7.9.2 Balance Liabilities'!E53)</f>
        <v>0.64932713177359724</v>
      </c>
      <c r="F18" s="1255"/>
      <c r="G18" s="1255">
        <f ca="1">IF('7.9.2 Balance Liabilities'!G53=0,0,('7.9.1 Balance Assets'!G45-'7.9.1 Balance Assets'!G36)/'7.9.2 Balance Liabilities'!G53)</f>
        <v>0.68738821387006788</v>
      </c>
      <c r="H18" s="1255"/>
      <c r="I18" s="1255">
        <f ca="1">IF('7.9.2 Balance Liabilities'!I53=0,0,('7.9.1 Balance Assets'!I45-'7.9.1 Balance Assets'!I36)/'7.9.2 Balance Liabilities'!I53)</f>
        <v>0.71973629741703604</v>
      </c>
      <c r="J18" s="1255"/>
      <c r="K18" s="1251">
        <f ca="1">IF('7.9.2 Balance Liabilities'!K53=0,0,('7.9.1 Balance Assets'!K45-'7.9.1 Balance Assets'!K36)/'7.9.2 Balance Liabilities'!K53)</f>
        <v>0.76865914615067199</v>
      </c>
    </row>
    <row r="19" spans="1:256" x14ac:dyDescent="0.35">
      <c r="A19" s="221" t="s">
        <v>591</v>
      </c>
      <c r="B19" s="79"/>
      <c r="C19" s="1191">
        <f ca="1">IF('7.9.2 Balance Liabilities'!C61=0,0,'7.9.2 Balance Liabilities'!C22/'7.9.2 Balance Liabilities'!C61)</f>
        <v>0.22096022992722394</v>
      </c>
      <c r="D19" s="1190"/>
      <c r="E19" s="1190">
        <f ca="1">IF('7.9.2 Balance Liabilities'!E61=0,0,'7.9.2 Balance Liabilities'!E22/'7.9.2 Balance Liabilities'!E61)</f>
        <v>0.2146552280177948</v>
      </c>
      <c r="F19" s="1190"/>
      <c r="G19" s="1190">
        <f ca="1">IF('7.9.2 Balance Liabilities'!G61=0,0,'7.9.2 Balance Liabilities'!G22/'7.9.2 Balance Liabilities'!G61)</f>
        <v>0.21429275456297445</v>
      </c>
      <c r="H19" s="1190"/>
      <c r="I19" s="1190">
        <f ca="1">IF('7.9.2 Balance Liabilities'!I61=0,0,'7.9.2 Balance Liabilities'!I22/'7.9.2 Balance Liabilities'!I61)</f>
        <v>0.22769431370316004</v>
      </c>
      <c r="J19" s="1190"/>
      <c r="K19" s="1191">
        <f ca="1">IF('7.9.2 Balance Liabilities'!K61=0,0,'7.9.2 Balance Liabilities'!K22/'7.9.2 Balance Liabilities'!K61)</f>
        <v>0.25716182362621881</v>
      </c>
    </row>
    <row r="20" spans="1:256" x14ac:dyDescent="0.35">
      <c r="A20" s="221" t="s">
        <v>592</v>
      </c>
      <c r="B20" s="79"/>
      <c r="C20" s="981">
        <f>IF('7.7 P&amp;L'!C7=0,0,'7.9.1 Balance Assets'!C38/'7.7 P&amp;L'!C7*365)</f>
        <v>132.3792754491881</v>
      </c>
      <c r="D20" s="1180"/>
      <c r="E20" s="1180">
        <f ca="1">IF('7.7 P&amp;L'!E7=0,0,'7.9.1 Balance Assets'!E38/'7.7 P&amp;L'!E7*365)</f>
        <v>132.94648083442598</v>
      </c>
      <c r="F20" s="1180"/>
      <c r="G20" s="1180">
        <f ca="1">IF('7.7 P&amp;L'!G7=0,0,'7.9.1 Balance Assets'!G38/'7.7 P&amp;L'!G7*365)</f>
        <v>134.57564798595587</v>
      </c>
      <c r="H20" s="1180"/>
      <c r="I20" s="1180">
        <f ca="1">IF('7.7 P&amp;L'!I7=0,0,'7.9.1 Balance Assets'!I38/'7.7 P&amp;L'!I7*365)</f>
        <v>133.18008678345879</v>
      </c>
      <c r="J20" s="1180"/>
      <c r="K20" s="981">
        <f ca="1">IF('7.7 P&amp;L'!K7=0,0,'7.9.1 Balance Assets'!K38/'7.7 P&amp;L'!K7*365)</f>
        <v>131.42580494354061</v>
      </c>
      <c r="L20" s="366">
        <f>IF('7.7 P&amp;L'!L7=0,0,'7.9.1 Balance Assets'!L38/'7.7 P&amp;L'!L7*365)</f>
        <v>0</v>
      </c>
      <c r="M20" s="366">
        <f>IF('7.7 P&amp;L'!M7=0,0,'7.9.1 Balance Assets'!M38/'7.7 P&amp;L'!M7*365)</f>
        <v>0</v>
      </c>
      <c r="N20" s="366">
        <f>IF('7.7 P&amp;L'!N7=0,0,'7.9.1 Balance Assets'!N38/'7.7 P&amp;L'!N7*365)</f>
        <v>0</v>
      </c>
      <c r="O20" s="366">
        <f>IF('7.7 P&amp;L'!O7=0,0,'7.9.1 Balance Assets'!O38/'7.7 P&amp;L'!O7*365)</f>
        <v>0</v>
      </c>
      <c r="P20" s="366">
        <f>IF('7.7 P&amp;L'!P7=0,0,'7.9.1 Balance Assets'!P38/'7.7 P&amp;L'!P7*365)</f>
        <v>0</v>
      </c>
      <c r="Q20" s="366">
        <f>IF('7.7 P&amp;L'!Q7=0,0,'7.9.1 Balance Assets'!Q38/'7.7 P&amp;L'!Q7*365)</f>
        <v>0</v>
      </c>
      <c r="R20" s="366">
        <f>IF('7.7 P&amp;L'!R7=0,0,'7.9.1 Balance Assets'!R38/'7.7 P&amp;L'!R7*365)</f>
        <v>0</v>
      </c>
      <c r="S20" s="366">
        <f>IF('7.7 P&amp;L'!S7=0,0,'7.9.1 Balance Assets'!S38/'7.7 P&amp;L'!S7*365)</f>
        <v>0</v>
      </c>
      <c r="T20" s="366">
        <f>IF('7.7 P&amp;L'!T7=0,0,'7.9.1 Balance Assets'!T38/'7.7 P&amp;L'!T7*365)</f>
        <v>0</v>
      </c>
      <c r="U20" s="366">
        <f>IF('7.7 P&amp;L'!U7=0,0,'7.9.1 Balance Assets'!U38/'7.7 P&amp;L'!U7*365)</f>
        <v>0</v>
      </c>
      <c r="V20" s="366">
        <f>IF('7.7 P&amp;L'!V7=0,0,'7.9.1 Balance Assets'!V38/'7.7 P&amp;L'!V7*365)</f>
        <v>0</v>
      </c>
      <c r="W20" s="366">
        <f>IF('7.7 P&amp;L'!W7=0,0,'7.9.1 Balance Assets'!W38/'7.7 P&amp;L'!W7*365)</f>
        <v>0</v>
      </c>
      <c r="X20" s="366">
        <f>IF('7.7 P&amp;L'!X7=0,0,'7.9.1 Balance Assets'!X38/'7.7 P&amp;L'!X7*365)</f>
        <v>0</v>
      </c>
      <c r="Y20" s="366">
        <f>IF('7.7 P&amp;L'!Y7=0,0,'7.9.1 Balance Assets'!Y38/'7.7 P&amp;L'!Y7*365)</f>
        <v>0</v>
      </c>
      <c r="Z20" s="366">
        <f>IF('7.7 P&amp;L'!Z7=0,0,'7.9.1 Balance Assets'!Z38/'7.7 P&amp;L'!Z7*365)</f>
        <v>0</v>
      </c>
      <c r="AA20" s="366">
        <f>IF('7.7 P&amp;L'!AA7=0,0,'7.9.1 Balance Assets'!AA38/'7.7 P&amp;L'!AA7*365)</f>
        <v>0</v>
      </c>
      <c r="AB20" s="366">
        <f>IF('7.7 P&amp;L'!AB7=0,0,'7.9.1 Balance Assets'!AB38/'7.7 P&amp;L'!AB7*365)</f>
        <v>0</v>
      </c>
      <c r="AC20" s="366">
        <f>IF('7.7 P&amp;L'!AC7=0,0,'7.9.1 Balance Assets'!AC38/'7.7 P&amp;L'!AC7*365)</f>
        <v>0</v>
      </c>
      <c r="AD20" s="366">
        <f>IF('7.7 P&amp;L'!AD7=0,0,'7.9.1 Balance Assets'!AD38/'7.7 P&amp;L'!AD7*365)</f>
        <v>0</v>
      </c>
      <c r="AE20" s="366">
        <f>IF('7.7 P&amp;L'!AE7=0,0,'7.9.1 Balance Assets'!AE38/'7.7 P&amp;L'!AE7*365)</f>
        <v>0</v>
      </c>
      <c r="AF20" s="366">
        <f>IF('7.7 P&amp;L'!AF7=0,0,'7.9.1 Balance Assets'!AF38/'7.7 P&amp;L'!AF7*365)</f>
        <v>0</v>
      </c>
      <c r="AG20" s="366">
        <f>IF('7.7 P&amp;L'!AG7=0,0,'7.9.1 Balance Assets'!AG38/'7.7 P&amp;L'!AG7*365)</f>
        <v>0</v>
      </c>
      <c r="AH20" s="366">
        <f>IF('7.7 P&amp;L'!AH7=0,0,'7.9.1 Balance Assets'!AH38/'7.7 P&amp;L'!AH7*365)</f>
        <v>0</v>
      </c>
      <c r="AI20" s="366">
        <f>IF('7.7 P&amp;L'!AI7=0,0,'7.9.1 Balance Assets'!AI38/'7.7 P&amp;L'!AI7*365)</f>
        <v>0</v>
      </c>
      <c r="AJ20" s="366">
        <f>IF('7.7 P&amp;L'!AJ7=0,0,'7.9.1 Balance Assets'!AJ38/'7.7 P&amp;L'!AJ7*365)</f>
        <v>0</v>
      </c>
      <c r="AK20" s="366">
        <f>IF('7.7 P&amp;L'!AK7=0,0,'7.9.1 Balance Assets'!AK38/'7.7 P&amp;L'!AK7*365)</f>
        <v>0</v>
      </c>
      <c r="AL20" s="366">
        <f>IF('7.7 P&amp;L'!AL7=0,0,'7.9.1 Balance Assets'!AL38/'7.7 P&amp;L'!AL7*365)</f>
        <v>0</v>
      </c>
      <c r="AM20" s="366">
        <f>IF('7.7 P&amp;L'!AM7=0,0,'7.9.1 Balance Assets'!AM38/'7.7 P&amp;L'!AM7*365)</f>
        <v>0</v>
      </c>
      <c r="AN20" s="366">
        <f>IF('7.7 P&amp;L'!AN7=0,0,'7.9.1 Balance Assets'!AN38/'7.7 P&amp;L'!AN7*365)</f>
        <v>0</v>
      </c>
      <c r="AO20" s="366">
        <f>IF('7.7 P&amp;L'!AO7=0,0,'7.9.1 Balance Assets'!AO38/'7.7 P&amp;L'!AO7*365)</f>
        <v>0</v>
      </c>
      <c r="AP20" s="366">
        <f>IF('7.7 P&amp;L'!AP7=0,0,'7.9.1 Balance Assets'!AP38/'7.7 P&amp;L'!AP7*365)</f>
        <v>0</v>
      </c>
      <c r="AQ20" s="366">
        <f>IF('7.7 P&amp;L'!AQ7=0,0,'7.9.1 Balance Assets'!AQ38/'7.7 P&amp;L'!AQ7*365)</f>
        <v>0</v>
      </c>
      <c r="AR20" s="366">
        <f>IF('7.7 P&amp;L'!AR7=0,0,'7.9.1 Balance Assets'!AR38/'7.7 P&amp;L'!AR7*365)</f>
        <v>0</v>
      </c>
      <c r="AS20" s="366">
        <f>IF('7.7 P&amp;L'!AS7=0,0,'7.9.1 Balance Assets'!AS38/'7.7 P&amp;L'!AS7*365)</f>
        <v>0</v>
      </c>
      <c r="AT20" s="366">
        <f>IF('7.7 P&amp;L'!AT7=0,0,'7.9.1 Balance Assets'!AT38/'7.7 P&amp;L'!AT7*365)</f>
        <v>0</v>
      </c>
      <c r="AU20" s="366">
        <f>IF('7.7 P&amp;L'!AU7=0,0,'7.9.1 Balance Assets'!AU38/'7.7 P&amp;L'!AU7*365)</f>
        <v>0</v>
      </c>
      <c r="AV20" s="366">
        <f>IF('7.7 P&amp;L'!AV7=0,0,'7.9.1 Balance Assets'!AV38/'7.7 P&amp;L'!AV7*365)</f>
        <v>0</v>
      </c>
      <c r="AW20" s="366">
        <f>IF('7.7 P&amp;L'!AW7=0,0,'7.9.1 Balance Assets'!AW38/'7.7 P&amp;L'!AW7*365)</f>
        <v>0</v>
      </c>
      <c r="AX20" s="366">
        <f>IF('7.7 P&amp;L'!AX7=0,0,'7.9.1 Balance Assets'!AX38/'7.7 P&amp;L'!AX7*365)</f>
        <v>0</v>
      </c>
      <c r="AY20" s="366">
        <f>IF('7.7 P&amp;L'!AY7=0,0,'7.9.1 Balance Assets'!AY38/'7.7 P&amp;L'!AY7*365)</f>
        <v>0</v>
      </c>
      <c r="AZ20" s="366">
        <f>IF('7.7 P&amp;L'!AZ7=0,0,'7.9.1 Balance Assets'!AZ38/'7.7 P&amp;L'!AZ7*365)</f>
        <v>0</v>
      </c>
      <c r="BA20" s="366">
        <f>IF('7.7 P&amp;L'!BA7=0,0,'7.9.1 Balance Assets'!BA38/'7.7 P&amp;L'!BA7*365)</f>
        <v>0</v>
      </c>
      <c r="BB20" s="366">
        <f>IF('7.7 P&amp;L'!BB7=0,0,'7.9.1 Balance Assets'!BB38/'7.7 P&amp;L'!BB7*365)</f>
        <v>0</v>
      </c>
      <c r="BC20" s="366">
        <f>IF('7.7 P&amp;L'!BC7=0,0,'7.9.1 Balance Assets'!BC38/'7.7 P&amp;L'!BC7*365)</f>
        <v>0</v>
      </c>
      <c r="BD20" s="366">
        <f>IF('7.7 P&amp;L'!BD7=0,0,'7.9.1 Balance Assets'!BD38/'7.7 P&amp;L'!BD7*365)</f>
        <v>0</v>
      </c>
      <c r="BE20" s="366">
        <f>IF('7.7 P&amp;L'!BE7=0,0,'7.9.1 Balance Assets'!BE38/'7.7 P&amp;L'!BE7*365)</f>
        <v>0</v>
      </c>
      <c r="BF20" s="366">
        <f>IF('7.7 P&amp;L'!BF7=0,0,'7.9.1 Balance Assets'!BF38/'7.7 P&amp;L'!BF7*365)</f>
        <v>0</v>
      </c>
      <c r="BG20" s="366">
        <f>IF('7.7 P&amp;L'!BG7=0,0,'7.9.1 Balance Assets'!BG38/'7.7 P&amp;L'!BG7*365)</f>
        <v>0</v>
      </c>
      <c r="BH20" s="366">
        <f>IF('7.7 P&amp;L'!BH7=0,0,'7.9.1 Balance Assets'!BH38/'7.7 P&amp;L'!BH7*365)</f>
        <v>0</v>
      </c>
      <c r="BI20" s="366">
        <f>IF('7.7 P&amp;L'!BI7=0,0,'7.9.1 Balance Assets'!BI38/'7.7 P&amp;L'!BI7*365)</f>
        <v>0</v>
      </c>
      <c r="BJ20" s="366">
        <f>IF('7.7 P&amp;L'!BJ7=0,0,'7.9.1 Balance Assets'!BJ38/'7.7 P&amp;L'!BJ7*365)</f>
        <v>0</v>
      </c>
      <c r="BK20" s="366">
        <f>IF('7.7 P&amp;L'!BK7=0,0,'7.9.1 Balance Assets'!BK38/'7.7 P&amp;L'!BK7*365)</f>
        <v>0</v>
      </c>
      <c r="BL20" s="366">
        <f>IF('7.7 P&amp;L'!BL7=0,0,'7.9.1 Balance Assets'!BL38/'7.7 P&amp;L'!BL7*365)</f>
        <v>0</v>
      </c>
      <c r="BM20" s="366">
        <f>IF('7.7 P&amp;L'!BM7=0,0,'7.9.1 Balance Assets'!BM38/'7.7 P&amp;L'!BM7*365)</f>
        <v>0</v>
      </c>
      <c r="BN20" s="366">
        <f>IF('7.7 P&amp;L'!BN7=0,0,'7.9.1 Balance Assets'!BN38/'7.7 P&amp;L'!BN7*365)</f>
        <v>0</v>
      </c>
      <c r="BO20" s="366">
        <f>IF('7.7 P&amp;L'!BO7=0,0,'7.9.1 Balance Assets'!BO38/'7.7 P&amp;L'!BO7*365)</f>
        <v>0</v>
      </c>
      <c r="BP20" s="366">
        <f>IF('7.7 P&amp;L'!BP7=0,0,'7.9.1 Balance Assets'!BP38/'7.7 P&amp;L'!BP7*365)</f>
        <v>0</v>
      </c>
      <c r="BQ20" s="366">
        <f>IF('7.7 P&amp;L'!BQ7=0,0,'7.9.1 Balance Assets'!BQ38/'7.7 P&amp;L'!BQ7*365)</f>
        <v>0</v>
      </c>
      <c r="BR20" s="366">
        <f>IF('7.7 P&amp;L'!BR7=0,0,'7.9.1 Balance Assets'!BR38/'7.7 P&amp;L'!BR7*365)</f>
        <v>0</v>
      </c>
      <c r="BS20" s="366">
        <f>IF('7.7 P&amp;L'!BS7=0,0,'7.9.1 Balance Assets'!BS38/'7.7 P&amp;L'!BS7*365)</f>
        <v>0</v>
      </c>
      <c r="BT20" s="366">
        <f>IF('7.7 P&amp;L'!BT7=0,0,'7.9.1 Balance Assets'!BT38/'7.7 P&amp;L'!BT7*365)</f>
        <v>0</v>
      </c>
      <c r="BU20" s="366">
        <f>IF('7.7 P&amp;L'!BU7=0,0,'7.9.1 Balance Assets'!BU38/'7.7 P&amp;L'!BU7*365)</f>
        <v>0</v>
      </c>
      <c r="BV20" s="366">
        <f>IF('7.7 P&amp;L'!BV7=0,0,'7.9.1 Balance Assets'!BV38/'7.7 P&amp;L'!BV7*365)</f>
        <v>0</v>
      </c>
      <c r="BW20" s="366">
        <f>IF('7.7 P&amp;L'!BW7=0,0,'7.9.1 Balance Assets'!BW38/'7.7 P&amp;L'!BW7*365)</f>
        <v>0</v>
      </c>
      <c r="BX20" s="366">
        <f>IF('7.7 P&amp;L'!BX7=0,0,'7.9.1 Balance Assets'!BX38/'7.7 P&amp;L'!BX7*365)</f>
        <v>0</v>
      </c>
      <c r="BY20" s="366">
        <f>IF('7.7 P&amp;L'!BY7=0,0,'7.9.1 Balance Assets'!BY38/'7.7 P&amp;L'!BY7*365)</f>
        <v>0</v>
      </c>
      <c r="BZ20" s="366">
        <f>IF('7.7 P&amp;L'!BZ7=0,0,'7.9.1 Balance Assets'!BZ38/'7.7 P&amp;L'!BZ7*365)</f>
        <v>0</v>
      </c>
      <c r="CA20" s="366">
        <f>IF('7.7 P&amp;L'!CA7=0,0,'7.9.1 Balance Assets'!CA38/'7.7 P&amp;L'!CA7*365)</f>
        <v>0</v>
      </c>
      <c r="CB20" s="366">
        <f>IF('7.7 P&amp;L'!CB7=0,0,'7.9.1 Balance Assets'!CB38/'7.7 P&amp;L'!CB7*365)</f>
        <v>0</v>
      </c>
      <c r="CC20" s="366">
        <f>IF('7.7 P&amp;L'!CC7=0,0,'7.9.1 Balance Assets'!CC38/'7.7 P&amp;L'!CC7*365)</f>
        <v>0</v>
      </c>
      <c r="CD20" s="366">
        <f>IF('7.7 P&amp;L'!CD7=0,0,'7.9.1 Balance Assets'!CD38/'7.7 P&amp;L'!CD7*365)</f>
        <v>0</v>
      </c>
      <c r="CE20" s="366">
        <f>IF('7.7 P&amp;L'!CE7=0,0,'7.9.1 Balance Assets'!CE38/'7.7 P&amp;L'!CE7*365)</f>
        <v>0</v>
      </c>
      <c r="CF20" s="366">
        <f>IF('7.7 P&amp;L'!CF7=0,0,'7.9.1 Balance Assets'!CF38/'7.7 P&amp;L'!CF7*365)</f>
        <v>0</v>
      </c>
      <c r="CG20" s="366">
        <f>IF('7.7 P&amp;L'!CG7=0,0,'7.9.1 Balance Assets'!CG38/'7.7 P&amp;L'!CG7*365)</f>
        <v>0</v>
      </c>
      <c r="CH20" s="366">
        <f>IF('7.7 P&amp;L'!CH7=0,0,'7.9.1 Balance Assets'!CH38/'7.7 P&amp;L'!CH7*365)</f>
        <v>0</v>
      </c>
      <c r="CI20" s="366">
        <f>IF('7.7 P&amp;L'!CI7=0,0,'7.9.1 Balance Assets'!CI38/'7.7 P&amp;L'!CI7*365)</f>
        <v>0</v>
      </c>
      <c r="CJ20" s="366">
        <f>IF('7.7 P&amp;L'!CJ7=0,0,'7.9.1 Balance Assets'!CJ38/'7.7 P&amp;L'!CJ7*365)</f>
        <v>0</v>
      </c>
      <c r="CK20" s="366">
        <f>IF('7.7 P&amp;L'!CK7=0,0,'7.9.1 Balance Assets'!CK38/'7.7 P&amp;L'!CK7*365)</f>
        <v>0</v>
      </c>
      <c r="CL20" s="366">
        <f>IF('7.7 P&amp;L'!CL7=0,0,'7.9.1 Balance Assets'!CL38/'7.7 P&amp;L'!CL7*365)</f>
        <v>0</v>
      </c>
      <c r="CM20" s="366">
        <f>IF('7.7 P&amp;L'!CM7=0,0,'7.9.1 Balance Assets'!CM38/'7.7 P&amp;L'!CM7*365)</f>
        <v>0</v>
      </c>
      <c r="CN20" s="366">
        <f>IF('7.7 P&amp;L'!CN7=0,0,'7.9.1 Balance Assets'!CN38/'7.7 P&amp;L'!CN7*365)</f>
        <v>0</v>
      </c>
      <c r="CO20" s="366">
        <f>IF('7.7 P&amp;L'!CO7=0,0,'7.9.1 Balance Assets'!CO38/'7.7 P&amp;L'!CO7*365)</f>
        <v>0</v>
      </c>
      <c r="CP20" s="366">
        <f>IF('7.7 P&amp;L'!CP7=0,0,'7.9.1 Balance Assets'!CP38/'7.7 P&amp;L'!CP7*365)</f>
        <v>0</v>
      </c>
      <c r="CQ20" s="366">
        <f>IF('7.7 P&amp;L'!CQ7=0,0,'7.9.1 Balance Assets'!CQ38/'7.7 P&amp;L'!CQ7*365)</f>
        <v>0</v>
      </c>
      <c r="CR20" s="366">
        <f>IF('7.7 P&amp;L'!CR7=0,0,'7.9.1 Balance Assets'!CR38/'7.7 P&amp;L'!CR7*365)</f>
        <v>0</v>
      </c>
      <c r="CS20" s="366">
        <f>IF('7.7 P&amp;L'!CS7=0,0,'7.9.1 Balance Assets'!CS38/'7.7 P&amp;L'!CS7*365)</f>
        <v>0</v>
      </c>
      <c r="CT20" s="366">
        <f>IF('7.7 P&amp;L'!CT7=0,0,'7.9.1 Balance Assets'!CT38/'7.7 P&amp;L'!CT7*365)</f>
        <v>0</v>
      </c>
      <c r="CU20" s="366">
        <f>IF('7.7 P&amp;L'!CU7=0,0,'7.9.1 Balance Assets'!CU38/'7.7 P&amp;L'!CU7*365)</f>
        <v>0</v>
      </c>
      <c r="CV20" s="366">
        <f>IF('7.7 P&amp;L'!CV7=0,0,'7.9.1 Balance Assets'!CV38/'7.7 P&amp;L'!CV7*365)</f>
        <v>0</v>
      </c>
      <c r="CW20" s="366">
        <f>IF('7.7 P&amp;L'!CW7=0,0,'7.9.1 Balance Assets'!CW38/'7.7 P&amp;L'!CW7*365)</f>
        <v>0</v>
      </c>
      <c r="CX20" s="366">
        <f>IF('7.7 P&amp;L'!CX7=0,0,'7.9.1 Balance Assets'!CX38/'7.7 P&amp;L'!CX7*365)</f>
        <v>0</v>
      </c>
      <c r="CY20" s="366">
        <f>IF('7.7 P&amp;L'!CY7=0,0,'7.9.1 Balance Assets'!CY38/'7.7 P&amp;L'!CY7*365)</f>
        <v>0</v>
      </c>
      <c r="CZ20" s="366">
        <f>IF('7.7 P&amp;L'!CZ7=0,0,'7.9.1 Balance Assets'!CZ38/'7.7 P&amp;L'!CZ7*365)</f>
        <v>0</v>
      </c>
      <c r="DA20" s="366">
        <f>IF('7.7 P&amp;L'!DA7=0,0,'7.9.1 Balance Assets'!DA38/'7.7 P&amp;L'!DA7*365)</f>
        <v>0</v>
      </c>
      <c r="DB20" s="366">
        <f>IF('7.7 P&amp;L'!DB7=0,0,'7.9.1 Balance Assets'!DB38/'7.7 P&amp;L'!DB7*365)</f>
        <v>0</v>
      </c>
      <c r="DC20" s="366">
        <f>IF('7.7 P&amp;L'!DC7=0,0,'7.9.1 Balance Assets'!DC38/'7.7 P&amp;L'!DC7*365)</f>
        <v>0</v>
      </c>
      <c r="DD20" s="366">
        <f>IF('7.7 P&amp;L'!DD7=0,0,'7.9.1 Balance Assets'!DD38/'7.7 P&amp;L'!DD7*365)</f>
        <v>0</v>
      </c>
      <c r="DE20" s="366">
        <f>IF('7.7 P&amp;L'!DE7=0,0,'7.9.1 Balance Assets'!DE38/'7.7 P&amp;L'!DE7*365)</f>
        <v>0</v>
      </c>
      <c r="DF20" s="366">
        <f>IF('7.7 P&amp;L'!DF7=0,0,'7.9.1 Balance Assets'!DF38/'7.7 P&amp;L'!DF7*365)</f>
        <v>0</v>
      </c>
      <c r="DG20" s="366">
        <f>IF('7.7 P&amp;L'!DG7=0,0,'7.9.1 Balance Assets'!DG38/'7.7 P&amp;L'!DG7*365)</f>
        <v>0</v>
      </c>
      <c r="DH20" s="366">
        <f>IF('7.7 P&amp;L'!DH7=0,0,'7.9.1 Balance Assets'!DH38/'7.7 P&amp;L'!DH7*365)</f>
        <v>0</v>
      </c>
      <c r="DI20" s="366">
        <f>IF('7.7 P&amp;L'!DI7=0,0,'7.9.1 Balance Assets'!DI38/'7.7 P&amp;L'!DI7*365)</f>
        <v>0</v>
      </c>
      <c r="DJ20" s="366">
        <f>IF('7.7 P&amp;L'!DJ7=0,0,'7.9.1 Balance Assets'!DJ38/'7.7 P&amp;L'!DJ7*365)</f>
        <v>0</v>
      </c>
      <c r="DK20" s="366">
        <f>IF('7.7 P&amp;L'!DK7=0,0,'7.9.1 Balance Assets'!DK38/'7.7 P&amp;L'!DK7*365)</f>
        <v>0</v>
      </c>
      <c r="DL20" s="366">
        <f>IF('7.7 P&amp;L'!DL7=0,0,'7.9.1 Balance Assets'!DL38/'7.7 P&amp;L'!DL7*365)</f>
        <v>0</v>
      </c>
      <c r="DM20" s="366">
        <f>IF('7.7 P&amp;L'!DM7=0,0,'7.9.1 Balance Assets'!DM38/'7.7 P&amp;L'!DM7*365)</f>
        <v>0</v>
      </c>
      <c r="DN20" s="366">
        <f>IF('7.7 P&amp;L'!DN7=0,0,'7.9.1 Balance Assets'!DN38/'7.7 P&amp;L'!DN7*365)</f>
        <v>0</v>
      </c>
      <c r="DO20" s="366">
        <f>IF('7.7 P&amp;L'!DO7=0,0,'7.9.1 Balance Assets'!DO38/'7.7 P&amp;L'!DO7*365)</f>
        <v>0</v>
      </c>
      <c r="DP20" s="366">
        <f>IF('7.7 P&amp;L'!DP7=0,0,'7.9.1 Balance Assets'!DP38/'7.7 P&amp;L'!DP7*365)</f>
        <v>0</v>
      </c>
      <c r="DQ20" s="366">
        <f>IF('7.7 P&amp;L'!DQ7=0,0,'7.9.1 Balance Assets'!DQ38/'7.7 P&amp;L'!DQ7*365)</f>
        <v>0</v>
      </c>
      <c r="DR20" s="366">
        <f>IF('7.7 P&amp;L'!DR7=0,0,'7.9.1 Balance Assets'!DR38/'7.7 P&amp;L'!DR7*365)</f>
        <v>0</v>
      </c>
      <c r="DS20" s="366">
        <f>IF('7.7 P&amp;L'!DS7=0,0,'7.9.1 Balance Assets'!DS38/'7.7 P&amp;L'!DS7*365)</f>
        <v>0</v>
      </c>
      <c r="DT20" s="366">
        <f>IF('7.7 P&amp;L'!DT7=0,0,'7.9.1 Balance Assets'!DT38/'7.7 P&amp;L'!DT7*365)</f>
        <v>0</v>
      </c>
      <c r="DU20" s="366">
        <f>IF('7.7 P&amp;L'!DU7=0,0,'7.9.1 Balance Assets'!DU38/'7.7 P&amp;L'!DU7*365)</f>
        <v>0</v>
      </c>
      <c r="DV20" s="366">
        <f>IF('7.7 P&amp;L'!DV7=0,0,'7.9.1 Balance Assets'!DV38/'7.7 P&amp;L'!DV7*365)</f>
        <v>0</v>
      </c>
      <c r="DW20" s="366">
        <f>IF('7.7 P&amp;L'!DW7=0,0,'7.9.1 Balance Assets'!DW38/'7.7 P&amp;L'!DW7*365)</f>
        <v>0</v>
      </c>
      <c r="DX20" s="366">
        <f>IF('7.7 P&amp;L'!DX7=0,0,'7.9.1 Balance Assets'!DX38/'7.7 P&amp;L'!DX7*365)</f>
        <v>0</v>
      </c>
      <c r="DY20" s="366">
        <f>IF('7.7 P&amp;L'!DY7=0,0,'7.9.1 Balance Assets'!DY38/'7.7 P&amp;L'!DY7*365)</f>
        <v>0</v>
      </c>
      <c r="DZ20" s="366">
        <f>IF('7.7 P&amp;L'!DZ7=0,0,'7.9.1 Balance Assets'!DZ38/'7.7 P&amp;L'!DZ7*365)</f>
        <v>0</v>
      </c>
      <c r="EA20" s="366">
        <f>IF('7.7 P&amp;L'!EA7=0,0,'7.9.1 Balance Assets'!EA38/'7.7 P&amp;L'!EA7*365)</f>
        <v>0</v>
      </c>
      <c r="EB20" s="366">
        <f>IF('7.7 P&amp;L'!EB7=0,0,'7.9.1 Balance Assets'!EB38/'7.7 P&amp;L'!EB7*365)</f>
        <v>0</v>
      </c>
      <c r="EC20" s="366">
        <f>IF('7.7 P&amp;L'!EC7=0,0,'7.9.1 Balance Assets'!EC38/'7.7 P&amp;L'!EC7*365)</f>
        <v>0</v>
      </c>
      <c r="ED20" s="366">
        <f>IF('7.7 P&amp;L'!ED7=0,0,'7.9.1 Balance Assets'!ED38/'7.7 P&amp;L'!ED7*365)</f>
        <v>0</v>
      </c>
      <c r="EE20" s="366">
        <f>IF('7.7 P&amp;L'!EE7=0,0,'7.9.1 Balance Assets'!EE38/'7.7 P&amp;L'!EE7*365)</f>
        <v>0</v>
      </c>
      <c r="EF20" s="366">
        <f>IF('7.7 P&amp;L'!EF7=0,0,'7.9.1 Balance Assets'!EF38/'7.7 P&amp;L'!EF7*365)</f>
        <v>0</v>
      </c>
      <c r="EG20" s="366">
        <f>IF('7.7 P&amp;L'!EG7=0,0,'7.9.1 Balance Assets'!EG38/'7.7 P&amp;L'!EG7*365)</f>
        <v>0</v>
      </c>
      <c r="EH20" s="366">
        <f>IF('7.7 P&amp;L'!EH7=0,0,'7.9.1 Balance Assets'!EH38/'7.7 P&amp;L'!EH7*365)</f>
        <v>0</v>
      </c>
      <c r="EI20" s="366">
        <f>IF('7.7 P&amp;L'!EI7=0,0,'7.9.1 Balance Assets'!EI38/'7.7 P&amp;L'!EI7*365)</f>
        <v>0</v>
      </c>
      <c r="EJ20" s="366">
        <f>IF('7.7 P&amp;L'!EJ7=0,0,'7.9.1 Balance Assets'!EJ38/'7.7 P&amp;L'!EJ7*365)</f>
        <v>0</v>
      </c>
      <c r="EK20" s="366">
        <f>IF('7.7 P&amp;L'!EK7=0,0,'7.9.1 Balance Assets'!EK38/'7.7 P&amp;L'!EK7*365)</f>
        <v>0</v>
      </c>
      <c r="EL20" s="366">
        <f>IF('7.7 P&amp;L'!EL7=0,0,'7.9.1 Balance Assets'!EL38/'7.7 P&amp;L'!EL7*365)</f>
        <v>0</v>
      </c>
      <c r="EM20" s="366">
        <f>IF('7.7 P&amp;L'!EM7=0,0,'7.9.1 Balance Assets'!EM38/'7.7 P&amp;L'!EM7*365)</f>
        <v>0</v>
      </c>
      <c r="EN20" s="366">
        <f>IF('7.7 P&amp;L'!EN7=0,0,'7.9.1 Balance Assets'!EN38/'7.7 P&amp;L'!EN7*365)</f>
        <v>0</v>
      </c>
      <c r="EO20" s="366">
        <f>IF('7.7 P&amp;L'!EO7=0,0,'7.9.1 Balance Assets'!EO38/'7.7 P&amp;L'!EO7*365)</f>
        <v>0</v>
      </c>
      <c r="EP20" s="366">
        <f>IF('7.7 P&amp;L'!EP7=0,0,'7.9.1 Balance Assets'!EP38/'7.7 P&amp;L'!EP7*365)</f>
        <v>0</v>
      </c>
      <c r="EQ20" s="366">
        <f>IF('7.7 P&amp;L'!EQ7=0,0,'7.9.1 Balance Assets'!EQ38/'7.7 P&amp;L'!EQ7*365)</f>
        <v>0</v>
      </c>
      <c r="ER20" s="366">
        <f>IF('7.7 P&amp;L'!ER7=0,0,'7.9.1 Balance Assets'!ER38/'7.7 P&amp;L'!ER7*365)</f>
        <v>0</v>
      </c>
      <c r="ES20" s="366">
        <f>IF('7.7 P&amp;L'!ES7=0,0,'7.9.1 Balance Assets'!ES38/'7.7 P&amp;L'!ES7*365)</f>
        <v>0</v>
      </c>
      <c r="ET20" s="366">
        <f>IF('7.7 P&amp;L'!ET7=0,0,'7.9.1 Balance Assets'!ET38/'7.7 P&amp;L'!ET7*365)</f>
        <v>0</v>
      </c>
      <c r="EU20" s="366">
        <f>IF('7.7 P&amp;L'!EU7=0,0,'7.9.1 Balance Assets'!EU38/'7.7 P&amp;L'!EU7*365)</f>
        <v>0</v>
      </c>
      <c r="EV20" s="366">
        <f>IF('7.7 P&amp;L'!EV7=0,0,'7.9.1 Balance Assets'!EV38/'7.7 P&amp;L'!EV7*365)</f>
        <v>0</v>
      </c>
      <c r="EW20" s="366">
        <f>IF('7.7 P&amp;L'!EW7=0,0,'7.9.1 Balance Assets'!EW38/'7.7 P&amp;L'!EW7*365)</f>
        <v>0</v>
      </c>
      <c r="EX20" s="366">
        <f>IF('7.7 P&amp;L'!EX7=0,0,'7.9.1 Balance Assets'!EX38/'7.7 P&amp;L'!EX7*365)</f>
        <v>0</v>
      </c>
      <c r="EY20" s="366">
        <f>IF('7.7 P&amp;L'!EY7=0,0,'7.9.1 Balance Assets'!EY38/'7.7 P&amp;L'!EY7*365)</f>
        <v>0</v>
      </c>
      <c r="EZ20" s="366">
        <f>IF('7.7 P&amp;L'!EZ7=0,0,'7.9.1 Balance Assets'!EZ38/'7.7 P&amp;L'!EZ7*365)</f>
        <v>0</v>
      </c>
      <c r="FA20" s="366">
        <f>IF('7.7 P&amp;L'!FA7=0,0,'7.9.1 Balance Assets'!FA38/'7.7 P&amp;L'!FA7*365)</f>
        <v>0</v>
      </c>
      <c r="FB20" s="366">
        <f>IF('7.7 P&amp;L'!FB7=0,0,'7.9.1 Balance Assets'!FB38/'7.7 P&amp;L'!FB7*365)</f>
        <v>0</v>
      </c>
      <c r="FC20" s="366">
        <f>IF('7.7 P&amp;L'!FC7=0,0,'7.9.1 Balance Assets'!FC38/'7.7 P&amp;L'!FC7*365)</f>
        <v>0</v>
      </c>
      <c r="FD20" s="366">
        <f>IF('7.7 P&amp;L'!FD7=0,0,'7.9.1 Balance Assets'!FD38/'7.7 P&amp;L'!FD7*365)</f>
        <v>0</v>
      </c>
      <c r="FE20" s="366">
        <f>IF('7.7 P&amp;L'!FE7=0,0,'7.9.1 Balance Assets'!FE38/'7.7 P&amp;L'!FE7*365)</f>
        <v>0</v>
      </c>
      <c r="FF20" s="366">
        <f>IF('7.7 P&amp;L'!FF7=0,0,'7.9.1 Balance Assets'!FF38/'7.7 P&amp;L'!FF7*365)</f>
        <v>0</v>
      </c>
      <c r="FG20" s="366">
        <f>IF('7.7 P&amp;L'!FG7=0,0,'7.9.1 Balance Assets'!FG38/'7.7 P&amp;L'!FG7*365)</f>
        <v>0</v>
      </c>
      <c r="FH20" s="366">
        <f>IF('7.7 P&amp;L'!FH7=0,0,'7.9.1 Balance Assets'!FH38/'7.7 P&amp;L'!FH7*365)</f>
        <v>0</v>
      </c>
      <c r="FI20" s="366">
        <f>IF('7.7 P&amp;L'!FI7=0,0,'7.9.1 Balance Assets'!FI38/'7.7 P&amp;L'!FI7*365)</f>
        <v>0</v>
      </c>
      <c r="FJ20" s="366">
        <f>IF('7.7 P&amp;L'!FJ7=0,0,'7.9.1 Balance Assets'!FJ38/'7.7 P&amp;L'!FJ7*365)</f>
        <v>0</v>
      </c>
      <c r="FK20" s="366">
        <f>IF('7.7 P&amp;L'!FK7=0,0,'7.9.1 Balance Assets'!FK38/'7.7 P&amp;L'!FK7*365)</f>
        <v>0</v>
      </c>
      <c r="FL20" s="366">
        <f>IF('7.7 P&amp;L'!FL7=0,0,'7.9.1 Balance Assets'!FL38/'7.7 P&amp;L'!FL7*365)</f>
        <v>0</v>
      </c>
      <c r="FM20" s="366">
        <f>IF('7.7 P&amp;L'!FM7=0,0,'7.9.1 Balance Assets'!FM38/'7.7 P&amp;L'!FM7*365)</f>
        <v>0</v>
      </c>
      <c r="FN20" s="366">
        <f>IF('7.7 P&amp;L'!FN7=0,0,'7.9.1 Balance Assets'!FN38/'7.7 P&amp;L'!FN7*365)</f>
        <v>0</v>
      </c>
      <c r="FO20" s="366">
        <f>IF('7.7 P&amp;L'!FO7=0,0,'7.9.1 Balance Assets'!FO38/'7.7 P&amp;L'!FO7*365)</f>
        <v>0</v>
      </c>
      <c r="FP20" s="366">
        <f>IF('7.7 P&amp;L'!FP7=0,0,'7.9.1 Balance Assets'!FP38/'7.7 P&amp;L'!FP7*365)</f>
        <v>0</v>
      </c>
      <c r="FQ20" s="366">
        <f>IF('7.7 P&amp;L'!FQ7=0,0,'7.9.1 Balance Assets'!FQ38/'7.7 P&amp;L'!FQ7*365)</f>
        <v>0</v>
      </c>
      <c r="FR20" s="366">
        <f>IF('7.7 P&amp;L'!FR7=0,0,'7.9.1 Balance Assets'!FR38/'7.7 P&amp;L'!FR7*365)</f>
        <v>0</v>
      </c>
      <c r="FS20" s="366">
        <f>IF('7.7 P&amp;L'!FS7=0,0,'7.9.1 Balance Assets'!FS38/'7.7 P&amp;L'!FS7*365)</f>
        <v>0</v>
      </c>
      <c r="FT20" s="366">
        <f>IF('7.7 P&amp;L'!FT7=0,0,'7.9.1 Balance Assets'!FT38/'7.7 P&amp;L'!FT7*365)</f>
        <v>0</v>
      </c>
      <c r="FU20" s="366">
        <f>IF('7.7 P&amp;L'!FU7=0,0,'7.9.1 Balance Assets'!FU38/'7.7 P&amp;L'!FU7*365)</f>
        <v>0</v>
      </c>
      <c r="FV20" s="366">
        <f>IF('7.7 P&amp;L'!FV7=0,0,'7.9.1 Balance Assets'!FV38/'7.7 P&amp;L'!FV7*365)</f>
        <v>0</v>
      </c>
      <c r="FW20" s="366">
        <f>IF('7.7 P&amp;L'!FW7=0,0,'7.9.1 Balance Assets'!FW38/'7.7 P&amp;L'!FW7*365)</f>
        <v>0</v>
      </c>
      <c r="FX20" s="366">
        <f>IF('7.7 P&amp;L'!FX7=0,0,'7.9.1 Balance Assets'!FX38/'7.7 P&amp;L'!FX7*365)</f>
        <v>0</v>
      </c>
      <c r="FY20" s="366">
        <f>IF('7.7 P&amp;L'!FY7=0,0,'7.9.1 Balance Assets'!FY38/'7.7 P&amp;L'!FY7*365)</f>
        <v>0</v>
      </c>
      <c r="FZ20" s="366">
        <f>IF('7.7 P&amp;L'!FZ7=0,0,'7.9.1 Balance Assets'!FZ38/'7.7 P&amp;L'!FZ7*365)</f>
        <v>0</v>
      </c>
      <c r="GA20" s="366">
        <f>IF('7.7 P&amp;L'!GA7=0,0,'7.9.1 Balance Assets'!GA38/'7.7 P&amp;L'!GA7*365)</f>
        <v>0</v>
      </c>
      <c r="GB20" s="366">
        <f>IF('7.7 P&amp;L'!GB7=0,0,'7.9.1 Balance Assets'!GB38/'7.7 P&amp;L'!GB7*365)</f>
        <v>0</v>
      </c>
      <c r="GC20" s="366">
        <f>IF('7.7 P&amp;L'!GC7=0,0,'7.9.1 Balance Assets'!GC38/'7.7 P&amp;L'!GC7*365)</f>
        <v>0</v>
      </c>
      <c r="GD20" s="366">
        <f>IF('7.7 P&amp;L'!GD7=0,0,'7.9.1 Balance Assets'!GD38/'7.7 P&amp;L'!GD7*365)</f>
        <v>0</v>
      </c>
      <c r="GE20" s="366">
        <f>IF('7.7 P&amp;L'!GE7=0,0,'7.9.1 Balance Assets'!GE38/'7.7 P&amp;L'!GE7*365)</f>
        <v>0</v>
      </c>
      <c r="GF20" s="366">
        <f>IF('7.7 P&amp;L'!GF7=0,0,'7.9.1 Balance Assets'!GF38/'7.7 P&amp;L'!GF7*365)</f>
        <v>0</v>
      </c>
      <c r="GG20" s="366">
        <f>IF('7.7 P&amp;L'!GG7=0,0,'7.9.1 Balance Assets'!GG38/'7.7 P&amp;L'!GG7*365)</f>
        <v>0</v>
      </c>
      <c r="GH20" s="366">
        <f>IF('7.7 P&amp;L'!GH7=0,0,'7.9.1 Balance Assets'!GH38/'7.7 P&amp;L'!GH7*365)</f>
        <v>0</v>
      </c>
      <c r="GI20" s="366">
        <f>IF('7.7 P&amp;L'!GI7=0,0,'7.9.1 Balance Assets'!GI38/'7.7 P&amp;L'!GI7*365)</f>
        <v>0</v>
      </c>
      <c r="GJ20" s="366">
        <f>IF('7.7 P&amp;L'!GJ7=0,0,'7.9.1 Balance Assets'!GJ38/'7.7 P&amp;L'!GJ7*365)</f>
        <v>0</v>
      </c>
      <c r="GK20" s="366">
        <f>IF('7.7 P&amp;L'!GK7=0,0,'7.9.1 Balance Assets'!GK38/'7.7 P&amp;L'!GK7*365)</f>
        <v>0</v>
      </c>
      <c r="GL20" s="366">
        <f>IF('7.7 P&amp;L'!GL7=0,0,'7.9.1 Balance Assets'!GL38/'7.7 P&amp;L'!GL7*365)</f>
        <v>0</v>
      </c>
      <c r="GM20" s="366">
        <f>IF('7.7 P&amp;L'!GM7=0,0,'7.9.1 Balance Assets'!GM38/'7.7 P&amp;L'!GM7*365)</f>
        <v>0</v>
      </c>
      <c r="GN20" s="366">
        <f>IF('7.7 P&amp;L'!GN7=0,0,'7.9.1 Balance Assets'!GN38/'7.7 P&amp;L'!GN7*365)</f>
        <v>0</v>
      </c>
      <c r="GO20" s="366">
        <f>IF('7.7 P&amp;L'!GO7=0,0,'7.9.1 Balance Assets'!GO38/'7.7 P&amp;L'!GO7*365)</f>
        <v>0</v>
      </c>
      <c r="GP20" s="366">
        <f>IF('7.7 P&amp;L'!GP7=0,0,'7.9.1 Balance Assets'!GP38/'7.7 P&amp;L'!GP7*365)</f>
        <v>0</v>
      </c>
      <c r="GQ20" s="366">
        <f>IF('7.7 P&amp;L'!GQ7=0,0,'7.9.1 Balance Assets'!GQ38/'7.7 P&amp;L'!GQ7*365)</f>
        <v>0</v>
      </c>
      <c r="GR20" s="366">
        <f>IF('7.7 P&amp;L'!GR7=0,0,'7.9.1 Balance Assets'!GR38/'7.7 P&amp;L'!GR7*365)</f>
        <v>0</v>
      </c>
      <c r="GS20" s="366">
        <f>IF('7.7 P&amp;L'!GS7=0,0,'7.9.1 Balance Assets'!GS38/'7.7 P&amp;L'!GS7*365)</f>
        <v>0</v>
      </c>
      <c r="GT20" s="366">
        <f>IF('7.7 P&amp;L'!GT7=0,0,'7.9.1 Balance Assets'!GT38/'7.7 P&amp;L'!GT7*365)</f>
        <v>0</v>
      </c>
      <c r="GU20" s="366">
        <f>IF('7.7 P&amp;L'!GU7=0,0,'7.9.1 Balance Assets'!GU38/'7.7 P&amp;L'!GU7*365)</f>
        <v>0</v>
      </c>
      <c r="GV20" s="366">
        <f>IF('7.7 P&amp;L'!GV7=0,0,'7.9.1 Balance Assets'!GV38/'7.7 P&amp;L'!GV7*365)</f>
        <v>0</v>
      </c>
      <c r="GW20" s="366">
        <f>IF('7.7 P&amp;L'!GW7=0,0,'7.9.1 Balance Assets'!GW38/'7.7 P&amp;L'!GW7*365)</f>
        <v>0</v>
      </c>
      <c r="GX20" s="366">
        <f>IF('7.7 P&amp;L'!GX7=0,0,'7.9.1 Balance Assets'!GX38/'7.7 P&amp;L'!GX7*365)</f>
        <v>0</v>
      </c>
      <c r="GY20" s="366">
        <f>IF('7.7 P&amp;L'!GY7=0,0,'7.9.1 Balance Assets'!GY38/'7.7 P&amp;L'!GY7*365)</f>
        <v>0</v>
      </c>
      <c r="GZ20" s="366">
        <f>IF('7.7 P&amp;L'!GZ7=0,0,'7.9.1 Balance Assets'!GZ38/'7.7 P&amp;L'!GZ7*365)</f>
        <v>0</v>
      </c>
      <c r="HA20" s="366">
        <f>IF('7.7 P&amp;L'!HA7=0,0,'7.9.1 Balance Assets'!HA38/'7.7 P&amp;L'!HA7*365)</f>
        <v>0</v>
      </c>
      <c r="HB20" s="366">
        <f>IF('7.7 P&amp;L'!HB7=0,0,'7.9.1 Balance Assets'!HB38/'7.7 P&amp;L'!HB7*365)</f>
        <v>0</v>
      </c>
      <c r="HC20" s="366">
        <f>IF('7.7 P&amp;L'!HC7=0,0,'7.9.1 Balance Assets'!HC38/'7.7 P&amp;L'!HC7*365)</f>
        <v>0</v>
      </c>
      <c r="HD20" s="366">
        <f>IF('7.7 P&amp;L'!HD7=0,0,'7.9.1 Balance Assets'!HD38/'7.7 P&amp;L'!HD7*365)</f>
        <v>0</v>
      </c>
      <c r="HE20" s="366">
        <f>IF('7.7 P&amp;L'!HE7=0,0,'7.9.1 Balance Assets'!HE38/'7.7 P&amp;L'!HE7*365)</f>
        <v>0</v>
      </c>
      <c r="HF20" s="366">
        <f>IF('7.7 P&amp;L'!HF7=0,0,'7.9.1 Balance Assets'!HF38/'7.7 P&amp;L'!HF7*365)</f>
        <v>0</v>
      </c>
      <c r="HG20" s="366">
        <f>IF('7.7 P&amp;L'!HG7=0,0,'7.9.1 Balance Assets'!HG38/'7.7 P&amp;L'!HG7*365)</f>
        <v>0</v>
      </c>
      <c r="HH20" s="366">
        <f>IF('7.7 P&amp;L'!HH7=0,0,'7.9.1 Balance Assets'!HH38/'7.7 P&amp;L'!HH7*365)</f>
        <v>0</v>
      </c>
      <c r="HI20" s="366">
        <f>IF('7.7 P&amp;L'!HI7=0,0,'7.9.1 Balance Assets'!HI38/'7.7 P&amp;L'!HI7*365)</f>
        <v>0</v>
      </c>
      <c r="HJ20" s="366">
        <f>IF('7.7 P&amp;L'!HJ7=0,0,'7.9.1 Balance Assets'!HJ38/'7.7 P&amp;L'!HJ7*365)</f>
        <v>0</v>
      </c>
      <c r="HK20" s="366">
        <f>IF('7.7 P&amp;L'!HK7=0,0,'7.9.1 Balance Assets'!HK38/'7.7 P&amp;L'!HK7*365)</f>
        <v>0</v>
      </c>
      <c r="HL20" s="366">
        <f>IF('7.7 P&amp;L'!HL7=0,0,'7.9.1 Balance Assets'!HL38/'7.7 P&amp;L'!HL7*365)</f>
        <v>0</v>
      </c>
      <c r="HM20" s="366">
        <f>IF('7.7 P&amp;L'!HM7=0,0,'7.9.1 Balance Assets'!HM38/'7.7 P&amp;L'!HM7*365)</f>
        <v>0</v>
      </c>
      <c r="HN20" s="366">
        <f>IF('7.7 P&amp;L'!HN7=0,0,'7.9.1 Balance Assets'!HN38/'7.7 P&amp;L'!HN7*365)</f>
        <v>0</v>
      </c>
      <c r="HO20" s="366">
        <f>IF('7.7 P&amp;L'!HO7=0,0,'7.9.1 Balance Assets'!HO38/'7.7 P&amp;L'!HO7*365)</f>
        <v>0</v>
      </c>
      <c r="HP20" s="366">
        <f>IF('7.7 P&amp;L'!HP7=0,0,'7.9.1 Balance Assets'!HP38/'7.7 P&amp;L'!HP7*365)</f>
        <v>0</v>
      </c>
      <c r="HQ20" s="366">
        <f>IF('7.7 P&amp;L'!HQ7=0,0,'7.9.1 Balance Assets'!HQ38/'7.7 P&amp;L'!HQ7*365)</f>
        <v>0</v>
      </c>
      <c r="HR20" s="366">
        <f>IF('7.7 P&amp;L'!HR7=0,0,'7.9.1 Balance Assets'!HR38/'7.7 P&amp;L'!HR7*365)</f>
        <v>0</v>
      </c>
      <c r="HS20" s="366">
        <f>IF('7.7 P&amp;L'!HS7=0,0,'7.9.1 Balance Assets'!HS38/'7.7 P&amp;L'!HS7*365)</f>
        <v>0</v>
      </c>
      <c r="HT20" s="366">
        <f>IF('7.7 P&amp;L'!HT7=0,0,'7.9.1 Balance Assets'!HT38/'7.7 P&amp;L'!HT7*365)</f>
        <v>0</v>
      </c>
      <c r="HU20" s="366">
        <f>IF('7.7 P&amp;L'!HU7=0,0,'7.9.1 Balance Assets'!HU38/'7.7 P&amp;L'!HU7*365)</f>
        <v>0</v>
      </c>
      <c r="HV20" s="366">
        <f>IF('7.7 P&amp;L'!HV7=0,0,'7.9.1 Balance Assets'!HV38/'7.7 P&amp;L'!HV7*365)</f>
        <v>0</v>
      </c>
      <c r="HW20" s="366">
        <f>IF('7.7 P&amp;L'!HW7=0,0,'7.9.1 Balance Assets'!HW38/'7.7 P&amp;L'!HW7*365)</f>
        <v>0</v>
      </c>
      <c r="HX20" s="366">
        <f>IF('7.7 P&amp;L'!HX7=0,0,'7.9.1 Balance Assets'!HX38/'7.7 P&amp;L'!HX7*365)</f>
        <v>0</v>
      </c>
      <c r="HY20" s="366">
        <f>IF('7.7 P&amp;L'!HY7=0,0,'7.9.1 Balance Assets'!HY38/'7.7 P&amp;L'!HY7*365)</f>
        <v>0</v>
      </c>
      <c r="HZ20" s="366">
        <f>IF('7.7 P&amp;L'!HZ7=0,0,'7.9.1 Balance Assets'!HZ38/'7.7 P&amp;L'!HZ7*365)</f>
        <v>0</v>
      </c>
      <c r="IA20" s="366">
        <f>IF('7.7 P&amp;L'!IA7=0,0,'7.9.1 Balance Assets'!IA38/'7.7 P&amp;L'!IA7*365)</f>
        <v>0</v>
      </c>
      <c r="IB20" s="366">
        <f>IF('7.7 P&amp;L'!IB7=0,0,'7.9.1 Balance Assets'!IB38/'7.7 P&amp;L'!IB7*365)</f>
        <v>0</v>
      </c>
      <c r="IC20" s="366">
        <f>IF('7.7 P&amp;L'!IC7=0,0,'7.9.1 Balance Assets'!IC38/'7.7 P&amp;L'!IC7*365)</f>
        <v>0</v>
      </c>
      <c r="ID20" s="366">
        <f>IF('7.7 P&amp;L'!ID7=0,0,'7.9.1 Balance Assets'!ID38/'7.7 P&amp;L'!ID7*365)</f>
        <v>0</v>
      </c>
      <c r="IE20" s="366">
        <f>IF('7.7 P&amp;L'!IE7=0,0,'7.9.1 Balance Assets'!IE38/'7.7 P&amp;L'!IE7*365)</f>
        <v>0</v>
      </c>
      <c r="IF20" s="366">
        <f>IF('7.7 P&amp;L'!IF7=0,0,'7.9.1 Balance Assets'!IF38/'7.7 P&amp;L'!IF7*365)</f>
        <v>0</v>
      </c>
      <c r="IG20" s="366">
        <f>IF('7.7 P&amp;L'!IG7=0,0,'7.9.1 Balance Assets'!IG38/'7.7 P&amp;L'!IG7*365)</f>
        <v>0</v>
      </c>
      <c r="IH20" s="366">
        <f>IF('7.7 P&amp;L'!IH7=0,0,'7.9.1 Balance Assets'!IH38/'7.7 P&amp;L'!IH7*365)</f>
        <v>0</v>
      </c>
      <c r="II20" s="366">
        <f>IF('7.7 P&amp;L'!II7=0,0,'7.9.1 Balance Assets'!II38/'7.7 P&amp;L'!II7*365)</f>
        <v>0</v>
      </c>
      <c r="IJ20" s="366">
        <f>IF('7.7 P&amp;L'!IJ7=0,0,'7.9.1 Balance Assets'!IJ38/'7.7 P&amp;L'!IJ7*365)</f>
        <v>0</v>
      </c>
      <c r="IK20" s="366">
        <f>IF('7.7 P&amp;L'!IK7=0,0,'7.9.1 Balance Assets'!IK38/'7.7 P&amp;L'!IK7*365)</f>
        <v>0</v>
      </c>
      <c r="IL20" s="366">
        <f>IF('7.7 P&amp;L'!IL7=0,0,'7.9.1 Balance Assets'!IL38/'7.7 P&amp;L'!IL7*365)</f>
        <v>0</v>
      </c>
      <c r="IM20" s="366">
        <f>IF('7.7 P&amp;L'!IM7=0,0,'7.9.1 Balance Assets'!IM38/'7.7 P&amp;L'!IM7*365)</f>
        <v>0</v>
      </c>
      <c r="IN20" s="366">
        <f>IF('7.7 P&amp;L'!IN7=0,0,'7.9.1 Balance Assets'!IN38/'7.7 P&amp;L'!IN7*365)</f>
        <v>0</v>
      </c>
      <c r="IO20" s="366">
        <f>IF('7.7 P&amp;L'!IO7=0,0,'7.9.1 Balance Assets'!IO38/'7.7 P&amp;L'!IO7*365)</f>
        <v>0</v>
      </c>
      <c r="IP20" s="366">
        <f>IF('7.7 P&amp;L'!IP7=0,0,'7.9.1 Balance Assets'!IP38/'7.7 P&amp;L'!IP7*365)</f>
        <v>0</v>
      </c>
      <c r="IQ20" s="366">
        <f>IF('7.7 P&amp;L'!IQ7=0,0,'7.9.1 Balance Assets'!IQ38/'7.7 P&amp;L'!IQ7*365)</f>
        <v>0</v>
      </c>
      <c r="IR20" s="366">
        <f>IF('7.7 P&amp;L'!IR7=0,0,'7.9.1 Balance Assets'!IR38/'7.7 P&amp;L'!IR7*365)</f>
        <v>0</v>
      </c>
      <c r="IS20" s="366">
        <f>IF('7.7 P&amp;L'!IS7=0,0,'7.9.1 Balance Assets'!IS38/'7.7 P&amp;L'!IS7*365)</f>
        <v>0</v>
      </c>
      <c r="IT20" s="366">
        <f>IF('7.7 P&amp;L'!IT7=0,0,'7.9.1 Balance Assets'!IT38/'7.7 P&amp;L'!IT7*365)</f>
        <v>0</v>
      </c>
      <c r="IU20" s="366">
        <f>IF('7.7 P&amp;L'!IU7=0,0,'7.9.1 Balance Assets'!IU38/'7.7 P&amp;L'!IU7*365)</f>
        <v>0</v>
      </c>
      <c r="IV20" s="366">
        <f>IF('7.7 P&amp;L'!IV7=0,0,'7.9.1 Balance Assets'!IV38/'7.7 P&amp;L'!IV7*365)</f>
        <v>0</v>
      </c>
    </row>
    <row r="21" spans="1:256" x14ac:dyDescent="0.35">
      <c r="A21" s="221" t="s">
        <v>593</v>
      </c>
      <c r="B21" s="79"/>
      <c r="C21" s="981">
        <f>IF('7.5.1 Financial Requirements'!D58=0,0,('7.5.1 Financial Requirements'!$B$48*'7.5.1 Financial Requirements'!D48+'7.5.1 Financial Requirements'!$B$49*'7.5.1 Financial Requirements'!D49+'7.5.1 Financial Requirements'!$B$50*'7.5.1 Financial Requirements'!D50+'7.5.1 Financial Requirements'!$B$51*'7.5.1 Financial Requirements'!D51+'7.5.1 Financial Requirements'!$B$52*'7.5.1 Financial Requirements'!D52+'7.5.1 Financial Requirements'!$B$53*'7.5.1 Financial Requirements'!D53+'7.5.1 Financial Requirements'!$B$56*'7.5.1 Financial Requirements'!D56)/'7.5.1 Financial Requirements'!D58)</f>
        <v>177.14595534191508</v>
      </c>
      <c r="D21" s="1180"/>
      <c r="E21" s="1180">
        <f ca="1">IF('7.5.1 Financial Requirements'!F58=0,0,('7.5.1 Financial Requirements'!E48*'7.5.1 Financial Requirements'!F48+'7.5.1 Financial Requirements'!E49*'7.5.1 Financial Requirements'!F49+'7.5.1 Financial Requirements'!E50*'7.5.1 Financial Requirements'!F50+'7.5.1 Financial Requirements'!E51*'7.5.1 Financial Requirements'!F51+'7.5.1 Financial Requirements'!E52*'7.5.1 Financial Requirements'!F52+'7.5.1 Financial Requirements'!E53*'7.5.1 Financial Requirements'!F53+'7.5.1 Financial Requirements'!E56*'7.5.1 Financial Requirements'!F56)/'7.5.1 Financial Requirements'!F58)</f>
        <v>176.93857326546711</v>
      </c>
      <c r="F21" s="1180"/>
      <c r="G21" s="1180">
        <f ca="1">IF('7.5.1 Financial Requirements'!H58=0,0,('7.5.1 Financial Requirements'!G48*'7.5.1 Financial Requirements'!H48+'7.5.1 Financial Requirements'!G49*'7.5.1 Financial Requirements'!H49+'7.5.1 Financial Requirements'!G50*'7.5.1 Financial Requirements'!H50+'7.5.1 Financial Requirements'!G51*'7.5.1 Financial Requirements'!H51+'7.5.1 Financial Requirements'!G52*'7.5.1 Financial Requirements'!H52+'7.5.1 Financial Requirements'!G53*'7.5.1 Financial Requirements'!H53+'7.5.1 Financial Requirements'!G56*'7.5.1 Financial Requirements'!H56)/'7.5.1 Financial Requirements'!H58)</f>
        <v>177.85147414509328</v>
      </c>
      <c r="H21" s="1180"/>
      <c r="I21" s="1180">
        <f ca="1">IF('7.5.1 Financial Requirements'!J58=0,0,('7.5.1 Financial Requirements'!I48*'7.5.1 Financial Requirements'!J48+'7.5.1 Financial Requirements'!I49*'7.5.1 Financial Requirements'!J49+'7.5.1 Financial Requirements'!I50*'7.5.1 Financial Requirements'!J50+'7.5.1 Financial Requirements'!I51*'7.5.1 Financial Requirements'!J51+'7.5.1 Financial Requirements'!I52*'7.5.1 Financial Requirements'!J52+'7.5.1 Financial Requirements'!I53*'7.5.1 Financial Requirements'!J53+'7.5.1 Financial Requirements'!I56*'7.5.1 Financial Requirements'!J56)/'7.5.1 Financial Requirements'!J58)</f>
        <v>177.63070915889156</v>
      </c>
      <c r="J21" s="1180"/>
      <c r="K21" s="981">
        <f ca="1">IF('7.5.1 Financial Requirements'!L58=0,0,('7.5.1 Financial Requirements'!K48*'7.5.1 Financial Requirements'!L48+'7.5.1 Financial Requirements'!K49*'7.5.1 Financial Requirements'!L49+'7.5.1 Financial Requirements'!K50*'7.5.1 Financial Requirements'!L50+'7.5.1 Financial Requirements'!K51*'7.5.1 Financial Requirements'!L51+'7.5.1 Financial Requirements'!K52*'7.5.1 Financial Requirements'!L52+'7.5.1 Financial Requirements'!K53*'7.5.1 Financial Requirements'!L53+'7.5.1 Financial Requirements'!K56*'7.5.1 Financial Requirements'!L56)/'7.5.1 Financial Requirements'!L58)</f>
        <v>177.3689562985019</v>
      </c>
    </row>
    <row r="22" spans="1:256" x14ac:dyDescent="0.35">
      <c r="A22" s="801" t="s">
        <v>594</v>
      </c>
      <c r="B22" s="79"/>
      <c r="C22" s="1174"/>
      <c r="D22" s="1214"/>
      <c r="E22" s="1214"/>
      <c r="F22" s="1214"/>
      <c r="G22" s="1214"/>
      <c r="H22" s="1214"/>
      <c r="I22" s="1214"/>
      <c r="J22" s="1214"/>
      <c r="K22" s="1174"/>
    </row>
    <row r="23" spans="1:256" x14ac:dyDescent="0.35">
      <c r="A23" s="221" t="s">
        <v>367</v>
      </c>
      <c r="B23" s="79"/>
      <c r="C23" s="1191">
        <f>IF('7.6.1 Activity contribution'!$H16=0,0,'7.6.1 Activity contribution'!$B16/'7.6.1 Activity contribution'!$H16)</f>
        <v>0.88770411341742828</v>
      </c>
      <c r="D23" s="1681"/>
      <c r="E23" s="1681">
        <f ca="1">IF('7.6.1 Activity contribution'!$H$93=0,0,'7.6.1 Activity contribution'!$B$93/'7.6.1 Activity contribution'!$H$93)</f>
        <v>0.89477034961517532</v>
      </c>
      <c r="F23" s="1681"/>
      <c r="G23" s="1681">
        <f ca="1">IF('7.6.1 Activity contribution'!$H$170=0,0,'7.6.1 Activity contribution'!B$170/'7.6.1 Activity contribution'!$H$170)</f>
        <v>0.91323150906581108</v>
      </c>
      <c r="H23" s="1681"/>
      <c r="I23" s="1681">
        <f ca="1">IF('7.6.1 Activity contribution'!$H$247=0,0,'7.6.1 Activity contribution'!B$247/'7.6.1 Activity contribution'!$H$247)</f>
        <v>0.90481566477846165</v>
      </c>
      <c r="J23" s="1681"/>
      <c r="K23" s="1191">
        <f ca="1">IF('7.6.1 Activity contribution'!$H$324=0,0,'7.6.1 Activity contribution'!B$324/'7.6.1 Activity contribution'!$H$324)</f>
        <v>0.89400106376331956</v>
      </c>
    </row>
    <row r="24" spans="1:256" x14ac:dyDescent="0.35">
      <c r="A24" s="221" t="s">
        <v>1137</v>
      </c>
      <c r="B24" s="79"/>
      <c r="C24" s="1191">
        <f>IF('7.6.1 Activity contribution'!H16=0,0,'7.6.1 Activity contribution'!C16/'7.6.1 Activity contribution'!H16)</f>
        <v>0</v>
      </c>
      <c r="D24" s="1681"/>
      <c r="E24" s="1681">
        <f ca="1">IF('7.6.1 Activity contribution'!$H$93=0,0,'7.6.1 Activity contribution'!$C$93/'7.6.1 Activity contribution'!$H$93)</f>
        <v>0</v>
      </c>
      <c r="F24" s="1681"/>
      <c r="G24" s="1681">
        <f ca="1">IF('7.6.1 Activity contribution'!$H$170=0,0,'7.6.1 Activity contribution'!C$170/'7.6.1 Activity contribution'!$H$170)</f>
        <v>0</v>
      </c>
      <c r="H24" s="1681"/>
      <c r="I24" s="1681">
        <f ca="1">IF('7.6.1 Activity contribution'!$H$247=0,0,'7.6.1 Activity contribution'!C$247/'7.6.1 Activity contribution'!$H$247)</f>
        <v>0</v>
      </c>
      <c r="J24" s="1681"/>
      <c r="K24" s="1191">
        <f ca="1">IF('7.6.1 Activity contribution'!$H$324=0,0,'7.6.1 Activity contribution'!C$324/'7.6.1 Activity contribution'!$H$324)</f>
        <v>0</v>
      </c>
    </row>
    <row r="25" spans="1:256" x14ac:dyDescent="0.35">
      <c r="A25" s="221" t="s">
        <v>43</v>
      </c>
      <c r="B25" s="79"/>
      <c r="C25" s="1191">
        <f>IF('7.6.1 Activity contribution'!H16=0,0,'7.6.1 Activity contribution'!D16/'7.6.1 Activity contribution'!H16)</f>
        <v>0</v>
      </c>
      <c r="D25" s="1681"/>
      <c r="E25" s="1681">
        <f ca="1">IF('7.6.1 Activity contribution'!$H$93=0,0,'7.6.1 Activity contribution'!$D$93/'7.6.1 Activity contribution'!$H$93)</f>
        <v>0</v>
      </c>
      <c r="F25" s="1681"/>
      <c r="G25" s="1681">
        <f ca="1">IF('7.6.1 Activity contribution'!$H$170=0,0,'7.6.1 Activity contribution'!D$170/'7.6.1 Activity contribution'!$H$170)</f>
        <v>0</v>
      </c>
      <c r="H25" s="1681"/>
      <c r="I25" s="1681">
        <f ca="1">IF('7.6.1 Activity contribution'!$H$247=0,0,'7.6.1 Activity contribution'!D$247/'7.6.1 Activity contribution'!$H$247)</f>
        <v>0</v>
      </c>
      <c r="J25" s="1681"/>
      <c r="K25" s="1191">
        <f ca="1">IF('7.6.1 Activity contribution'!$H$324=0,0,'7.6.1 Activity contribution'!D$324/'7.6.1 Activity contribution'!$H$324)</f>
        <v>0</v>
      </c>
    </row>
    <row r="26" spans="1:256" x14ac:dyDescent="0.35">
      <c r="A26" s="221" t="s">
        <v>1138</v>
      </c>
      <c r="B26" s="79"/>
      <c r="C26" s="1191">
        <f>IF('7.6.1 Activity contribution'!H16=0,0,'7.6.1 Activity contribution'!E16/'7.6.1 Activity contribution'!H16)</f>
        <v>0.1022548935342341</v>
      </c>
      <c r="D26" s="1681"/>
      <c r="E26" s="1681">
        <f ca="1">IF('7.6.1 Activity contribution'!$H$93=0,0,'7.6.1 Activity contribution'!$E$93/'7.6.1 Activity contribution'!$H$93)</f>
        <v>9.5300086733186878E-2</v>
      </c>
      <c r="F26" s="1681"/>
      <c r="G26" s="1681">
        <f ca="1">IF('7.6.1 Activity contribution'!$H$170=0,0,'7.6.1 Activity contribution'!E$170/'7.6.1 Activity contribution'!$H$170)</f>
        <v>7.800331630624073E-2</v>
      </c>
      <c r="H26" s="1681"/>
      <c r="I26" s="1681">
        <f ca="1">IF('7.6.1 Activity contribution'!$H$247=0,0,'7.6.1 Activity contribution'!E$247/'7.6.1 Activity contribution'!$H$247)</f>
        <v>8.5184511876168337E-2</v>
      </c>
      <c r="J26" s="1681"/>
      <c r="K26" s="1191">
        <f ca="1">IF('7.6.1 Activity contribution'!$H$324=0,0,'7.6.1 Activity contribution'!E$324/'7.6.1 Activity contribution'!$H$324)</f>
        <v>9.4746137332367905E-2</v>
      </c>
    </row>
    <row r="27" spans="1:256" x14ac:dyDescent="0.35">
      <c r="A27" s="221" t="s">
        <v>801</v>
      </c>
      <c r="B27" s="79"/>
      <c r="C27" s="1191">
        <f>IF('7.6.1 Activity contribution'!H16=0,0,'7.6.1 Activity contribution'!F16/'7.6.1 Activity contribution'!H16)</f>
        <v>1.0040993048337575E-2</v>
      </c>
      <c r="D27" s="1681"/>
      <c r="E27" s="1681">
        <f ca="1">IF('7.6.1 Activity contribution'!$H$93=0,0,'7.6.1 Activity contribution'!$F$93/'7.6.1 Activity contribution'!$H$93)</f>
        <v>9.9295636516376455E-3</v>
      </c>
      <c r="F27" s="1681"/>
      <c r="G27" s="1681">
        <f ca="1">IF('7.6.1 Activity contribution'!$H$170=0,0,'7.6.1 Activity contribution'!F$170/'7.6.1 Activity contribution'!$H$170)</f>
        <v>8.7651746279484265E-3</v>
      </c>
      <c r="H27" s="1681"/>
      <c r="I27" s="1681">
        <f ca="1">IF('7.6.1 Activity contribution'!$H$247=0,0,'7.6.1 Activity contribution'!F$247/'7.6.1 Activity contribution'!$H$247)</f>
        <v>9.9998233453699129E-3</v>
      </c>
      <c r="J27" s="1681"/>
      <c r="K27" s="1191">
        <f ca="1">IF('7.6.1 Activity contribution'!$H$324=0,0,'7.6.1 Activity contribution'!F$324/'7.6.1 Activity contribution'!$H$324)</f>
        <v>1.125279890431248E-2</v>
      </c>
    </row>
    <row r="28" spans="1:256" x14ac:dyDescent="0.35">
      <c r="A28" s="221"/>
      <c r="B28" s="85"/>
      <c r="C28" s="1174"/>
      <c r="D28" s="1015"/>
      <c r="E28" s="1015"/>
      <c r="F28" s="1015"/>
      <c r="G28" s="1015"/>
      <c r="H28" s="1015"/>
      <c r="I28" s="1015"/>
      <c r="J28" s="1015"/>
      <c r="K28" s="1174"/>
    </row>
    <row r="29" spans="1:256" x14ac:dyDescent="0.35">
      <c r="A29" s="268"/>
      <c r="B29" s="148"/>
      <c r="C29" s="271"/>
      <c r="D29" s="271"/>
      <c r="E29" s="271"/>
      <c r="F29" s="271"/>
      <c r="G29" s="271"/>
      <c r="H29" s="271"/>
      <c r="I29" s="271"/>
      <c r="J29" s="271"/>
      <c r="K29" s="271"/>
    </row>
    <row r="30" spans="1:256" ht="22.2" x14ac:dyDescent="0.45">
      <c r="A30" s="1181" t="s">
        <v>601</v>
      </c>
      <c r="B30" s="1210"/>
      <c r="C30" s="1104"/>
      <c r="D30" s="1104"/>
      <c r="E30" s="1104"/>
      <c r="F30" s="1104"/>
      <c r="G30" s="1167"/>
      <c r="H30" s="1104"/>
      <c r="I30" s="1104"/>
      <c r="J30" s="1104"/>
      <c r="K30" s="1168"/>
    </row>
    <row r="31" spans="1:256" x14ac:dyDescent="0.35">
      <c r="A31" s="221"/>
      <c r="B31" s="78"/>
      <c r="C31" s="1170"/>
      <c r="D31" s="1015"/>
      <c r="E31" s="1015"/>
      <c r="F31" s="1015"/>
      <c r="G31" s="1015"/>
      <c r="H31" s="1015"/>
      <c r="I31" s="1015"/>
      <c r="J31" s="1015"/>
      <c r="K31" s="1174"/>
    </row>
    <row r="32" spans="1:256" x14ac:dyDescent="0.35">
      <c r="A32" s="221" t="s">
        <v>595</v>
      </c>
      <c r="B32" s="79"/>
      <c r="C32" s="981">
        <f>'7.1 Dealer area'!C35</f>
        <v>29</v>
      </c>
      <c r="D32" s="1682"/>
      <c r="E32" s="1180">
        <f>'7.1 Dealer area'!E35</f>
        <v>73</v>
      </c>
      <c r="F32" s="1180"/>
      <c r="G32" s="1180">
        <f>'7.1 Dealer area'!G35</f>
        <v>125</v>
      </c>
      <c r="H32" s="1180"/>
      <c r="I32" s="1180">
        <f>'7.1 Dealer area'!I35</f>
        <v>154</v>
      </c>
      <c r="J32" s="1180"/>
      <c r="K32" s="981">
        <f>'7.1 Dealer area'!K35</f>
        <v>184</v>
      </c>
    </row>
    <row r="33" spans="1:11" x14ac:dyDescent="0.35">
      <c r="A33" s="221" t="s">
        <v>596</v>
      </c>
      <c r="B33" s="79"/>
      <c r="C33" s="981">
        <f>'7.6.2 Activity analysis'!B16</f>
        <v>1856568</v>
      </c>
      <c r="D33" s="1180"/>
      <c r="E33" s="1180">
        <f>'7.6.2 Activity analysis'!C16</f>
        <v>4671928.5</v>
      </c>
      <c r="F33" s="1180"/>
      <c r="G33" s="1180">
        <f>'7.6.2 Activity analysis'!D16</f>
        <v>7998064.5</v>
      </c>
      <c r="H33" s="1180"/>
      <c r="I33" s="1180">
        <f>'7.6.2 Activity analysis'!E16</f>
        <v>10049948.82</v>
      </c>
      <c r="J33" s="1180"/>
      <c r="K33" s="981">
        <f>'7.6.2 Activity analysis'!F16</f>
        <v>12007661.85</v>
      </c>
    </row>
    <row r="34" spans="1:11" x14ac:dyDescent="0.35">
      <c r="A34" s="221" t="s">
        <v>665</v>
      </c>
      <c r="B34" s="79"/>
      <c r="C34" s="981">
        <f>IF('7.1 Dealer area'!C35=0,0,'7.2.1 Turnover Vehicles'!C36/'7.1 Dealer area'!C35)</f>
        <v>64019.586206896551</v>
      </c>
      <c r="D34" s="1180"/>
      <c r="E34" s="1180">
        <f>IF('7.1 Dealer area'!E35=0,0,'7.2.1 Turnover Vehicles'!E36/'7.1 Dealer area'!E35)</f>
        <v>63999.020547945205</v>
      </c>
      <c r="F34" s="1180"/>
      <c r="G34" s="1180">
        <f>IF('7.1 Dealer area'!G35=0,0,'7.2.1 Turnover Vehicles'!G36/'7.1 Dealer area'!G35)</f>
        <v>63984.516000000003</v>
      </c>
      <c r="H34" s="1180"/>
      <c r="I34" s="1180">
        <f>IF('7.1 Dealer area'!I35=0,0,'7.2.1 Turnover Vehicles'!I36/'7.1 Dealer area'!I35)</f>
        <v>65259.407922077924</v>
      </c>
      <c r="J34" s="1180"/>
      <c r="K34" s="981">
        <f>IF('7.1 Dealer area'!K35=0,0,'7.2.1 Turnover Vehicles'!K36/'7.1 Dealer area'!K35)</f>
        <v>65259.031793478258</v>
      </c>
    </row>
    <row r="35" spans="1:11" x14ac:dyDescent="0.35">
      <c r="A35" s="221" t="s">
        <v>38</v>
      </c>
      <c r="B35" s="79"/>
      <c r="C35" s="1191">
        <f>'7.6.2 Activity analysis'!B34</f>
        <v>0.12270428015564207</v>
      </c>
      <c r="D35" s="1190"/>
      <c r="E35" s="1190">
        <f>'7.6.2 Activity analysis'!C34</f>
        <v>0.12282095177612416</v>
      </c>
      <c r="F35" s="1190"/>
      <c r="G35" s="1190">
        <f>'7.6.2 Activity analysis'!D34</f>
        <v>0.12290328303803999</v>
      </c>
      <c r="H35" s="1190"/>
      <c r="I35" s="1190">
        <f>'7.6.2 Activity analysis'!E34</f>
        <v>0.12292999384647618</v>
      </c>
      <c r="J35" s="1190"/>
      <c r="K35" s="1191">
        <f>'7.6.2 Activity analysis'!F34</f>
        <v>0.12293208777360769</v>
      </c>
    </row>
    <row r="36" spans="1:11" x14ac:dyDescent="0.35">
      <c r="A36" s="221" t="s">
        <v>666</v>
      </c>
      <c r="B36" s="79"/>
      <c r="C36" s="981">
        <f>IF('7.1 Dealer area'!C35=0,0,'7.6.2 Activity analysis'!B32/'7.1 Dealer area'!C35)</f>
        <v>7855.4772413793135</v>
      </c>
      <c r="D36" s="1180"/>
      <c r="E36" s="1180">
        <f>IF('7.1 Dealer area'!E35=0,0,'7.6.2 Activity analysis'!C32/'7.1 Dealer area'!E35)</f>
        <v>7860.4206164383568</v>
      </c>
      <c r="F36" s="1180"/>
      <c r="G36" s="1180">
        <f>IF('7.1 Dealer area'!G35=0,0,'7.6.2 Activity analysis'!D32/'7.1 Dealer area'!G35)</f>
        <v>7863.9070799999981</v>
      </c>
      <c r="H36" s="1180"/>
      <c r="I36" s="1180">
        <f>IF('7.1 Dealer area'!I35=0,0,'7.6.2 Activity analysis'!E32/'7.1 Dealer area'!I35)</f>
        <v>8022.338614285718</v>
      </c>
      <c r="J36" s="1180"/>
      <c r="K36" s="981">
        <f>IF('7.1 Dealer area'!K35=0,0,'7.6.2 Activity analysis'!F32/'7.1 Dealer area'!K35)</f>
        <v>8022.4290244565245</v>
      </c>
    </row>
    <row r="37" spans="1:11" x14ac:dyDescent="0.35">
      <c r="A37" s="221" t="s">
        <v>597</v>
      </c>
      <c r="B37" s="79"/>
      <c r="C37" s="1191">
        <f>IF('7.6.2 Activity analysis'!B16=0,0,('7.6.2 Activity analysis'!B37+'7.6.2 Activity analysis'!B39+'7.6.2 Activity analysis'!B60+'7.6.2 Activity analysis'!B62)/'7.6.2 Activity analysis'!B16)</f>
        <v>9.3941226499593355E-2</v>
      </c>
      <c r="D37" s="1180"/>
      <c r="E37" s="1190">
        <f>IF('7.6.2 Activity analysis'!C16=0,0,('7.6.2 Activity analysis'!C37+'7.6.2 Activity analysis'!C39+'7.6.2 Activity analysis'!C60+'7.6.2 Activity analysis'!C62)/'7.6.2 Activity analysis'!C16)</f>
        <v>6.3184057129713783E-2</v>
      </c>
      <c r="F37" s="1180"/>
      <c r="G37" s="1190">
        <f>IF('7.6.2 Activity analysis'!D16=0,0,('7.6.2 Activity analysis'!D37+'7.6.2 Activity analysis'!D39+'7.6.2 Activity analysis'!D60+'7.6.2 Activity analysis'!D62)/'7.6.2 Activity analysis'!D16)</f>
        <v>4.7273176692556255E-2</v>
      </c>
      <c r="H37" s="1180"/>
      <c r="I37" s="1190">
        <f>IF('7.6.2 Activity analysis'!E16=0,0,('7.6.2 Activity analysis'!E37+'7.6.2 Activity analysis'!E39+'7.6.2 Activity analysis'!E60+'7.6.2 Activity analysis'!E62)/'7.6.2 Activity analysis'!E16)</f>
        <v>4.3543549810374817E-2</v>
      </c>
      <c r="J37" s="1180"/>
      <c r="K37" s="1191">
        <f>IF('7.6.2 Activity analysis'!F16=0,0,('7.6.2 Activity analysis'!F37+'7.6.2 Activity analysis'!F39+'7.6.2 Activity analysis'!F60+'7.6.2 Activity analysis'!F62)/'7.6.2 Activity analysis'!F16)</f>
        <v>4.164258967348556E-2</v>
      </c>
    </row>
    <row r="38" spans="1:11" x14ac:dyDescent="0.35">
      <c r="A38" s="221" t="s">
        <v>583</v>
      </c>
      <c r="B38" s="79"/>
      <c r="C38" s="1191">
        <f>'7.6.2 Activity analysis'!B67</f>
        <v>2.8763053656048719E-2</v>
      </c>
      <c r="D38" s="1190"/>
      <c r="E38" s="1190">
        <f>'7.6.2 Activity analysis'!C67</f>
        <v>5.9636894646410359E-2</v>
      </c>
      <c r="F38" s="1190"/>
      <c r="G38" s="1190">
        <f>'7.6.2 Activity analysis'!D67</f>
        <v>7.5630106345483741E-2</v>
      </c>
      <c r="H38" s="1190"/>
      <c r="I38" s="1190">
        <f>'7.6.2 Activity analysis'!E67</f>
        <v>7.9386444036101358E-2</v>
      </c>
      <c r="J38" s="1190"/>
      <c r="K38" s="1191">
        <f>'7.6.2 Activity analysis'!F67</f>
        <v>8.1289498100122148E-2</v>
      </c>
    </row>
    <row r="39" spans="1:11" x14ac:dyDescent="0.35">
      <c r="A39" s="221" t="s">
        <v>598</v>
      </c>
      <c r="B39" s="79"/>
      <c r="C39" s="1194">
        <f>IF('7.9.1 Balance Assets'!C32=0,0,('7.6.1 Activity contribution'!B16-'7.6.1 Activity contribution'!B32)/'7.9.1 Balance Assets'!C32)</f>
        <v>3.0002136747990891</v>
      </c>
      <c r="D39" s="1195"/>
      <c r="E39" s="1195">
        <f>IF('7.9.1 Balance Assets'!E32=0,0,('7.6.1 Activity contribution'!B93-'7.6.1 Activity contribution'!B109)/'7.9.1 Balance Assets'!E32)</f>
        <v>3.0002137718985198</v>
      </c>
      <c r="F39" s="1195"/>
      <c r="G39" s="1195">
        <f>IF('7.9.1 Balance Assets'!G32=0,0,('7.6.1 Activity contribution'!B170-'7.6.1 Activity contribution'!B186)/'7.9.1 Balance Assets'!G32)</f>
        <v>3.0002138404338923</v>
      </c>
      <c r="H39" s="1195"/>
      <c r="I39" s="1195">
        <f>IF('7.9.1 Balance Assets'!I32=0,0,('7.6.1 Activity contribution'!B247-'7.6.1 Activity contribution'!B263)/'7.9.1 Balance Assets'!I32)</f>
        <v>3.0002096689928592</v>
      </c>
      <c r="J39" s="1195"/>
      <c r="K39" s="1194">
        <f>IF('7.9.1 Balance Assets'!K32=0,0,('7.6.1 Activity contribution'!B324-'7.6.1 Activity contribution'!B340)/'7.9.1 Balance Assets'!K32)</f>
        <v>3.0002096707020027</v>
      </c>
    </row>
    <row r="40" spans="1:11" x14ac:dyDescent="0.35">
      <c r="A40" s="221" t="s">
        <v>599</v>
      </c>
      <c r="B40" s="79"/>
      <c r="C40" s="1194">
        <f>IF(C39=0,0,ROUND(365/C39,0))</f>
        <v>122</v>
      </c>
      <c r="D40" s="1195"/>
      <c r="E40" s="1195">
        <f>IF(E39=0,0,ROUND(365/E39,0))</f>
        <v>122</v>
      </c>
      <c r="F40" s="1195"/>
      <c r="G40" s="1195">
        <f>IF(G39=0,0,ROUND(365/G39,0))</f>
        <v>122</v>
      </c>
      <c r="H40" s="1195"/>
      <c r="I40" s="1195">
        <f>IF(I39=0,0,ROUND(365/I39,0))</f>
        <v>122</v>
      </c>
      <c r="J40" s="1195"/>
      <c r="K40" s="1194">
        <f>IF(K39=0,0,ROUND(365/K39,0))</f>
        <v>122</v>
      </c>
    </row>
    <row r="41" spans="1:11" x14ac:dyDescent="0.35">
      <c r="A41" s="223"/>
      <c r="B41" s="85"/>
      <c r="C41" s="1637"/>
      <c r="D41" s="1683"/>
      <c r="E41" s="1683"/>
      <c r="F41" s="1683"/>
      <c r="G41" s="1683"/>
      <c r="H41" s="1683"/>
      <c r="I41" s="1683"/>
      <c r="J41" s="1683"/>
      <c r="K41" s="1637"/>
    </row>
    <row r="42" spans="1:11" x14ac:dyDescent="0.35">
      <c r="A42" s="199"/>
      <c r="C42" s="734"/>
      <c r="D42" s="219"/>
      <c r="E42" s="219"/>
      <c r="F42" s="219"/>
      <c r="G42" s="219"/>
      <c r="H42" s="219"/>
      <c r="I42" s="219"/>
      <c r="J42" s="219"/>
      <c r="K42" s="219"/>
    </row>
    <row r="43" spans="1:11" ht="22.2" x14ac:dyDescent="0.45">
      <c r="A43" s="1181" t="s">
        <v>602</v>
      </c>
      <c r="B43" s="1210"/>
      <c r="C43" s="1104"/>
      <c r="D43" s="1104"/>
      <c r="E43" s="1104"/>
      <c r="F43" s="1104"/>
      <c r="G43" s="1167"/>
      <c r="H43" s="1104"/>
      <c r="I43" s="1104"/>
      <c r="J43" s="1104"/>
      <c r="K43" s="1168"/>
    </row>
    <row r="44" spans="1:11" x14ac:dyDescent="0.35">
      <c r="A44" s="267"/>
      <c r="B44" s="78"/>
      <c r="C44" s="1170"/>
      <c r="D44" s="1013"/>
      <c r="E44" s="1013"/>
      <c r="F44" s="1013"/>
      <c r="G44" s="1013"/>
      <c r="H44" s="1013"/>
      <c r="I44" s="1013"/>
      <c r="J44" s="1013"/>
      <c r="K44" s="1170"/>
    </row>
    <row r="45" spans="1:11" x14ac:dyDescent="0.35">
      <c r="A45" s="221" t="s">
        <v>595</v>
      </c>
      <c r="B45" s="79"/>
      <c r="C45" s="981">
        <f>'5.1 DAF Vehicle Parc Input'!K43</f>
        <v>0</v>
      </c>
      <c r="D45" s="1214"/>
      <c r="E45" s="1680">
        <f>'5.1 DAF Vehicle Parc Input'!M43</f>
        <v>0</v>
      </c>
      <c r="F45" s="1680"/>
      <c r="G45" s="1680">
        <f>'5.1 DAF Vehicle Parc Input'!O43</f>
        <v>0</v>
      </c>
      <c r="H45" s="1680"/>
      <c r="I45" s="1680">
        <f>'5.1 DAF Vehicle Parc Input'!Q43</f>
        <v>0</v>
      </c>
      <c r="J45" s="1680"/>
      <c r="K45" s="981">
        <f>'5.1 DAF Vehicle Parc Input'!S43</f>
        <v>0</v>
      </c>
    </row>
    <row r="46" spans="1:11" x14ac:dyDescent="0.35">
      <c r="A46" s="221" t="s">
        <v>596</v>
      </c>
      <c r="B46" s="79"/>
      <c r="C46" s="981">
        <f>'7.2.1 Turnover Vehicles'!C48</f>
        <v>0</v>
      </c>
      <c r="D46" s="1680"/>
      <c r="E46" s="1680">
        <f>'7.2.1 Turnover Vehicles'!E48</f>
        <v>0</v>
      </c>
      <c r="F46" s="1680"/>
      <c r="G46" s="1680">
        <f>'7.2.1 Turnover Vehicles'!G48</f>
        <v>0</v>
      </c>
      <c r="H46" s="1680"/>
      <c r="I46" s="1680">
        <f>'7.2.1 Turnover Vehicles'!I48</f>
        <v>0</v>
      </c>
      <c r="J46" s="1680"/>
      <c r="K46" s="981">
        <f>'7.2.1 Turnover Vehicles'!K48</f>
        <v>0</v>
      </c>
    </row>
    <row r="47" spans="1:11" x14ac:dyDescent="0.35">
      <c r="A47" s="221" t="s">
        <v>665</v>
      </c>
      <c r="B47" s="79"/>
      <c r="C47" s="981">
        <f>'7.2.1 Turnover Vehicles'!C42</f>
        <v>0</v>
      </c>
      <c r="D47" s="1680"/>
      <c r="E47" s="1680">
        <f>'7.2.1 Turnover Vehicles'!E42</f>
        <v>0</v>
      </c>
      <c r="F47" s="1680"/>
      <c r="G47" s="1680">
        <f>'7.2.1 Turnover Vehicles'!G42</f>
        <v>0</v>
      </c>
      <c r="H47" s="1680"/>
      <c r="I47" s="1680">
        <f>'7.2.1 Turnover Vehicles'!I42</f>
        <v>0</v>
      </c>
      <c r="J47" s="1680"/>
      <c r="K47" s="981">
        <f>'7.2.1 Turnover Vehicles'!K42</f>
        <v>20000</v>
      </c>
    </row>
    <row r="48" spans="1:11" x14ac:dyDescent="0.35">
      <c r="A48" s="221" t="s">
        <v>38</v>
      </c>
      <c r="B48" s="79"/>
      <c r="C48" s="1191">
        <f>'7.6.2 Activity analysis'!G34</f>
        <v>0</v>
      </c>
      <c r="D48" s="1681"/>
      <c r="E48" s="1681">
        <f>'7.6.2 Activity analysis'!H34</f>
        <v>0</v>
      </c>
      <c r="F48" s="1681"/>
      <c r="G48" s="1681">
        <f>'7.6.2 Activity analysis'!I34</f>
        <v>0</v>
      </c>
      <c r="H48" s="1681"/>
      <c r="I48" s="1681">
        <f>'7.6.2 Activity analysis'!J34</f>
        <v>0</v>
      </c>
      <c r="J48" s="1681"/>
      <c r="K48" s="1191">
        <f>'7.6.2 Activity analysis'!K34</f>
        <v>0</v>
      </c>
    </row>
    <row r="49" spans="1:11" x14ac:dyDescent="0.35">
      <c r="A49" s="221" t="s">
        <v>666</v>
      </c>
      <c r="B49" s="79"/>
      <c r="C49" s="981">
        <f>IF('7.2.1 Turnover Vehicles'!C46=0,0,'7.6.2 Activity analysis'!G32/'7.2.1 Turnover Vehicles'!C46)</f>
        <v>0</v>
      </c>
      <c r="D49" s="1680"/>
      <c r="E49" s="1680">
        <f>IF('7.2.1 Turnover Vehicles'!E46=0,0,'7.6.2 Activity analysis'!H32/'7.2.1 Turnover Vehicles'!E46)</f>
        <v>0</v>
      </c>
      <c r="F49" s="1680"/>
      <c r="G49" s="1680">
        <f>IF('7.2.1 Turnover Vehicles'!G46=0,0,'7.6.2 Activity analysis'!I32/'7.2.1 Turnover Vehicles'!G46)</f>
        <v>0</v>
      </c>
      <c r="H49" s="1680"/>
      <c r="I49" s="1680">
        <f>IF('7.2.1 Turnover Vehicles'!I46=0,0,'7.6.2 Activity analysis'!J32/'7.2.1 Turnover Vehicles'!I46)</f>
        <v>0</v>
      </c>
      <c r="J49" s="1680"/>
      <c r="K49" s="981">
        <f>IF('7.2.1 Turnover Vehicles'!K46=0,0,'7.6.2 Activity analysis'!K32/'7.2.1 Turnover Vehicles'!K46)</f>
        <v>0</v>
      </c>
    </row>
    <row r="50" spans="1:11" x14ac:dyDescent="0.35">
      <c r="A50" s="221" t="s">
        <v>597</v>
      </c>
      <c r="B50" s="79"/>
      <c r="C50" s="1191">
        <f>IF('7.6.2 Activity analysis'!G16=0,0,('7.6.2 Activity analysis'!G37+'7.6.2 Activity analysis'!G39+'7.6.2 Activity analysis'!G60+'7.6.2 Activity analysis'!G62)/'7.6.2 Activity analysis'!G16)</f>
        <v>0</v>
      </c>
      <c r="D50" s="1681"/>
      <c r="E50" s="1681">
        <f>IF('7.6.2 Activity analysis'!H16=0,0,('7.6.2 Activity analysis'!H37+'7.6.2 Activity analysis'!H39+'7.6.2 Activity analysis'!H60+'7.6.2 Activity analysis'!H62)/'7.6.2 Activity analysis'!H16)</f>
        <v>0</v>
      </c>
      <c r="F50" s="1681"/>
      <c r="G50" s="1681">
        <f>IF('7.6.2 Activity analysis'!I16=0,0,('7.6.2 Activity analysis'!I37+'7.6.2 Activity analysis'!I39+'7.6.2 Activity analysis'!I60+'7.6.2 Activity analysis'!I62)/'7.6.2 Activity analysis'!I16)</f>
        <v>0</v>
      </c>
      <c r="H50" s="1681"/>
      <c r="I50" s="1681">
        <f>IF('7.6.2 Activity analysis'!J16=0,0,('7.6.2 Activity analysis'!J37+'7.6.2 Activity analysis'!J39+'7.6.2 Activity analysis'!J60+'7.6.2 Activity analysis'!J62)/'7.6.2 Activity analysis'!J16)</f>
        <v>0</v>
      </c>
      <c r="J50" s="1681"/>
      <c r="K50" s="1191">
        <f>IF('7.6.2 Activity analysis'!K16=0,0,('7.6.2 Activity analysis'!K37+'7.6.2 Activity analysis'!K39+'7.6.2 Activity analysis'!K60+'7.6.2 Activity analysis'!K62)/'7.6.2 Activity analysis'!K16)</f>
        <v>0</v>
      </c>
    </row>
    <row r="51" spans="1:11" x14ac:dyDescent="0.35">
      <c r="A51" s="221" t="s">
        <v>583</v>
      </c>
      <c r="B51" s="79"/>
      <c r="C51" s="1191">
        <f>'7.6.2 Activity analysis'!G67</f>
        <v>0</v>
      </c>
      <c r="D51" s="1681"/>
      <c r="E51" s="1681">
        <f>'7.6.2 Activity analysis'!H67</f>
        <v>0</v>
      </c>
      <c r="F51" s="1681"/>
      <c r="G51" s="1681">
        <f>'7.6.2 Activity analysis'!I67</f>
        <v>0</v>
      </c>
      <c r="H51" s="1681"/>
      <c r="I51" s="1681">
        <f>'7.6.2 Activity analysis'!J67</f>
        <v>0</v>
      </c>
      <c r="J51" s="1681"/>
      <c r="K51" s="1191">
        <f>'7.6.2 Activity analysis'!K67</f>
        <v>0</v>
      </c>
    </row>
    <row r="52" spans="1:11" x14ac:dyDescent="0.35">
      <c r="A52" s="221" t="s">
        <v>598</v>
      </c>
      <c r="B52" s="79"/>
      <c r="C52" s="1194">
        <f>IF('7.9.1 Balance Assets'!C33=0,0,('7.6.2 Activity analysis'!G16-'7.6.2 Activity analysis'!G32)/'7.9.1 Balance Assets'!C33)</f>
        <v>0</v>
      </c>
      <c r="D52" s="1684"/>
      <c r="E52" s="1195">
        <f>IF('7.9.1 Balance Assets'!E33=0,0,('7.6.2 Activity analysis'!H16-'7.6.2 Activity analysis'!H32)/'7.9.1 Balance Assets'!E33)</f>
        <v>0</v>
      </c>
      <c r="F52" s="1684"/>
      <c r="G52" s="1684">
        <f>IF('7.9.1 Balance Assets'!G33=0,0,('7.6.2 Activity analysis'!I16-'7.6.2 Activity analysis'!I32)/'7.9.1 Balance Assets'!G33)</f>
        <v>0</v>
      </c>
      <c r="H52" s="1684"/>
      <c r="I52" s="1684">
        <f>IF('7.9.1 Balance Assets'!I33=0,0,('7.6.2 Activity analysis'!J16-'7.6.2 Activity analysis'!J32)/'7.9.1 Balance Assets'!I33)</f>
        <v>0</v>
      </c>
      <c r="J52" s="1684"/>
      <c r="K52" s="1194">
        <f>IF('7.9.1 Balance Assets'!K33=0,0,('7.6.2 Activity analysis'!K16-'7.6.2 Activity analysis'!K32)/'7.9.1 Balance Assets'!K33)</f>
        <v>0</v>
      </c>
    </row>
    <row r="53" spans="1:11" x14ac:dyDescent="0.35">
      <c r="A53" s="221" t="s">
        <v>599</v>
      </c>
      <c r="B53" s="79"/>
      <c r="C53" s="1194">
        <f>IF(C52=0,0,ROUND(365/C52,0))</f>
        <v>0</v>
      </c>
      <c r="D53" s="1684"/>
      <c r="E53" s="1684">
        <f>IF(E52=0,0,ROUND(365/E52,0))</f>
        <v>0</v>
      </c>
      <c r="F53" s="1684"/>
      <c r="G53" s="1684">
        <f>IF(G52=0,0,ROUND(365/G52,0))</f>
        <v>0</v>
      </c>
      <c r="H53" s="1684"/>
      <c r="I53" s="1684">
        <f>IF(I52=0,0,ROUND(365/I52,0))</f>
        <v>0</v>
      </c>
      <c r="J53" s="1684"/>
      <c r="K53" s="1194">
        <f>IF(K52=0,0,ROUND(365/K52,0))</f>
        <v>0</v>
      </c>
    </row>
    <row r="54" spans="1:11" x14ac:dyDescent="0.35">
      <c r="A54" s="223"/>
      <c r="B54" s="85"/>
      <c r="C54" s="1197"/>
      <c r="D54" s="1200"/>
      <c r="E54" s="1200"/>
      <c r="F54" s="1200"/>
      <c r="G54" s="1200"/>
      <c r="H54" s="1200"/>
      <c r="I54" s="1200"/>
      <c r="J54" s="1200"/>
      <c r="K54" s="1201"/>
    </row>
    <row r="55" spans="1:11" x14ac:dyDescent="0.35">
      <c r="A55" s="199"/>
      <c r="C55" s="219"/>
      <c r="D55" s="219"/>
      <c r="E55" s="219"/>
      <c r="F55" s="219"/>
      <c r="G55" s="219"/>
      <c r="H55" s="219"/>
      <c r="I55" s="219"/>
      <c r="J55" s="219"/>
      <c r="K55" s="219"/>
    </row>
    <row r="56" spans="1:11" ht="22.2" x14ac:dyDescent="0.45">
      <c r="A56" s="1181" t="s">
        <v>603</v>
      </c>
      <c r="B56" s="1210"/>
      <c r="C56" s="1104"/>
      <c r="D56" s="1104"/>
      <c r="E56" s="1104"/>
      <c r="F56" s="1104"/>
      <c r="G56" s="1167"/>
      <c r="H56" s="1104"/>
      <c r="I56" s="1104"/>
      <c r="J56" s="1104"/>
      <c r="K56" s="1168"/>
    </row>
    <row r="57" spans="1:11" x14ac:dyDescent="0.35">
      <c r="A57" s="267"/>
      <c r="B57" s="78"/>
      <c r="C57" s="1170"/>
      <c r="D57" s="1013"/>
      <c r="E57" s="1013"/>
      <c r="F57" s="1013"/>
      <c r="G57" s="1013"/>
      <c r="H57" s="1013"/>
      <c r="I57" s="1013"/>
      <c r="J57" s="1013"/>
      <c r="K57" s="1170"/>
    </row>
    <row r="58" spans="1:11" x14ac:dyDescent="0.35">
      <c r="A58" s="221" t="s">
        <v>595</v>
      </c>
      <c r="B58" s="79"/>
      <c r="C58" s="981">
        <f>'7.2.1 Turnover Vehicles'!C60+'7.2.1 Turnover Vehicles'!C64+'7.2.1 Turnover Vehicles'!C68</f>
        <v>0</v>
      </c>
      <c r="D58" s="1214"/>
      <c r="E58" s="1214">
        <f>'7.2.1 Turnover Vehicles'!E60+'7.2.1 Turnover Vehicles'!E64+'7.2.1 Turnover Vehicles'!E68</f>
        <v>0</v>
      </c>
      <c r="F58" s="1214"/>
      <c r="G58" s="1214">
        <f>'7.2.1 Turnover Vehicles'!G60+'7.2.1 Turnover Vehicles'!G64+'7.2.1 Turnover Vehicles'!G68</f>
        <v>0</v>
      </c>
      <c r="H58" s="1214"/>
      <c r="I58" s="1214">
        <f>'7.2.1 Turnover Vehicles'!I60+'7.2.1 Turnover Vehicles'!I64+'7.2.1 Turnover Vehicles'!I68</f>
        <v>0</v>
      </c>
      <c r="J58" s="1214"/>
      <c r="K58" s="1174">
        <f>'7.2.1 Turnover Vehicles'!K60+'7.2.1 Turnover Vehicles'!K64+'7.2.1 Turnover Vehicles'!K68</f>
        <v>0</v>
      </c>
    </row>
    <row r="59" spans="1:11" x14ac:dyDescent="0.35">
      <c r="A59" s="221" t="s">
        <v>596</v>
      </c>
      <c r="B59" s="79"/>
      <c r="C59" s="981">
        <f>'7.6.2 Activity analysis'!L16</f>
        <v>0</v>
      </c>
      <c r="D59" s="1680"/>
      <c r="E59" s="1680">
        <f>'7.6.2 Activity analysis'!M16</f>
        <v>0</v>
      </c>
      <c r="F59" s="1680"/>
      <c r="G59" s="1680">
        <f>'7.6.2 Activity analysis'!N16</f>
        <v>0</v>
      </c>
      <c r="H59" s="1680"/>
      <c r="I59" s="1680">
        <f>'7.6.2 Activity analysis'!O16</f>
        <v>0</v>
      </c>
      <c r="J59" s="1680"/>
      <c r="K59" s="981">
        <f>'7.6.2 Activity analysis'!P16</f>
        <v>0</v>
      </c>
    </row>
    <row r="60" spans="1:11" x14ac:dyDescent="0.35">
      <c r="A60" s="221" t="s">
        <v>667</v>
      </c>
      <c r="B60" s="79"/>
      <c r="C60" s="981">
        <f>IF(C58=0,0,C59/C58)</f>
        <v>0</v>
      </c>
      <c r="D60" s="1680"/>
      <c r="E60" s="1680">
        <f>IF(E58=0,0,E59/E58)</f>
        <v>0</v>
      </c>
      <c r="F60" s="1680"/>
      <c r="G60" s="1680">
        <f>IF(G58=0,0,G59/G58)</f>
        <v>0</v>
      </c>
      <c r="H60" s="1680"/>
      <c r="I60" s="1680">
        <f>IF(I58=0,0,I59/I58)</f>
        <v>0</v>
      </c>
      <c r="J60" s="1680"/>
      <c r="K60" s="981">
        <f>IF(K58=0,0,K59/K58)</f>
        <v>0</v>
      </c>
    </row>
    <row r="61" spans="1:11" x14ac:dyDescent="0.35">
      <c r="A61" s="221" t="s">
        <v>38</v>
      </c>
      <c r="B61" s="79"/>
      <c r="C61" s="1191">
        <f>'7.6.2 Activity analysis'!L34</f>
        <v>0</v>
      </c>
      <c r="D61" s="1681"/>
      <c r="E61" s="1681">
        <f>'7.6.2 Activity analysis'!M34</f>
        <v>0</v>
      </c>
      <c r="F61" s="1681"/>
      <c r="G61" s="1681">
        <f>'7.6.2 Activity analysis'!N34</f>
        <v>0</v>
      </c>
      <c r="H61" s="1681"/>
      <c r="I61" s="1681">
        <f>'7.6.2 Activity analysis'!O34</f>
        <v>0</v>
      </c>
      <c r="J61" s="1681"/>
      <c r="K61" s="1191">
        <f>'7.6.2 Activity analysis'!P34</f>
        <v>0</v>
      </c>
    </row>
    <row r="62" spans="1:11" x14ac:dyDescent="0.35">
      <c r="A62" s="221" t="s">
        <v>668</v>
      </c>
      <c r="B62" s="79"/>
      <c r="C62" s="981">
        <f>IF('7.8 Dealer Benchmark'!C58=0,0,'7.6.2 Activity analysis'!L32/'7.8 Dealer Benchmark'!C58)</f>
        <v>0</v>
      </c>
      <c r="D62" s="1680"/>
      <c r="E62" s="1680">
        <f>IF('7.8 Dealer Benchmark'!E58=0,0,'7.6.2 Activity analysis'!M32/'7.8 Dealer Benchmark'!E58)</f>
        <v>0</v>
      </c>
      <c r="F62" s="1680"/>
      <c r="G62" s="1680">
        <f>IF('7.8 Dealer Benchmark'!G58=0,0,'7.6.2 Activity analysis'!N32/'7.8 Dealer Benchmark'!G58)</f>
        <v>0</v>
      </c>
      <c r="H62" s="1680"/>
      <c r="I62" s="1680">
        <f>IF('7.8 Dealer Benchmark'!I58=0,0,'7.6.2 Activity analysis'!O32/'7.8 Dealer Benchmark'!I58)</f>
        <v>0</v>
      </c>
      <c r="J62" s="1680"/>
      <c r="K62" s="981">
        <f>IF('7.8 Dealer Benchmark'!K58=0,0,'7.6.2 Activity analysis'!P32/'7.8 Dealer Benchmark'!K58)</f>
        <v>0</v>
      </c>
    </row>
    <row r="63" spans="1:11" x14ac:dyDescent="0.35">
      <c r="A63" s="221" t="s">
        <v>597</v>
      </c>
      <c r="B63" s="79"/>
      <c r="C63" s="1191">
        <f>IF('7.6.2 Activity analysis'!L16=0,0,('7.6.2 Activity analysis'!L37+'7.6.2 Activity analysis'!L39+'7.6.2 Activity analysis'!L60+'7.6.2 Activity analysis'!L62)/'7.6.2 Activity analysis'!L16)</f>
        <v>0</v>
      </c>
      <c r="D63" s="1681"/>
      <c r="E63" s="1681">
        <f>IF('7.6.2 Activity analysis'!M16=0,0,('7.6.2 Activity analysis'!M37+'7.6.2 Activity analysis'!M39+'7.6.2 Activity analysis'!M60+'7.6.2 Activity analysis'!M62)/'7.6.2 Activity analysis'!M16)</f>
        <v>0</v>
      </c>
      <c r="F63" s="1681"/>
      <c r="G63" s="1681">
        <f>IF('7.6.2 Activity analysis'!N16=0,0,('7.6.2 Activity analysis'!N37+'7.6.2 Activity analysis'!N39+'7.6.2 Activity analysis'!N60+'7.6.2 Activity analysis'!N62)/'7.6.2 Activity analysis'!N16)</f>
        <v>0</v>
      </c>
      <c r="H63" s="1681"/>
      <c r="I63" s="1681">
        <f>IF('7.6.2 Activity analysis'!O16=0,0,('7.6.2 Activity analysis'!O37+'7.6.2 Activity analysis'!O39+'7.6.2 Activity analysis'!O60+'7.6.2 Activity analysis'!O62)/'7.6.2 Activity analysis'!O16)</f>
        <v>0</v>
      </c>
      <c r="J63" s="1681"/>
      <c r="K63" s="1191">
        <f>IF('7.6.2 Activity analysis'!P16=0,0,('7.6.2 Activity analysis'!P37+'7.6.2 Activity analysis'!P39+'7.6.2 Activity analysis'!P60+'7.6.2 Activity analysis'!P62)/'7.6.2 Activity analysis'!P16)</f>
        <v>0</v>
      </c>
    </row>
    <row r="64" spans="1:11" x14ac:dyDescent="0.35">
      <c r="A64" s="221" t="s">
        <v>583</v>
      </c>
      <c r="B64" s="79"/>
      <c r="C64" s="1191">
        <f>'7.6.2 Activity analysis'!L80</f>
        <v>0</v>
      </c>
      <c r="D64" s="1681"/>
      <c r="E64" s="1681">
        <f>'7.6.2 Activity analysis'!M80</f>
        <v>0</v>
      </c>
      <c r="F64" s="1681"/>
      <c r="G64" s="1681">
        <f>'7.6.2 Activity analysis'!N80</f>
        <v>0</v>
      </c>
      <c r="H64" s="1681"/>
      <c r="I64" s="1681">
        <f>'7.6.2 Activity analysis'!O80</f>
        <v>0</v>
      </c>
      <c r="J64" s="1681"/>
      <c r="K64" s="1191">
        <f>'7.6.2 Activity analysis'!P80</f>
        <v>0</v>
      </c>
    </row>
    <row r="65" spans="1:11" x14ac:dyDescent="0.35">
      <c r="A65" s="223"/>
      <c r="B65" s="85"/>
      <c r="C65" s="1197"/>
      <c r="D65" s="1200"/>
      <c r="E65" s="1200"/>
      <c r="F65" s="1200"/>
      <c r="G65" s="1200"/>
      <c r="H65" s="1200"/>
      <c r="I65" s="1200"/>
      <c r="J65" s="1200"/>
      <c r="K65" s="1201"/>
    </row>
    <row r="66" spans="1:11" x14ac:dyDescent="0.35">
      <c r="A66" s="199"/>
      <c r="C66" s="219"/>
      <c r="D66" s="219"/>
      <c r="E66" s="219"/>
      <c r="F66" s="219"/>
      <c r="G66" s="219"/>
      <c r="H66" s="219"/>
      <c r="I66" s="219"/>
      <c r="J66" s="219"/>
      <c r="K66" s="219"/>
    </row>
    <row r="67" spans="1:11" ht="22.2" x14ac:dyDescent="0.45">
      <c r="A67" s="1181" t="s">
        <v>604</v>
      </c>
      <c r="B67" s="1210"/>
      <c r="C67" s="1104"/>
      <c r="D67" s="1104"/>
      <c r="E67" s="1104"/>
      <c r="F67" s="1104"/>
      <c r="G67" s="1167"/>
      <c r="H67" s="1104"/>
      <c r="I67" s="1104"/>
      <c r="J67" s="1104"/>
      <c r="K67" s="1168"/>
    </row>
    <row r="68" spans="1:11" x14ac:dyDescent="0.35">
      <c r="A68" s="267"/>
      <c r="B68" s="78"/>
      <c r="C68" s="1170"/>
      <c r="D68" s="1013"/>
      <c r="E68" s="1013"/>
      <c r="F68" s="1013"/>
      <c r="G68" s="1013"/>
      <c r="H68" s="1013"/>
      <c r="I68" s="1013"/>
      <c r="J68" s="1013"/>
      <c r="K68" s="1170"/>
    </row>
    <row r="69" spans="1:11" x14ac:dyDescent="0.35">
      <c r="A69" s="221" t="s">
        <v>596</v>
      </c>
      <c r="B69" s="79"/>
      <c r="C69" s="981">
        <f>'7.6.2 Activity analysis'!B99</f>
        <v>213858.60480945557</v>
      </c>
      <c r="D69" s="1680"/>
      <c r="E69" s="1680">
        <f ca="1">'7.6.2 Activity analysis'!C99</f>
        <v>497597.1671979691</v>
      </c>
      <c r="F69" s="1680"/>
      <c r="G69" s="1680">
        <f ca="1">'7.6.2 Activity analysis'!D99</f>
        <v>683151.58734438301</v>
      </c>
      <c r="H69" s="1680"/>
      <c r="I69" s="1680">
        <f ca="1">'7.6.2 Activity analysis'!E99</f>
        <v>946159.55264411191</v>
      </c>
      <c r="J69" s="1680"/>
      <c r="K69" s="981">
        <f ca="1">'7.6.2 Activity analysis'!F99</f>
        <v>1272570.7214392391</v>
      </c>
    </row>
    <row r="70" spans="1:11" x14ac:dyDescent="0.35">
      <c r="A70" s="221" t="s">
        <v>38</v>
      </c>
      <c r="B70" s="79"/>
      <c r="C70" s="1191">
        <f>'7.6.2 Activity analysis'!B117</f>
        <v>0.2626157688339088</v>
      </c>
      <c r="D70" s="1681"/>
      <c r="E70" s="1681">
        <f ca="1">'7.6.2 Activity analysis'!C117</f>
        <v>0.27133005859203063</v>
      </c>
      <c r="F70" s="1681"/>
      <c r="G70" s="1681">
        <f ca="1">'7.6.2 Activity analysis'!D117</f>
        <v>0.26288204277068161</v>
      </c>
      <c r="H70" s="1681"/>
      <c r="I70" s="1681">
        <f ca="1">'7.6.2 Activity analysis'!E117</f>
        <v>0.26492229943820877</v>
      </c>
      <c r="J70" s="1681"/>
      <c r="K70" s="1191">
        <f ca="1">'7.6.2 Activity analysis'!F117</f>
        <v>0.26588808268718267</v>
      </c>
    </row>
    <row r="71" spans="1:11" x14ac:dyDescent="0.35">
      <c r="A71" s="221" t="s">
        <v>597</v>
      </c>
      <c r="B71" s="79"/>
      <c r="C71" s="1191">
        <f>IF('7.6.2 Activity analysis'!B99=0,0,('7.6.2 Activity analysis'!B120+'7.6.2 Activity analysis'!B122+'7.6.2 Activity analysis'!B143+'7.6.2 Activity analysis'!B145)/'7.6.2 Activity analysis'!B99)</f>
        <v>0.3033412429572333</v>
      </c>
      <c r="D71" s="1681"/>
      <c r="E71" s="1681">
        <f ca="1">IF('7.6.2 Activity analysis'!C99=0,0,('7.6.2 Activity analysis'!C120+'7.6.2 Activity analysis'!C122+'7.6.2 Activity analysis'!C143+'7.6.2 Activity analysis'!C145)/'7.6.2 Activity analysis'!C99)</f>
        <v>0.24220449219730183</v>
      </c>
      <c r="F71" s="1681"/>
      <c r="G71" s="1681">
        <f ca="1">IF('7.6.2 Activity analysis'!D99=0,0,('7.6.2 Activity analysis'!D120+'7.6.2 Activity analysis'!D122+'7.6.2 Activity analysis'!D143+'7.6.2 Activity analysis'!D145)/'7.6.2 Activity analysis'!D99)</f>
        <v>0.1721108576751765</v>
      </c>
      <c r="H71" s="1681"/>
      <c r="I71" s="1681">
        <f ca="1">IF('7.6.2 Activity analysis'!E99=0,0,('7.6.2 Activity analysis'!E120+'7.6.2 Activity analysis'!E122+'7.6.2 Activity analysis'!E143+'7.6.2 Activity analysis'!E145)/'7.6.2 Activity analysis'!E99)</f>
        <v>0.13210815195797715</v>
      </c>
      <c r="J71" s="1681"/>
      <c r="K71" s="1191">
        <f ca="1">IF('7.6.2 Activity analysis'!F99=0,0,('7.6.2 Activity analysis'!F120+'7.6.2 Activity analysis'!F122+'7.6.2 Activity analysis'!F143+'7.6.2 Activity analysis'!F145)/'7.6.2 Activity analysis'!F99)</f>
        <v>0.10429819193429343</v>
      </c>
    </row>
    <row r="72" spans="1:11" x14ac:dyDescent="0.35">
      <c r="A72" s="221" t="s">
        <v>583</v>
      </c>
      <c r="B72" s="79"/>
      <c r="C72" s="1191">
        <f>'7.6.2 Activity analysis'!B164</f>
        <v>-4.0725474123324487E-2</v>
      </c>
      <c r="D72" s="1681"/>
      <c r="E72" s="1681">
        <f ca="1">'7.6.2 Activity analysis'!C164</f>
        <v>2.9125566394728825E-2</v>
      </c>
      <c r="F72" s="1681"/>
      <c r="G72" s="1681">
        <f ca="1">'7.6.2 Activity analysis'!D164</f>
        <v>9.0771185095505122E-2</v>
      </c>
      <c r="H72" s="1681"/>
      <c r="I72" s="1681">
        <f ca="1">'7.6.2 Activity analysis'!E164</f>
        <v>0.13281414748023168</v>
      </c>
      <c r="J72" s="1681"/>
      <c r="K72" s="1191">
        <f ca="1">'7.6.2 Activity analysis'!F164</f>
        <v>0.16158989075288926</v>
      </c>
    </row>
    <row r="73" spans="1:11" x14ac:dyDescent="0.35">
      <c r="A73" s="221" t="s">
        <v>598</v>
      </c>
      <c r="B73" s="79"/>
      <c r="C73" s="1194">
        <f>IF('7.9.1 Balance Assets'!C34=0,0,('7.6.2 Activity analysis'!B99-'7.6.2 Activity analysis'!B115)/'7.9.1 Balance Assets'!C34)</f>
        <v>2.7475574810929309</v>
      </c>
      <c r="D73" s="1684"/>
      <c r="E73" s="1684">
        <f ca="1">IF('7.9.1 Balance Assets'!E34=0,0,('7.6.2 Activity analysis'!C99-'7.6.2 Activity analysis'!C115)/'7.9.1 Balance Assets'!E34)</f>
        <v>1.7997792115034585</v>
      </c>
      <c r="F73" s="1684"/>
      <c r="G73" s="1684">
        <f ca="1">IF('7.9.1 Balance Assets'!G34=0,0,('7.6.2 Activity analysis'!D99-'7.6.2 Activity analysis'!D115)/'7.9.1 Balance Assets'!G34)</f>
        <v>1.8206453984966224</v>
      </c>
      <c r="H73" s="1684"/>
      <c r="I73" s="1684">
        <f ca="1">IF('7.9.1 Balance Assets'!I34=0,0,('7.6.2 Activity analysis'!E99-'7.6.2 Activity analysis'!E117)/'7.9.1 Balance Assets'!I34)</f>
        <v>2.4699505294429782</v>
      </c>
      <c r="J73" s="1684"/>
      <c r="K73" s="1194">
        <f ca="1">IF('7.9.1 Balance Assets'!K34=0,0,('7.6.2 Activity analysis'!F99-'7.6.2 Activity analysis'!F115)/'7.9.1 Balance Assets'!K34)</f>
        <v>1.8132206265344164</v>
      </c>
    </row>
    <row r="74" spans="1:11" x14ac:dyDescent="0.35">
      <c r="A74" s="221" t="s">
        <v>599</v>
      </c>
      <c r="B74" s="79"/>
      <c r="C74" s="1194">
        <f>IF(C73=0,0,ROUND(365/C73,0))</f>
        <v>133</v>
      </c>
      <c r="D74" s="1195"/>
      <c r="E74" s="1195">
        <f ca="1">IF(E73=0,0,ROUND(365/E73,0))</f>
        <v>203</v>
      </c>
      <c r="F74" s="1195"/>
      <c r="G74" s="1195">
        <f ca="1">IF(G73=0,0,ROUND(365/G73,0))</f>
        <v>200</v>
      </c>
      <c r="H74" s="1195"/>
      <c r="I74" s="1195">
        <f ca="1">IF(I73=0,0,ROUND(365/I73,0))</f>
        <v>148</v>
      </c>
      <c r="J74" s="1195"/>
      <c r="K74" s="1194">
        <f ca="1">IF(K73=0,0,ROUND(365/K73,0))</f>
        <v>201</v>
      </c>
    </row>
    <row r="75" spans="1:11" x14ac:dyDescent="0.35">
      <c r="A75" s="221" t="s">
        <v>605</v>
      </c>
      <c r="B75" s="79"/>
      <c r="C75" s="981">
        <f>IF('7.2.2 Turnover Parts'!C57=0,0,C69/'7.2.2 Turnover Parts'!C57)</f>
        <v>71286.201603151858</v>
      </c>
      <c r="D75" s="1180"/>
      <c r="E75" s="1180">
        <f ca="1">IF('7.2.2 Turnover Parts'!E57=0,0,E69/'7.2.2 Turnover Parts'!E57)</f>
        <v>55288.574133107679</v>
      </c>
      <c r="F75" s="1180"/>
      <c r="G75" s="1180">
        <f ca="1">IF('7.2.2 Turnover Parts'!G57=0,0,G69/'7.2.2 Turnover Parts'!G57)</f>
        <v>97593.083906340427</v>
      </c>
      <c r="H75" s="1180"/>
      <c r="I75" s="1180">
        <f ca="1">IF('7.2.2 Turnover Parts'!I57=0,0,I69/'7.2.2 Turnover Parts'!I57)</f>
        <v>135165.65037773029</v>
      </c>
      <c r="J75" s="1180"/>
      <c r="K75" s="981">
        <f ca="1">IF('7.2.2 Turnover Parts'!K57=0,0,K69/'7.2.2 Turnover Parts'!K57)</f>
        <v>181795.81734846273</v>
      </c>
    </row>
    <row r="76" spans="1:11" x14ac:dyDescent="0.35">
      <c r="A76" s="223"/>
      <c r="B76" s="85"/>
      <c r="C76" s="1197"/>
      <c r="D76" s="1200"/>
      <c r="E76" s="1200"/>
      <c r="F76" s="1200"/>
      <c r="G76" s="1200"/>
      <c r="H76" s="1200"/>
      <c r="I76" s="1200"/>
      <c r="J76" s="1200"/>
      <c r="K76" s="1201"/>
    </row>
    <row r="77" spans="1:11" x14ac:dyDescent="0.35">
      <c r="A77" s="199"/>
      <c r="C77" s="219"/>
      <c r="D77" s="219"/>
      <c r="E77" s="219"/>
      <c r="F77" s="219"/>
      <c r="G77" s="219"/>
      <c r="H77" s="219"/>
      <c r="I77" s="219"/>
      <c r="J77" s="219"/>
      <c r="K77" s="219"/>
    </row>
    <row r="78" spans="1:11" ht="22.2" x14ac:dyDescent="0.45">
      <c r="A78" s="1181" t="s">
        <v>606</v>
      </c>
      <c r="B78" s="1210"/>
      <c r="C78" s="1104"/>
      <c r="D78" s="1104"/>
      <c r="E78" s="1104"/>
      <c r="F78" s="1104"/>
      <c r="G78" s="1167"/>
      <c r="H78" s="1104"/>
      <c r="I78" s="1104"/>
      <c r="J78" s="1104"/>
      <c r="K78" s="1168"/>
    </row>
    <row r="79" spans="1:11" x14ac:dyDescent="0.35">
      <c r="A79" s="267"/>
      <c r="B79" s="78"/>
      <c r="C79" s="1170"/>
      <c r="D79" s="1013"/>
      <c r="E79" s="1013"/>
      <c r="F79" s="1013"/>
      <c r="G79" s="1013"/>
      <c r="H79" s="1013"/>
      <c r="I79" s="1013"/>
      <c r="J79" s="1013"/>
      <c r="K79" s="1170"/>
    </row>
    <row r="80" spans="1:11" x14ac:dyDescent="0.35">
      <c r="A80" s="221" t="s">
        <v>596</v>
      </c>
      <c r="B80" s="79"/>
      <c r="C80" s="981">
        <f>'7.6.2 Activity analysis'!G99</f>
        <v>21000</v>
      </c>
      <c r="D80" s="1462"/>
      <c r="E80" s="1462">
        <f>'7.6.2 Activity analysis'!H99</f>
        <v>51845.941739801259</v>
      </c>
      <c r="F80" s="1462"/>
      <c r="G80" s="1462">
        <f>'7.6.2 Activity analysis'!I99</f>
        <v>76765.235684660351</v>
      </c>
      <c r="H80" s="1462"/>
      <c r="I80" s="1462">
        <f>'7.6.2 Activity analysis'!J99</f>
        <v>111069.81978988508</v>
      </c>
      <c r="J80" s="1462"/>
      <c r="K80" s="981">
        <f>'7.6.2 Activity analysis'!K99</f>
        <v>151140.54063900618</v>
      </c>
    </row>
    <row r="81" spans="1:11" x14ac:dyDescent="0.35">
      <c r="A81" s="221" t="s">
        <v>38</v>
      </c>
      <c r="B81" s="79"/>
      <c r="C81" s="1191">
        <f>'7.6.2 Activity analysis'!G$117</f>
        <v>0.75241042857142859</v>
      </c>
      <c r="D81" s="1681"/>
      <c r="E81" s="1681">
        <f>'7.6.2 Activity analysis'!H117</f>
        <v>0.80706903212983583</v>
      </c>
      <c r="F81" s="1681"/>
      <c r="G81" s="1681">
        <f>'7.6.2 Activity analysis'!I117</f>
        <v>0.79233082094235563</v>
      </c>
      <c r="H81" s="1681"/>
      <c r="I81" s="1681">
        <f>'7.6.2 Activity analysis'!J117</f>
        <v>0.76083692351593146</v>
      </c>
      <c r="J81" s="1681"/>
      <c r="K81" s="1191">
        <f>'7.6.2 Activity analysis'!K117</f>
        <v>0.72351425836232963</v>
      </c>
    </row>
    <row r="82" spans="1:11" x14ac:dyDescent="0.35">
      <c r="A82" s="221" t="s">
        <v>597</v>
      </c>
      <c r="B82" s="79"/>
      <c r="C82" s="1191">
        <f>IF('7.6.2 Activity analysis'!G99=0,0,('7.6.2 Activity analysis'!G120+'7.6.2 Activity analysis'!G122+'7.6.2 Activity analysis'!G143+'7.6.2 Activity analysis'!G145)/'7.6.2 Activity analysis'!G99)</f>
        <v>2.8976385714285717</v>
      </c>
      <c r="D82" s="1681"/>
      <c r="E82" s="1681">
        <f>IF('7.6.2 Activity analysis'!H99=0,0,('7.6.2 Activity analysis'!H120+'7.6.2 Activity analysis'!H122+'7.6.2 Activity analysis'!H143+'7.6.2 Activity analysis'!H145)/'7.6.2 Activity analysis'!H99)</f>
        <v>2.3558958387331672</v>
      </c>
      <c r="F82" s="1681"/>
      <c r="G82" s="1681">
        <f>IF('7.6.2 Activity analysis'!I99=0,0,('7.6.2 Activity analysis'!I120+'7.6.2 Activity analysis'!I122+'7.6.2 Activity analysis'!I143+'7.6.2 Activity analysis'!I145)/'7.6.2 Activity analysis'!I99)</f>
        <v>1.8809813855473332</v>
      </c>
      <c r="H82" s="1681"/>
      <c r="I82" s="1681">
        <f>IF('7.6.2 Activity analysis'!J99=0,0,('7.6.2 Activity analysis'!J120+'7.6.2 Activity analysis'!J122+'7.6.2 Activity analysis'!J143+'7.6.2 Activity analysis'!J145)/'7.6.2 Activity analysis'!J99)</f>
        <v>1.4407922061565595</v>
      </c>
      <c r="J82" s="1681"/>
      <c r="K82" s="1191">
        <f>IF('7.6.2 Activity analysis'!K99=0,0,('7.6.2 Activity analysis'!K120+'7.6.2 Activity analysis'!K122+'7.6.2 Activity analysis'!K143+'7.6.2 Activity analysis'!K145)/'7.6.2 Activity analysis'!K99)</f>
        <v>1.1113371291638729</v>
      </c>
    </row>
    <row r="83" spans="1:11" x14ac:dyDescent="0.35">
      <c r="A83" s="221" t="s">
        <v>583</v>
      </c>
      <c r="B83" s="79"/>
      <c r="C83" s="1191">
        <f>'7.6.2 Activity analysis'!G164</f>
        <v>-2.1452281428571429</v>
      </c>
      <c r="D83" s="1681"/>
      <c r="E83" s="1681">
        <f>'7.6.2 Activity analysis'!H164</f>
        <v>-1.5488268066033315</v>
      </c>
      <c r="F83" s="1681"/>
      <c r="G83" s="1681">
        <f>'7.6.2 Activity analysis'!I164</f>
        <v>-1.0886505646049773</v>
      </c>
      <c r="H83" s="1681"/>
      <c r="I83" s="1681">
        <f>'7.6.2 Activity analysis'!J164</f>
        <v>-0.67995528264062799</v>
      </c>
      <c r="J83" s="1681"/>
      <c r="K83" s="1191">
        <f>'7.6.2 Activity analysis'!K164</f>
        <v>-0.38782287080154343</v>
      </c>
    </row>
    <row r="84" spans="1:11" x14ac:dyDescent="0.35">
      <c r="A84" s="221" t="s">
        <v>605</v>
      </c>
      <c r="B84" s="79"/>
      <c r="C84" s="981">
        <f>IF('7.2.3 Turnover Service &amp; Body'!C71=0,0,C80/'7.2.3 Turnover Service &amp; Body'!C71)</f>
        <v>7000</v>
      </c>
      <c r="D84" s="1680"/>
      <c r="E84" s="1680">
        <f>IF('7.2.3 Turnover Service &amp; Body'!E71=0,0,E80/'7.2.3 Turnover Service &amp; Body'!E71)</f>
        <v>10369.188347960251</v>
      </c>
      <c r="F84" s="1680"/>
      <c r="G84" s="1680">
        <f>IF('7.2.3 Turnover Service &amp; Body'!G71=0,0,G80/'7.2.3 Turnover Service &amp; Body'!G71)</f>
        <v>10966.462240665764</v>
      </c>
      <c r="H84" s="1680"/>
      <c r="I84" s="1680">
        <f>IF('7.2.3 Turnover Service &amp; Body'!I71=0,0,I80/'7.2.3 Turnover Service &amp; Body'!I71)</f>
        <v>11106.981978988508</v>
      </c>
      <c r="J84" s="1680"/>
      <c r="K84" s="981">
        <f>IF('7.2.3 Turnover Service &amp; Body'!K71=0,0,K80/'7.2.3 Turnover Service &amp; Body'!K71)</f>
        <v>11626.195433769706</v>
      </c>
    </row>
    <row r="85" spans="1:11" x14ac:dyDescent="0.35">
      <c r="A85" s="223"/>
      <c r="B85" s="85"/>
      <c r="C85" s="1197"/>
      <c r="D85" s="1200"/>
      <c r="E85" s="1200"/>
      <c r="F85" s="1200"/>
      <c r="G85" s="1200"/>
      <c r="H85" s="1200"/>
      <c r="I85" s="1200"/>
      <c r="J85" s="1200"/>
      <c r="K85" s="1201"/>
    </row>
    <row r="86" spans="1:11" x14ac:dyDescent="0.35">
      <c r="A86" s="199"/>
      <c r="C86" s="219"/>
      <c r="D86" s="219"/>
      <c r="E86" s="219"/>
      <c r="F86" s="219"/>
      <c r="G86" s="219"/>
      <c r="H86" s="219"/>
      <c r="I86" s="219"/>
      <c r="J86" s="219"/>
      <c r="K86" s="219"/>
    </row>
    <row r="87" spans="1:11" ht="22.2" x14ac:dyDescent="0.45">
      <c r="A87" s="1181" t="s">
        <v>607</v>
      </c>
      <c r="B87" s="1210"/>
      <c r="C87" s="1104"/>
      <c r="D87" s="1104"/>
      <c r="E87" s="1104"/>
      <c r="F87" s="1104"/>
      <c r="G87" s="1167"/>
      <c r="H87" s="1104"/>
      <c r="I87" s="1104"/>
      <c r="J87" s="1104"/>
      <c r="K87" s="1168"/>
    </row>
    <row r="88" spans="1:11" x14ac:dyDescent="0.35">
      <c r="A88" s="267"/>
      <c r="B88" s="78"/>
      <c r="C88" s="1170"/>
      <c r="D88" s="1013"/>
      <c r="E88" s="1013"/>
      <c r="F88" s="1013"/>
      <c r="G88" s="1013"/>
      <c r="H88" s="1013"/>
      <c r="I88" s="1013"/>
      <c r="J88" s="1013"/>
      <c r="K88" s="1170"/>
    </row>
    <row r="89" spans="1:11" x14ac:dyDescent="0.35">
      <c r="A89" s="221" t="s">
        <v>608</v>
      </c>
      <c r="B89" s="79"/>
      <c r="C89" s="981">
        <f>'7.6.2 Activity analysis'!L122+'7.6.2 Activity analysis'!L143+'7.6.2 Activity analysis'!L145</f>
        <v>104390.41</v>
      </c>
      <c r="D89" s="1680"/>
      <c r="E89" s="1680">
        <f>'7.6.2 Activity analysis'!M122+'7.6.2 Activity analysis'!M143+'7.6.2 Activity analysis'!M145</f>
        <v>174576.3346</v>
      </c>
      <c r="F89" s="1680"/>
      <c r="G89" s="1680">
        <f>'7.6.2 Activity analysis'!N122+'7.6.2 Activity analysis'!N143+'7.6.2 Activity analysis'!N145</f>
        <v>167799.96600933332</v>
      </c>
      <c r="H89" s="1680"/>
      <c r="I89" s="1680">
        <f>'7.6.2 Activity analysis'!O122+'7.6.2 Activity analysis'!O143+'7.6.2 Activity analysis'!O145</f>
        <v>158466.26863656001</v>
      </c>
      <c r="J89" s="1680"/>
      <c r="K89" s="981">
        <f>'7.6.2 Activity analysis'!P122+'7.6.2 Activity analysis'!P143+'7.6.2 Activity analysis'!P145</f>
        <v>122661.45275475361</v>
      </c>
    </row>
    <row r="90" spans="1:11" x14ac:dyDescent="0.35">
      <c r="A90" s="221" t="s">
        <v>609</v>
      </c>
      <c r="B90" s="79"/>
      <c r="C90" s="1191">
        <f>IF('7.8 Dealer Benchmark'!C9=0,0,C89/'7.8 Dealer Benchmark'!C9)</f>
        <v>4.9913494339195681E-2</v>
      </c>
      <c r="D90" s="1685"/>
      <c r="E90" s="1681">
        <f ca="1">IF('7.8 Dealer Benchmark'!E9=0,0,E89/'7.8 Dealer Benchmark'!E9)</f>
        <v>3.3434956880135869E-2</v>
      </c>
      <c r="F90" s="1681"/>
      <c r="G90" s="1681">
        <f ca="1">IF('7.8 Dealer Benchmark'!G9=0,0,G89/'7.8 Dealer Benchmark'!G9)</f>
        <v>1.915966246332413E-2</v>
      </c>
      <c r="H90" s="1681"/>
      <c r="I90" s="1681">
        <f ca="1">IF('7.8 Dealer Benchmark'!I9=0,0,I89/'7.8 Dealer Benchmark'!I9)</f>
        <v>1.4267014167874273E-2</v>
      </c>
      <c r="J90" s="1681"/>
      <c r="K90" s="1191">
        <f ca="1">IF('7.8 Dealer Benchmark'!K9=0,0,K89/'7.8 Dealer Benchmark'!K9)</f>
        <v>9.1324581434231427E-3</v>
      </c>
    </row>
    <row r="91" spans="1:11" x14ac:dyDescent="0.35">
      <c r="A91" s="223"/>
      <c r="B91" s="85"/>
      <c r="C91" s="1197"/>
      <c r="D91" s="1200"/>
      <c r="E91" s="1200"/>
      <c r="F91" s="1200"/>
      <c r="G91" s="1200"/>
      <c r="H91" s="1200"/>
      <c r="I91" s="1200"/>
      <c r="J91" s="1200"/>
      <c r="K91" s="1201"/>
    </row>
    <row r="92" spans="1:11" hidden="1" x14ac:dyDescent="0.35">
      <c r="A92" s="199"/>
    </row>
    <row r="93" spans="1:11" hidden="1" x14ac:dyDescent="0.35">
      <c r="A93" s="199"/>
    </row>
    <row r="94" spans="1:11" hidden="1" x14ac:dyDescent="0.35">
      <c r="A94" s="199"/>
    </row>
    <row r="95" spans="1:11" hidden="1" x14ac:dyDescent="0.35">
      <c r="A95" s="199"/>
    </row>
    <row r="96" spans="1:11" hidden="1" x14ac:dyDescent="0.35">
      <c r="A96" s="199"/>
    </row>
    <row r="97" spans="1:1" hidden="1" x14ac:dyDescent="0.35">
      <c r="A97" s="199"/>
    </row>
    <row r="98" spans="1:1" hidden="1" x14ac:dyDescent="0.35">
      <c r="A98" s="199"/>
    </row>
    <row r="99" spans="1:1" hidden="1" x14ac:dyDescent="0.35">
      <c r="A99" s="199"/>
    </row>
    <row r="100" spans="1:1" x14ac:dyDescent="0.35"/>
  </sheetData>
  <sheetProtection password="813F" sheet="1" objects="1" scenarios="1" selectLockedCells="1"/>
  <customSheetViews>
    <customSheetView guid="{51165254-F18A-4CD1-9981-8F2DE14CC76C}" scale="80" showGridLines="0" fitToPage="1" hiddenRows="1" hiddenColumns="1" showRuler="0">
      <pane ySplit="6" topLeftCell="A22" activePane="bottomLeft" state="frozen"/>
      <selection pane="bottomLeft"/>
      <pageMargins left="0.78740157480314965" right="0.78740157480314965" top="0.98425196850393704" bottom="0.98425196850393704" header="0.51181102362204722" footer="0.51181102362204722"/>
      <printOptions horizontalCentered="1" verticalCentered="1"/>
      <pageSetup paperSize="9" scale="47"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45"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0">
    <tabColor indexed="22"/>
    <pageSetUpPr fitToPage="1"/>
  </sheetPr>
  <dimension ref="A1:L54"/>
  <sheetViews>
    <sheetView showGridLines="0" zoomScale="88" zoomScaleNormal="120" workbookViewId="0">
      <pane ySplit="6" topLeftCell="A16" activePane="bottomLeft" state="frozen"/>
      <selection activeCell="C21" sqref="C21"/>
      <selection pane="bottomLeft"/>
    </sheetView>
  </sheetViews>
  <sheetFormatPr baseColWidth="10" defaultColWidth="0" defaultRowHeight="14.4" zeroHeight="1" x14ac:dyDescent="0.35"/>
  <cols>
    <col min="1" max="1" width="24.77734375" style="45" customWidth="1"/>
    <col min="2" max="2" width="16.44140625" style="848" customWidth="1"/>
    <col min="3" max="3" width="17.109375" style="839" customWidth="1"/>
    <col min="4" max="4" width="9.109375" style="839" customWidth="1"/>
    <col min="5" max="5" width="16" style="839" customWidth="1"/>
    <col min="6" max="6" width="9.109375" style="839" customWidth="1"/>
    <col min="7" max="7" width="16.33203125" style="839" customWidth="1"/>
    <col min="8" max="8" width="9.109375" style="839" customWidth="1"/>
    <col min="9" max="9" width="16.33203125" style="839" customWidth="1"/>
    <col min="10" max="10" width="11.77734375" style="839" customWidth="1"/>
    <col min="11" max="11" width="15.44140625" style="839" customWidth="1"/>
    <col min="12" max="12" width="1.44140625" style="45" customWidth="1"/>
    <col min="13" max="16384" width="9.109375" style="45" hidden="1"/>
  </cols>
  <sheetData>
    <row r="1" spans="1:12" ht="28.8" x14ac:dyDescent="0.55000000000000004">
      <c r="A1" s="200" t="s">
        <v>1173</v>
      </c>
      <c r="B1" s="201"/>
      <c r="C1" s="201"/>
      <c r="D1" s="201"/>
      <c r="E1" s="201"/>
      <c r="F1" s="201"/>
      <c r="G1" s="201"/>
      <c r="H1" s="201"/>
      <c r="I1" s="201"/>
      <c r="J1" s="201"/>
      <c r="K1" s="202" t="s">
        <v>939</v>
      </c>
    </row>
    <row r="2" spans="1:12" x14ac:dyDescent="0.35">
      <c r="A2" s="135"/>
      <c r="B2" s="136"/>
      <c r="C2" s="136"/>
      <c r="D2" s="136"/>
      <c r="E2" s="280"/>
      <c r="F2" s="136"/>
      <c r="G2" s="136"/>
      <c r="H2" s="136"/>
      <c r="I2" s="136"/>
      <c r="J2" s="136"/>
      <c r="K2" s="137"/>
    </row>
    <row r="3" spans="1:12" ht="16.2" x14ac:dyDescent="0.35">
      <c r="A3" s="138" t="s">
        <v>1035</v>
      </c>
      <c r="B3" s="239" t="str">
        <f>'Reference sheet'!C12</f>
        <v>TRUCK INTERNATIONAL MOBILITY SA</v>
      </c>
      <c r="C3" s="240"/>
      <c r="D3" s="45"/>
      <c r="E3" s="242" t="s">
        <v>1036</v>
      </c>
      <c r="F3" s="282">
        <f>'Reference sheet'!C15</f>
        <v>2</v>
      </c>
      <c r="G3" s="283" t="s">
        <v>1037</v>
      </c>
      <c r="H3" s="243" t="str">
        <f>'Reference sheet'!C17</f>
        <v>October</v>
      </c>
      <c r="I3" s="982">
        <f>'Reference sheet'!D17</f>
        <v>2018</v>
      </c>
      <c r="J3" s="143" t="s">
        <v>1175</v>
      </c>
      <c r="K3" s="284" t="str">
        <f>'Reference sheet'!C21</f>
        <v>EUR</v>
      </c>
    </row>
    <row r="4" spans="1:12" x14ac:dyDescent="0.35">
      <c r="A4" s="135"/>
      <c r="B4" s="641" t="s">
        <v>116</v>
      </c>
      <c r="C4" s="136"/>
      <c r="D4" s="136"/>
      <c r="E4" s="136"/>
      <c r="F4" s="136"/>
      <c r="G4" s="182"/>
      <c r="H4" s="136"/>
      <c r="I4" s="136"/>
      <c r="J4" s="136"/>
      <c r="K4" s="340"/>
    </row>
    <row r="5" spans="1:12" x14ac:dyDescent="0.35">
      <c r="A5" s="135"/>
      <c r="B5" s="641" t="s">
        <v>117</v>
      </c>
      <c r="C5" s="642"/>
      <c r="D5" s="136"/>
      <c r="E5" s="136"/>
      <c r="F5" s="136"/>
      <c r="G5" s="182"/>
      <c r="H5" s="136"/>
      <c r="I5" s="136"/>
      <c r="J5" s="136"/>
      <c r="K5" s="340"/>
    </row>
    <row r="6" spans="1:12" x14ac:dyDescent="0.35">
      <c r="A6" s="145"/>
      <c r="B6" s="725" t="s">
        <v>118</v>
      </c>
      <c r="C6" s="288">
        <f>+'7.1 Dealer area'!C5</f>
        <v>2019</v>
      </c>
      <c r="D6" s="342"/>
      <c r="E6" s="288">
        <f>+'7.1 Dealer area'!E5</f>
        <v>2020</v>
      </c>
      <c r="F6" s="343"/>
      <c r="G6" s="288">
        <f>+'7.1 Dealer area'!G5</f>
        <v>2021</v>
      </c>
      <c r="H6" s="344"/>
      <c r="I6" s="288">
        <f>+'7.1 Dealer area'!I5</f>
        <v>2022</v>
      </c>
      <c r="J6" s="344"/>
      <c r="K6" s="288">
        <f>+'7.1 Dealer area'!K5</f>
        <v>2023</v>
      </c>
    </row>
    <row r="7" spans="1:12" ht="18" x14ac:dyDescent="0.35">
      <c r="A7" s="1042" t="s">
        <v>228</v>
      </c>
      <c r="B7" s="1101"/>
      <c r="C7" s="833"/>
      <c r="D7" s="833"/>
      <c r="E7" s="833"/>
      <c r="F7" s="833"/>
      <c r="G7" s="1102"/>
      <c r="H7" s="833"/>
      <c r="I7" s="833"/>
      <c r="J7" s="833"/>
      <c r="K7" s="1103"/>
    </row>
    <row r="8" spans="1:12" x14ac:dyDescent="0.35">
      <c r="A8" s="276"/>
      <c r="B8" s="1233"/>
      <c r="C8" s="841"/>
      <c r="D8" s="840"/>
      <c r="E8" s="840"/>
      <c r="F8" s="840"/>
      <c r="G8" s="1234"/>
      <c r="H8" s="840"/>
      <c r="I8" s="840"/>
      <c r="J8" s="840"/>
      <c r="K8" s="1235"/>
    </row>
    <row r="9" spans="1:12" x14ac:dyDescent="0.35">
      <c r="A9" s="135" t="s">
        <v>159</v>
      </c>
      <c r="B9" s="1236">
        <f>'7.4.3 Inv. &amp; Depr.'!C54</f>
        <v>0</v>
      </c>
      <c r="C9" s="981">
        <f>B9+'7.4.3 Inv. &amp; Depr.'!C11+'7.4.3 Inv. &amp; Depr.'!D11+'7.4.3 Inv. &amp; Depr.'!D54-'7.4.3 Inv. &amp; Depr.'!D105</f>
        <v>21505.333333333336</v>
      </c>
      <c r="E9" s="1237">
        <f>C9+'7.4.3 Inv. &amp; Depr.'!F11+'7.4.3 Inv. &amp; Depr.'!F54-'7.4.3 Inv. &amp; Depr.'!F105</f>
        <v>10752.66666666667</v>
      </c>
      <c r="F9" s="1238"/>
      <c r="G9" s="1237">
        <f>E9+'7.4.3 Inv. &amp; Depr.'!H11+'7.4.3 Inv. &amp; Depr.'!H54-'7.4.3 Inv. &amp; Depr.'!H105</f>
        <v>10752.66666666667</v>
      </c>
      <c r="H9" s="1238"/>
      <c r="I9" s="1237">
        <f>G9+'7.4.3 Inv. &amp; Depr.'!J11+'7.4.3 Inv. &amp; Depr.'!J54-'7.4.3 Inv. &amp; Depr.'!J105</f>
        <v>10752.66666666667</v>
      </c>
      <c r="J9" s="1238"/>
      <c r="K9" s="1239">
        <f>I9+'7.4.3 Inv. &amp; Depr.'!L11+'7.4.3 Inv. &amp; Depr.'!L54-'7.4.3 Inv. &amp; Depr.'!L105</f>
        <v>10752.66666666667</v>
      </c>
      <c r="L9" s="287"/>
    </row>
    <row r="10" spans="1:12" x14ac:dyDescent="0.35">
      <c r="A10" s="135"/>
      <c r="B10" s="1236"/>
      <c r="C10" s="1174"/>
      <c r="E10" s="1238"/>
      <c r="F10" s="1238"/>
      <c r="G10" s="1238"/>
      <c r="H10" s="1238"/>
      <c r="I10" s="1238"/>
      <c r="J10" s="1238"/>
      <c r="K10" s="1240"/>
      <c r="L10" s="287"/>
    </row>
    <row r="11" spans="1:12" x14ac:dyDescent="0.35">
      <c r="A11" s="135" t="s">
        <v>160</v>
      </c>
      <c r="B11" s="1236"/>
      <c r="C11" s="981"/>
      <c r="E11" s="1237"/>
      <c r="F11" s="1238"/>
      <c r="G11" s="1237"/>
      <c r="H11" s="1238"/>
      <c r="I11" s="1237"/>
      <c r="J11" s="1238"/>
      <c r="K11" s="1239"/>
      <c r="L11" s="287"/>
    </row>
    <row r="12" spans="1:12" x14ac:dyDescent="0.35">
      <c r="A12" s="135" t="s">
        <v>133</v>
      </c>
      <c r="B12" s="1236">
        <f>'7.4.3 Inv. &amp; Depr.'!C57</f>
        <v>0</v>
      </c>
      <c r="C12" s="1177">
        <f>B12+'7.4.3 Inv. &amp; Depr.'!C14+'7.4.3 Inv. &amp; Depr.'!D14+'7.4.3 Inv. &amp; Depr.'!D57-'7.4.3 Inv. &amp; Depr.'!D108</f>
        <v>0</v>
      </c>
      <c r="E12" s="1178">
        <f>C12+'7.4.3 Inv. &amp; Depr.'!F14+'7.4.3 Inv. &amp; Depr.'!F57-'7.4.3 Inv. &amp; Depr.'!F108</f>
        <v>0</v>
      </c>
      <c r="G12" s="1178">
        <f>E12+'7.4.3 Inv. &amp; Depr.'!H14+'7.4.3 Inv. &amp; Depr.'!H57-'7.4.3 Inv. &amp; Depr.'!H108</f>
        <v>0</v>
      </c>
      <c r="I12" s="1178">
        <f>G12+'7.4.3 Inv. &amp; Depr.'!J14+'7.4.3 Inv. &amp; Depr.'!J57-'7.4.3 Inv. &amp; Depr.'!J108</f>
        <v>0</v>
      </c>
      <c r="K12" s="1177">
        <f>I12+'7.4.3 Inv. &amp; Depr.'!L14+'7.4.3 Inv. &amp; Depr.'!L57-'7.4.3 Inv. &amp; Depr.'!L108</f>
        <v>0</v>
      </c>
      <c r="L12" s="171"/>
    </row>
    <row r="13" spans="1:12" x14ac:dyDescent="0.35">
      <c r="A13" s="135" t="s">
        <v>134</v>
      </c>
      <c r="B13" s="1236">
        <f>'7.4.3 Inv. &amp; Depr.'!C58</f>
        <v>0</v>
      </c>
      <c r="C13" s="1177">
        <f>B13+'7.4.3 Inv. &amp; Depr.'!C15+'7.4.3 Inv. &amp; Depr.'!D15+'7.4.3 Inv. &amp; Depr.'!D58-'7.4.3 Inv. &amp; Depr.'!D109</f>
        <v>76000</v>
      </c>
      <c r="E13" s="1178">
        <f>C13+'7.4.3 Inv. &amp; Depr.'!F15+'7.4.3 Inv. &amp; Depr.'!F58-'7.4.3 Inv. &amp; Depr.'!F109</f>
        <v>300000</v>
      </c>
      <c r="G13" s="1178">
        <f>E13+'7.4.3 Inv. &amp; Depr.'!H15+'7.4.3 Inv. &amp; Depr.'!H58-'7.4.3 Inv. &amp; Depr.'!H109</f>
        <v>284000</v>
      </c>
      <c r="I13" s="1178">
        <f>G13+'7.4.3 Inv. &amp; Depr.'!J15+'7.4.3 Inv. &amp; Depr.'!J58-'7.4.3 Inv. &amp; Depr.'!J109</f>
        <v>268000</v>
      </c>
      <c r="K13" s="1177">
        <f>I13+'7.4.3 Inv. &amp; Depr.'!L15+'7.4.3 Inv. &amp; Depr.'!L58-'7.4.3 Inv. &amp; Depr.'!L109</f>
        <v>252000</v>
      </c>
      <c r="L13" s="136"/>
    </row>
    <row r="14" spans="1:12" x14ac:dyDescent="0.35">
      <c r="A14" s="135" t="s">
        <v>438</v>
      </c>
      <c r="B14" s="1236">
        <f>'7.4.3 Inv. &amp; Depr.'!C59</f>
        <v>0</v>
      </c>
      <c r="C14" s="1177">
        <f>B14+'7.4.3 Inv. &amp; Depr.'!C16+'7.4.3 Inv. &amp; Depr.'!D16+'7.4.3 Inv. &amp; Depr.'!D59-'7.4.3 Inv. &amp; Depr.'!D110</f>
        <v>26666.666666666664</v>
      </c>
      <c r="E14" s="1178">
        <f>C14+'7.4.3 Inv. &amp; Depr.'!F16+'7.4.3 Inv. &amp; Depr.'!F59-'7.4.3 Inv. &amp; Depr.'!F110</f>
        <v>93333.333333333314</v>
      </c>
      <c r="G14" s="1178">
        <f>E14+'7.4.3 Inv. &amp; Depr.'!H16+'7.4.3 Inv. &amp; Depr.'!H59-'7.4.3 Inv. &amp; Depr.'!H110</f>
        <v>39999.999999999978</v>
      </c>
      <c r="I14" s="1178">
        <f>G14+'7.4.3 Inv. &amp; Depr.'!J16+'7.4.3 Inv. &amp; Depr.'!J59-'7.4.3 Inv. &amp; Depr.'!J110</f>
        <v>0</v>
      </c>
      <c r="K14" s="1177">
        <f>I14+'7.4.3 Inv. &amp; Depr.'!L16+'7.4.3 Inv. &amp; Depr.'!L59-'7.4.3 Inv. &amp; Depr.'!L110</f>
        <v>0</v>
      </c>
      <c r="L14" s="171"/>
    </row>
    <row r="15" spans="1:12" x14ac:dyDescent="0.35">
      <c r="A15" s="135" t="s">
        <v>136</v>
      </c>
      <c r="B15" s="1236">
        <f>'7.4.3 Inv. &amp; Depr.'!C60</f>
        <v>0</v>
      </c>
      <c r="C15" s="1177">
        <f>B15+'7.4.3 Inv. &amp; Depr.'!C17+'7.4.3 Inv. &amp; Depr.'!D17+'7.4.3 Inv. &amp; Depr.'!D60-'7.4.3 Inv. &amp; Depr.'!D111</f>
        <v>7200</v>
      </c>
      <c r="E15" s="1178">
        <f>C15+'7.4.3 Inv. &amp; Depr.'!F17+'7.4.3 Inv. &amp; Depr.'!F60-'7.4.3 Inv. &amp; Depr.'!F111</f>
        <v>27000</v>
      </c>
      <c r="G15" s="1178">
        <f>E15+'7.4.3 Inv. &amp; Depr.'!H17+'7.4.3 Inv. &amp; Depr.'!H60-'7.4.3 Inv. &amp; Depr.'!H111</f>
        <v>19800</v>
      </c>
      <c r="I15" s="1178">
        <f>G15+'7.4.3 Inv. &amp; Depr.'!J17+'7.4.3 Inv. &amp; Depr.'!J60-'7.4.3 Inv. &amp; Depr.'!J111</f>
        <v>12600</v>
      </c>
      <c r="K15" s="1177">
        <f>I15+'7.4.3 Inv. &amp; Depr.'!L17+'7.4.3 Inv. &amp; Depr.'!L60-'7.4.3 Inv. &amp; Depr.'!L111</f>
        <v>5400</v>
      </c>
      <c r="L15" s="171"/>
    </row>
    <row r="16" spans="1:12" x14ac:dyDescent="0.35">
      <c r="A16" s="135" t="s">
        <v>137</v>
      </c>
      <c r="B16" s="1236">
        <f>'7.4.3 Inv. &amp; Depr.'!C61</f>
        <v>0</v>
      </c>
      <c r="C16" s="1177">
        <f>B16+'7.4.3 Inv. &amp; Depr.'!C18+'7.4.3 Inv. &amp; Depr.'!D18+'7.4.3 Inv. &amp; Depr.'!D61-'7.4.3 Inv. &amp; Depr.'!D112</f>
        <v>6400</v>
      </c>
      <c r="E16" s="1178">
        <f>C16+'7.4.3 Inv. &amp; Depr.'!F18+'7.4.3 Inv. &amp; Depr.'!F61-'7.4.3 Inv. &amp; Depr.'!F112</f>
        <v>24000</v>
      </c>
      <c r="G16" s="1178">
        <f>E16+'7.4.3 Inv. &amp; Depr.'!H18+'7.4.3 Inv. &amp; Depr.'!H61-'7.4.3 Inv. &amp; Depr.'!H112</f>
        <v>17600</v>
      </c>
      <c r="I16" s="1178">
        <f>G16+'7.4.3 Inv. &amp; Depr.'!J18+'7.4.3 Inv. &amp; Depr.'!J61-'7.4.3 Inv. &amp; Depr.'!J112</f>
        <v>11200</v>
      </c>
      <c r="K16" s="1177">
        <f>I16+'7.4.3 Inv. &amp; Depr.'!L18+'7.4.3 Inv. &amp; Depr.'!L61-'7.4.3 Inv. &amp; Depr.'!L112</f>
        <v>4800</v>
      </c>
      <c r="L16" s="171"/>
    </row>
    <row r="17" spans="1:12" x14ac:dyDescent="0.35">
      <c r="A17" s="656" t="s">
        <v>229</v>
      </c>
      <c r="B17" s="1236">
        <f>'7.4.3 Inv. &amp; Depr.'!C62</f>
        <v>0</v>
      </c>
      <c r="C17" s="1177">
        <f>B17+'7.4.3 Inv. &amp; Depr.'!C19+'7.4.3 Inv. &amp; Depr.'!D19+'7.4.3 Inv. &amp; Depr.'!D62-'7.4.3 Inv. &amp; Depr.'!D113</f>
        <v>20800</v>
      </c>
      <c r="E17" s="1178">
        <f>C17+'7.4.3 Inv. &amp; Depr.'!F19+'7.4.3 Inv. &amp; Depr.'!F62-'7.4.3 Inv. &amp; Depr.'!F113</f>
        <v>78000</v>
      </c>
      <c r="G17" s="1178">
        <f>E17+'7.4.3 Inv. &amp; Depr.'!H19+'7.4.3 Inv. &amp; Depr.'!H62-'7.4.3 Inv. &amp; Depr.'!H113</f>
        <v>57200</v>
      </c>
      <c r="I17" s="1178">
        <f>G17+'7.4.3 Inv. &amp; Depr.'!J19+'7.4.3 Inv. &amp; Depr.'!J62-'7.4.3 Inv. &amp; Depr.'!J113</f>
        <v>36400</v>
      </c>
      <c r="K17" s="1177">
        <f>I17+'7.4.3 Inv. &amp; Depr.'!L19+'7.4.3 Inv. &amp; Depr.'!L62-'7.4.3 Inv. &amp; Depr.'!L113</f>
        <v>15600</v>
      </c>
      <c r="L17" s="171"/>
    </row>
    <row r="18" spans="1:12" x14ac:dyDescent="0.35">
      <c r="A18" s="135" t="s">
        <v>138</v>
      </c>
      <c r="B18" s="1236">
        <f>'7.4.3 Inv. &amp; Depr.'!C63</f>
        <v>0</v>
      </c>
      <c r="C18" s="1177">
        <f>B18+'7.4.3 Inv. &amp; Depr.'!C20+'7.4.3 Inv. &amp; Depr.'!D20+'7.4.3 Inv. &amp; Depr.'!D63-'7.4.3 Inv. &amp; Depr.'!D114</f>
        <v>0</v>
      </c>
      <c r="E18" s="1178">
        <f>C18+'7.4.3 Inv. &amp; Depr.'!F20+'7.4.3 Inv. &amp; Depr.'!F63-'7.4.3 Inv. &amp; Depr.'!F114</f>
        <v>0</v>
      </c>
      <c r="G18" s="1178">
        <f>E18+'7.4.3 Inv. &amp; Depr.'!H20+'7.4.3 Inv. &amp; Depr.'!H63-'7.4.3 Inv. &amp; Depr.'!H114</f>
        <v>0</v>
      </c>
      <c r="I18" s="1178">
        <f>G18+'7.4.3 Inv. &amp; Depr.'!J20+'7.4.3 Inv. &amp; Depr.'!J63-'7.4.3 Inv. &amp; Depr.'!J114</f>
        <v>0</v>
      </c>
      <c r="K18" s="1177">
        <f>I18+'7.4.3 Inv. &amp; Depr.'!L20+'7.4.3 Inv. &amp; Depr.'!L63-'7.4.3 Inv. &amp; Depr.'!L114</f>
        <v>0</v>
      </c>
      <c r="L18" s="171"/>
    </row>
    <row r="19" spans="1:12" x14ac:dyDescent="0.35">
      <c r="A19" s="135" t="s">
        <v>203</v>
      </c>
      <c r="B19" s="1241">
        <f>'7.4.3 Inv. &amp; Depr.'!C64</f>
        <v>0</v>
      </c>
      <c r="C19" s="1242">
        <f>B19+'7.4.3 Inv. &amp; Depr.'!C21+'7.4.3 Inv. &amp; Depr.'!D21+'7.4.3 Inv. &amp; Depr.'!D64-'7.4.3 Inv. &amp; Depr.'!D115</f>
        <v>0</v>
      </c>
      <c r="E19" s="1243">
        <f>C19+'7.4.3 Inv. &amp; Depr.'!F21+'7.4.3 Inv. &amp; Depr.'!F64-'7.4.3 Inv. &amp; Depr.'!F115</f>
        <v>0</v>
      </c>
      <c r="G19" s="1243">
        <f>E19+'7.4.3 Inv. &amp; Depr.'!H21+'7.4.3 Inv. &amp; Depr.'!H64-'7.4.3 Inv. &amp; Depr.'!H115</f>
        <v>0</v>
      </c>
      <c r="I19" s="1243">
        <f>G19+'7.4.3 Inv. &amp; Depr.'!J21+'7.4.3 Inv. &amp; Depr.'!J64-'7.4.3 Inv. &amp; Depr.'!J115</f>
        <v>0</v>
      </c>
      <c r="K19" s="1242">
        <f>I19+'7.4.3 Inv. &amp; Depr.'!L21+'7.4.3 Inv. &amp; Depr.'!L64-'7.4.3 Inv. &amp; Depr.'!L115</f>
        <v>0</v>
      </c>
      <c r="L19" s="171"/>
    </row>
    <row r="20" spans="1:12" x14ac:dyDescent="0.35">
      <c r="A20" s="135"/>
      <c r="B20" s="1236">
        <f>SUM(B12:B19)</f>
        <v>0</v>
      </c>
      <c r="C20" s="1177">
        <f>SUM(C12:C19)</f>
        <v>137066.66666666666</v>
      </c>
      <c r="E20" s="1178">
        <f>SUM(E12:E19)</f>
        <v>522333.33333333331</v>
      </c>
      <c r="G20" s="1178">
        <f>SUM(G12:G19)</f>
        <v>418600</v>
      </c>
      <c r="I20" s="1178">
        <f>SUM(I12:I19)</f>
        <v>328200</v>
      </c>
      <c r="K20" s="1177">
        <f>SUM(K12:K19)</f>
        <v>277800</v>
      </c>
      <c r="L20" s="171"/>
    </row>
    <row r="21" spans="1:12" x14ac:dyDescent="0.35">
      <c r="A21" s="135"/>
      <c r="B21" s="1236"/>
      <c r="C21" s="843"/>
      <c r="K21" s="843"/>
      <c r="L21" s="136"/>
    </row>
    <row r="22" spans="1:12" x14ac:dyDescent="0.35">
      <c r="A22" s="135" t="s">
        <v>161</v>
      </c>
      <c r="B22" s="1236">
        <f>'7.4.3 Inv. &amp; Depr.'!C68</f>
        <v>0</v>
      </c>
      <c r="C22" s="1177">
        <f>B22+'7.4.3 Inv. &amp; Depr.'!C24+'7.4.3 Inv. &amp; Depr.'!D24+'7.4.3 Inv. &amp; Depr.'!D68-'7.4.3 Inv. &amp; Depr.'!D118</f>
        <v>0</v>
      </c>
      <c r="E22" s="1178">
        <f>C22+'7.4.3 Inv. &amp; Depr.'!F24+'7.4.3 Inv. &amp; Depr.'!F68-'7.4.3 Inv. &amp; Depr.'!F118</f>
        <v>0</v>
      </c>
      <c r="G22" s="1178">
        <f>E22+'7.4.3 Inv. &amp; Depr.'!H24+'7.4.3 Inv. &amp; Depr.'!H68-'7.4.3 Inv. &amp; Depr.'!H118</f>
        <v>0</v>
      </c>
      <c r="I22" s="1178">
        <f>G22+'7.4.3 Inv. &amp; Depr.'!J24+'7.4.3 Inv. &amp; Depr.'!J68-'7.4.3 Inv. &amp; Depr.'!J118</f>
        <v>0</v>
      </c>
      <c r="K22" s="1177">
        <f>I22+'7.4.3 Inv. &amp; Depr.'!L24+'7.4.3 Inv. &amp; Depr.'!L68-'7.4.3 Inv. &amp; Depr.'!L118</f>
        <v>0</v>
      </c>
      <c r="L22" s="136"/>
    </row>
    <row r="23" spans="1:12" ht="15" thickBot="1" x14ac:dyDescent="0.4">
      <c r="A23" s="221"/>
      <c r="B23" s="1244"/>
      <c r="C23" s="843"/>
      <c r="K23" s="843"/>
    </row>
    <row r="24" spans="1:12" x14ac:dyDescent="0.35">
      <c r="A24" s="1215"/>
      <c r="B24" s="1228"/>
      <c r="C24" s="1141"/>
      <c r="D24" s="1142"/>
      <c r="E24" s="1142"/>
      <c r="F24" s="1142"/>
      <c r="G24" s="1142"/>
      <c r="H24" s="1142"/>
      <c r="I24" s="1142"/>
      <c r="J24" s="1142"/>
      <c r="K24" s="1143"/>
    </row>
    <row r="25" spans="1:12" x14ac:dyDescent="0.35">
      <c r="A25" s="1216" t="s">
        <v>230</v>
      </c>
      <c r="B25" s="1229">
        <f>B9+B20+B22</f>
        <v>0</v>
      </c>
      <c r="C25" s="1145">
        <f>C9+C20+C22</f>
        <v>158572</v>
      </c>
      <c r="D25" s="845"/>
      <c r="E25" s="1146">
        <f>E9+E20+E22</f>
        <v>533086</v>
      </c>
      <c r="F25" s="845"/>
      <c r="G25" s="1146">
        <f>G9+G20+G22</f>
        <v>429352.66666666669</v>
      </c>
      <c r="H25" s="845"/>
      <c r="I25" s="1146">
        <f>I9+I20+I22</f>
        <v>338952.66666666669</v>
      </c>
      <c r="J25" s="845"/>
      <c r="K25" s="1147">
        <f>K9+K20+K22</f>
        <v>288552.66666666669</v>
      </c>
    </row>
    <row r="26" spans="1:12" ht="15" thickBot="1" x14ac:dyDescent="0.4">
      <c r="A26" s="1217"/>
      <c r="B26" s="1230"/>
      <c r="C26" s="1149"/>
      <c r="D26" s="1150"/>
      <c r="E26" s="1150"/>
      <c r="F26" s="1150"/>
      <c r="G26" s="1150"/>
      <c r="H26" s="1150"/>
      <c r="I26" s="1150"/>
      <c r="J26" s="1150"/>
      <c r="K26" s="1151"/>
    </row>
    <row r="27" spans="1:12" x14ac:dyDescent="0.35">
      <c r="A27" s="136"/>
      <c r="B27" s="788"/>
      <c r="C27" s="136"/>
      <c r="D27" s="136"/>
      <c r="E27" s="136"/>
      <c r="F27" s="136"/>
      <c r="G27" s="136"/>
      <c r="H27" s="136"/>
      <c r="I27" s="136"/>
      <c r="J27" s="136"/>
      <c r="K27" s="136"/>
    </row>
    <row r="28" spans="1:12" x14ac:dyDescent="0.35">
      <c r="A28" s="136"/>
      <c r="B28" s="788"/>
      <c r="C28" s="136"/>
      <c r="D28" s="136"/>
      <c r="E28" s="136"/>
      <c r="F28" s="136"/>
      <c r="G28" s="136"/>
      <c r="H28" s="136"/>
      <c r="I28" s="136"/>
      <c r="J28" s="136"/>
      <c r="K28" s="136"/>
    </row>
    <row r="29" spans="1:12" ht="18" x14ac:dyDescent="0.35">
      <c r="A29" s="1042" t="s">
        <v>231</v>
      </c>
      <c r="B29" s="1101"/>
      <c r="C29" s="833"/>
      <c r="D29" s="833"/>
      <c r="E29" s="833"/>
      <c r="F29" s="833"/>
      <c r="G29" s="1102"/>
      <c r="H29" s="833"/>
      <c r="I29" s="833"/>
      <c r="J29" s="833"/>
      <c r="K29" s="1103"/>
    </row>
    <row r="30" spans="1:12" x14ac:dyDescent="0.35">
      <c r="A30" s="135"/>
      <c r="B30" s="1245"/>
      <c r="C30" s="841"/>
      <c r="D30" s="840"/>
      <c r="E30" s="840"/>
      <c r="F30" s="840"/>
      <c r="G30" s="840"/>
      <c r="H30" s="840"/>
      <c r="I30" s="840"/>
      <c r="J30" s="840"/>
      <c r="K30" s="841"/>
    </row>
    <row r="31" spans="1:12" x14ac:dyDescent="0.35">
      <c r="A31" s="221" t="s">
        <v>232</v>
      </c>
      <c r="B31" s="1244"/>
      <c r="C31" s="843"/>
      <c r="K31" s="843"/>
    </row>
    <row r="32" spans="1:12" x14ac:dyDescent="0.35">
      <c r="A32" s="221" t="s">
        <v>436</v>
      </c>
      <c r="B32" s="1236">
        <v>0</v>
      </c>
      <c r="C32" s="1177">
        <f>'7.5.1 Financial Requirements'!D38</f>
        <v>542881.05333333323</v>
      </c>
      <c r="E32" s="1178">
        <f>'7.5.1 Financial Requirements'!F38</f>
        <v>1365941.9316666666</v>
      </c>
      <c r="G32" s="1178">
        <f>'7.5.1 Financial Requirements'!H38</f>
        <v>2338192.0383333331</v>
      </c>
      <c r="I32" s="1178">
        <f>'7.5.1 Financial Requirements'!J38</f>
        <v>2937964.2244666666</v>
      </c>
      <c r="K32" s="1177">
        <f>'7.5.1 Financial Requirements'!L38</f>
        <v>3510266.3031666661</v>
      </c>
    </row>
    <row r="33" spans="1:11" x14ac:dyDescent="0.35">
      <c r="A33" s="221" t="s">
        <v>437</v>
      </c>
      <c r="B33" s="1236">
        <f>IF('7.5.2 Fin. Income &amp; Expenses '!D18=0,0,'7.2.1 Turnover Vehicles'!C53)</f>
        <v>0</v>
      </c>
      <c r="C33" s="1177">
        <f>'7.2.1 Turnover Vehicles'!C54-'7.4.3 Inv. &amp; Depr.'!D127</f>
        <v>0</v>
      </c>
      <c r="E33" s="1178">
        <f>'7.2.1 Turnover Vehicles'!E54-'7.4.3 Inv. &amp; Depr.'!F127</f>
        <v>0</v>
      </c>
      <c r="G33" s="1178">
        <f>'7.2.1 Turnover Vehicles'!G54-'7.4.3 Inv. &amp; Depr.'!H127</f>
        <v>0</v>
      </c>
      <c r="I33" s="1178">
        <f>'7.2.1 Turnover Vehicles'!I54-'7.4.3 Inv. &amp; Depr.'!J127</f>
        <v>0</v>
      </c>
      <c r="K33" s="1177">
        <f>'7.2.1 Turnover Vehicles'!K54-'7.4.3 Inv. &amp; Depr.'!L127</f>
        <v>0</v>
      </c>
    </row>
    <row r="34" spans="1:11" x14ac:dyDescent="0.35">
      <c r="A34" s="221" t="s">
        <v>233</v>
      </c>
      <c r="B34" s="1236">
        <f>IF('7.5.2 Fin. Income &amp; Expenses '!D18=0,0,'7.2.2 Turnover Parts'!C71)</f>
        <v>0</v>
      </c>
      <c r="C34" s="981">
        <f>'7.2.2 Turnover Parts'!C72-'7.4.3 Inv. &amp; Depr.'!D129</f>
        <v>57394.964062023777</v>
      </c>
      <c r="D34" s="1015"/>
      <c r="E34" s="1180">
        <f ca="1">'7.2.2 Turnover Parts'!E72-'7.4.3 Inv. &amp; Depr.'!F129</f>
        <v>201460.32154912403</v>
      </c>
      <c r="F34" s="1015"/>
      <c r="G34" s="1180">
        <f ca="1">'7.2.2 Turnover Parts'!G72-'7.4.3 Inv. &amp; Depr.'!H129</f>
        <v>276585.05217823834</v>
      </c>
      <c r="H34" s="1015"/>
      <c r="I34" s="1180">
        <f ca="1">'7.2.2 Turnover Parts'!I72-'7.4.3 Inv. &amp; Depr.'!J129</f>
        <v>383068.11267802591</v>
      </c>
      <c r="J34" s="1015"/>
      <c r="K34" s="981">
        <f ca="1">'7.2.2 Turnover Parts'!K72-'7.4.3 Inv. &amp; Depr.'!L129</f>
        <v>515220.99327617756</v>
      </c>
    </row>
    <row r="35" spans="1:11" x14ac:dyDescent="0.35">
      <c r="A35" s="221" t="s">
        <v>578</v>
      </c>
      <c r="B35" s="1241">
        <v>0</v>
      </c>
      <c r="C35" s="1197">
        <f>'7.5.1 Financial Requirements'!D39</f>
        <v>0</v>
      </c>
      <c r="D35" s="1015"/>
      <c r="E35" s="1246">
        <f>'7.5.1 Financial Requirements'!F39</f>
        <v>0</v>
      </c>
      <c r="F35" s="1015"/>
      <c r="G35" s="1246">
        <f>'7.5.1 Financial Requirements'!H39</f>
        <v>0</v>
      </c>
      <c r="H35" s="1015"/>
      <c r="I35" s="1246">
        <f>'7.5.1 Financial Requirements'!J39</f>
        <v>0</v>
      </c>
      <c r="J35" s="1015"/>
      <c r="K35" s="1197">
        <f>'7.5.1 Financial Requirements'!L39</f>
        <v>0</v>
      </c>
    </row>
    <row r="36" spans="1:11" x14ac:dyDescent="0.35">
      <c r="A36" s="221"/>
      <c r="B36" s="1236">
        <f>SUM(B32:B35)</f>
        <v>0</v>
      </c>
      <c r="C36" s="981">
        <f>SUM(C32:C35)</f>
        <v>600276.01739535702</v>
      </c>
      <c r="D36" s="1015"/>
      <c r="E36" s="1180">
        <f ca="1">SUM(E32:E35)</f>
        <v>1567402.2532157907</v>
      </c>
      <c r="F36" s="1015"/>
      <c r="G36" s="1180">
        <f ca="1">SUM(G32:G35)</f>
        <v>2614777.0905115716</v>
      </c>
      <c r="H36" s="1015"/>
      <c r="I36" s="1180">
        <f ca="1">SUM(I32:I35)</f>
        <v>3321032.3371446924</v>
      </c>
      <c r="J36" s="1015"/>
      <c r="K36" s="981">
        <f ca="1">SUM(K32:K35)</f>
        <v>4025487.2964428435</v>
      </c>
    </row>
    <row r="37" spans="1:11" x14ac:dyDescent="0.35">
      <c r="A37" s="221"/>
      <c r="B37" s="1236"/>
      <c r="C37" s="843"/>
      <c r="K37" s="843"/>
    </row>
    <row r="38" spans="1:11" x14ac:dyDescent="0.35">
      <c r="A38" s="221" t="s">
        <v>706</v>
      </c>
      <c r="B38" s="1236">
        <v>0</v>
      </c>
      <c r="C38" s="1177">
        <f>'7.5.1 Financial Requirements'!D33</f>
        <v>758524.76328720863</v>
      </c>
      <c r="E38" s="1178">
        <f ca="1">'7.5.1 Financial Requirements'!F33</f>
        <v>1901816.385033045</v>
      </c>
      <c r="G38" s="1178">
        <f ca="1">'7.5.1 Financial Requirements'!H33</f>
        <v>3229071.2646452943</v>
      </c>
      <c r="I38" s="1178">
        <f ca="1">'7.5.1 Financial Requirements'!J33</f>
        <v>4052753.302980002</v>
      </c>
      <c r="K38" s="1177">
        <f ca="1">'7.5.1 Financial Requirements'!L33</f>
        <v>4836243.8979504425</v>
      </c>
    </row>
    <row r="39" spans="1:11" x14ac:dyDescent="0.35">
      <c r="A39" s="221"/>
      <c r="B39" s="1236"/>
      <c r="C39" s="843"/>
      <c r="K39" s="843"/>
    </row>
    <row r="40" spans="1:11" x14ac:dyDescent="0.35">
      <c r="A40" s="221" t="s">
        <v>287</v>
      </c>
      <c r="B40" s="1236">
        <v>0</v>
      </c>
      <c r="C40" s="981">
        <f>IF('7.5.3 VAT'!C62&lt;0,0,'7.5.3 VAT'!C62)</f>
        <v>0</v>
      </c>
      <c r="D40" s="1247"/>
      <c r="E40" s="1180">
        <f ca="1">IF('7.5.3 VAT'!E62&lt;0,0,'7.5.3 VAT'!E62)</f>
        <v>0</v>
      </c>
      <c r="F40" s="1180"/>
      <c r="G40" s="1180">
        <f ca="1">IF('7.5.3 VAT'!G62&lt;0,0,'7.5.3 VAT'!G62)</f>
        <v>0</v>
      </c>
      <c r="H40" s="1180"/>
      <c r="I40" s="1180">
        <f ca="1">IF('7.5.3 VAT'!I62&lt;0,0,'7.5.3 VAT'!I62)</f>
        <v>0</v>
      </c>
      <c r="J40" s="1180"/>
      <c r="K40" s="981">
        <f ca="1">IF('7.5.3 VAT'!K62&lt;0,0,'7.5.3 VAT'!K62)</f>
        <v>0</v>
      </c>
    </row>
    <row r="41" spans="1:11" x14ac:dyDescent="0.35">
      <c r="A41" s="221"/>
      <c r="B41" s="1236"/>
      <c r="C41" s="843"/>
      <c r="K41" s="843"/>
    </row>
    <row r="42" spans="1:11" x14ac:dyDescent="0.35">
      <c r="A42" s="221" t="s">
        <v>579</v>
      </c>
      <c r="B42" s="1236">
        <f>IF('7.5.2 Fin. Income &amp; Expenses '!D25-'7.5.2 Fin. Income &amp; Expenses '!D11&lt;0,0,'7.5.2 Fin. Income &amp; Expenses '!D25-'7.5.2 Fin. Income &amp; Expenses '!D11)</f>
        <v>0</v>
      </c>
      <c r="C42" s="981">
        <f ca="1">'7.5.1 Financial Requirements'!D73+'7.5.2 Fin. Income &amp; Expenses '!E63+'7.5.1 Financial Requirements'!D75</f>
        <v>258866.50599507155</v>
      </c>
      <c r="D42" s="1180"/>
      <c r="E42" s="1180">
        <f ca="1">'7.5.1 Financial Requirements'!F73+'7.5.2 Fin. Income &amp; Expenses '!G63+'7.5.1 Financial Requirements'!F75</f>
        <v>0</v>
      </c>
      <c r="F42" s="1180"/>
      <c r="G42" s="1180">
        <f ca="1">'7.5.1 Financial Requirements'!H73+'7.5.2 Fin. Income &amp; Expenses '!I63+'7.5.1 Financial Requirements'!H75</f>
        <v>89491.00713548949</v>
      </c>
      <c r="H42" s="1180"/>
      <c r="I42" s="1180">
        <f ca="1">'7.5.1 Financial Requirements'!J73+'7.5.2 Fin. Income &amp; Expenses '!K63+'7.5.1 Financial Requirements'!J75</f>
        <v>319456.15019056178</v>
      </c>
      <c r="J42" s="1180"/>
      <c r="K42" s="981">
        <f ca="1">'7.5.1 Financial Requirements'!L73+'7.5.2 Fin. Income &amp; Expenses '!M63+'7.5.1 Financial Requirements'!L75</f>
        <v>751929.46724778903</v>
      </c>
    </row>
    <row r="43" spans="1:11" ht="15" thickBot="1" x14ac:dyDescent="0.4">
      <c r="A43" s="223"/>
      <c r="B43" s="1241"/>
      <c r="C43" s="1201"/>
      <c r="D43" s="1200"/>
      <c r="E43" s="1200"/>
      <c r="F43" s="1200"/>
      <c r="G43" s="1200"/>
      <c r="H43" s="1200"/>
      <c r="I43" s="1200"/>
      <c r="J43" s="1200"/>
      <c r="K43" s="1201"/>
    </row>
    <row r="44" spans="1:11" x14ac:dyDescent="0.35">
      <c r="A44" s="1215"/>
      <c r="B44" s="1231"/>
      <c r="C44" s="1152"/>
      <c r="D44" s="1153"/>
      <c r="E44" s="1153"/>
      <c r="F44" s="1153"/>
      <c r="G44" s="1153"/>
      <c r="H44" s="1153"/>
      <c r="I44" s="1153"/>
      <c r="J44" s="1153"/>
      <c r="K44" s="1154"/>
    </row>
    <row r="45" spans="1:11" x14ac:dyDescent="0.35">
      <c r="A45" s="1216" t="s">
        <v>435</v>
      </c>
      <c r="B45" s="1229">
        <f>B36+B38+B40+B42</f>
        <v>0</v>
      </c>
      <c r="C45" s="969">
        <f ca="1">C36+C38+C40+C42</f>
        <v>1617667.2866776371</v>
      </c>
      <c r="D45" s="1155"/>
      <c r="E45" s="970">
        <f ca="1">E36+E38+E40+E42</f>
        <v>3469218.6382488357</v>
      </c>
      <c r="F45" s="1155"/>
      <c r="G45" s="970">
        <f ca="1">G36+G38+G40+G42</f>
        <v>5933339.3622923549</v>
      </c>
      <c r="H45" s="1155"/>
      <c r="I45" s="970">
        <f ca="1">I36+I38+I40+I42</f>
        <v>7693241.7903152565</v>
      </c>
      <c r="J45" s="1155"/>
      <c r="K45" s="954">
        <f ca="1">K36+K38+K40+K42</f>
        <v>9613660.6616410762</v>
      </c>
    </row>
    <row r="46" spans="1:11" ht="15" thickBot="1" x14ac:dyDescent="0.4">
      <c r="A46" s="1217"/>
      <c r="B46" s="1230"/>
      <c r="C46" s="1156"/>
      <c r="D46" s="1157"/>
      <c r="E46" s="1157"/>
      <c r="F46" s="1157"/>
      <c r="G46" s="1157"/>
      <c r="H46" s="1157"/>
      <c r="I46" s="1157"/>
      <c r="J46" s="1157"/>
      <c r="K46" s="1158"/>
    </row>
    <row r="47" spans="1:11" x14ac:dyDescent="0.35">
      <c r="A47" s="1610"/>
      <c r="B47" s="1606"/>
      <c r="C47" s="172"/>
      <c r="D47" s="172"/>
      <c r="E47" s="172"/>
      <c r="F47" s="172"/>
      <c r="G47" s="172"/>
      <c r="H47" s="172"/>
      <c r="I47" s="172"/>
      <c r="J47" s="172"/>
      <c r="K47" s="172"/>
    </row>
    <row r="48" spans="1:11" ht="15" thickBot="1" x14ac:dyDescent="0.4">
      <c r="A48" s="1609"/>
      <c r="B48" s="1606"/>
      <c r="C48" s="172"/>
      <c r="D48" s="172"/>
      <c r="E48" s="172"/>
      <c r="F48" s="172"/>
      <c r="G48" s="172"/>
      <c r="H48" s="172"/>
      <c r="I48" s="172"/>
      <c r="J48" s="172"/>
      <c r="K48" s="172"/>
    </row>
    <row r="49" spans="1:11" x14ac:dyDescent="0.35">
      <c r="A49" s="1215"/>
      <c r="B49" s="1228"/>
      <c r="C49" s="1152"/>
      <c r="D49" s="1153"/>
      <c r="E49" s="1153"/>
      <c r="F49" s="1153"/>
      <c r="G49" s="1153"/>
      <c r="H49" s="1153"/>
      <c r="I49" s="1153"/>
      <c r="J49" s="1153"/>
      <c r="K49" s="1154"/>
    </row>
    <row r="50" spans="1:11" s="781" customFormat="1" ht="18" x14ac:dyDescent="0.35">
      <c r="A50" s="1218" t="s">
        <v>434</v>
      </c>
      <c r="B50" s="1232">
        <f>B25+B45</f>
        <v>0</v>
      </c>
      <c r="C50" s="1160">
        <f ca="1">C25+C45</f>
        <v>1776239.2866776371</v>
      </c>
      <c r="D50" s="1161"/>
      <c r="E50" s="1162">
        <f ca="1">E25+E45</f>
        <v>4002304.6382488357</v>
      </c>
      <c r="F50" s="1161"/>
      <c r="G50" s="1162">
        <f ca="1">G25+G45</f>
        <v>6362692.0289590219</v>
      </c>
      <c r="H50" s="1161"/>
      <c r="I50" s="1162">
        <f ca="1">I25+I45</f>
        <v>8032194.4569819234</v>
      </c>
      <c r="J50" s="1161"/>
      <c r="K50" s="1163">
        <f ca="1">K25+K45</f>
        <v>9902213.3283077423</v>
      </c>
    </row>
    <row r="51" spans="1:11" ht="15" thickBot="1" x14ac:dyDescent="0.4">
      <c r="A51" s="1217"/>
      <c r="B51" s="1230"/>
      <c r="C51" s="1156"/>
      <c r="D51" s="1157"/>
      <c r="E51" s="1157"/>
      <c r="F51" s="1157"/>
      <c r="G51" s="1157"/>
      <c r="H51" s="1157"/>
      <c r="I51" s="1157"/>
      <c r="J51" s="1157"/>
      <c r="K51" s="1158"/>
    </row>
    <row r="52" spans="1:11" hidden="1" x14ac:dyDescent="0.35">
      <c r="B52" s="1244"/>
      <c r="C52" s="1015"/>
      <c r="D52" s="1015"/>
      <c r="E52" s="1015"/>
      <c r="F52" s="1015"/>
      <c r="G52" s="1015"/>
      <c r="H52" s="1015"/>
      <c r="I52" s="1015"/>
      <c r="J52" s="1015"/>
      <c r="K52" s="1015"/>
    </row>
    <row r="53" spans="1:11" hidden="1" x14ac:dyDescent="0.35">
      <c r="B53" s="1236"/>
      <c r="C53" s="1180"/>
      <c r="D53" s="1015"/>
      <c r="E53" s="1180"/>
      <c r="F53" s="1015"/>
      <c r="G53" s="1180"/>
      <c r="H53" s="1015"/>
      <c r="I53" s="1180"/>
      <c r="J53" s="1015"/>
      <c r="K53" s="1180"/>
    </row>
    <row r="54" spans="1:11" hidden="1" x14ac:dyDescent="0.35">
      <c r="C54" s="1015"/>
      <c r="D54" s="1015"/>
      <c r="E54" s="1180"/>
      <c r="F54" s="1015"/>
      <c r="G54" s="1180"/>
      <c r="H54" s="1015"/>
      <c r="I54" s="1180"/>
      <c r="J54" s="1015"/>
      <c r="K54" s="1015"/>
    </row>
  </sheetData>
  <sheetProtection password="813F" sheet="1" objects="1" scenarios="1" selectLockedCells="1"/>
  <customSheetViews>
    <customSheetView guid="{51165254-F18A-4CD1-9981-8F2DE14CC76C}" showGridLines="0" fitToPage="1" hiddenRows="1" hiddenColumns="1" showRuler="0">
      <pane ySplit="6" topLeftCell="A14" activePane="bottomLeft" state="frozen"/>
      <selection pane="bottomLeft" activeCell="H45" sqref="H45"/>
      <pageMargins left="0.78740157480314965" right="0.78740157480314965" top="0.98425196850393704" bottom="0.98425196850393704" header="0.51181102362204722" footer="0.51181102362204722"/>
      <printOptions horizontalCentered="1" verticalCentered="1"/>
      <pageSetup paperSize="9" scale="53"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3"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1">
    <tabColor indexed="22"/>
    <pageSetUpPr fitToPage="1"/>
  </sheetPr>
  <dimension ref="A1:M64"/>
  <sheetViews>
    <sheetView showGridLines="0" zoomScaleNormal="100" workbookViewId="0">
      <pane ySplit="6" topLeftCell="A23" activePane="bottomLeft" state="frozen"/>
      <selection activeCell="C21" sqref="C21"/>
      <selection pane="bottomLeft" activeCell="K29" sqref="K29"/>
    </sheetView>
  </sheetViews>
  <sheetFormatPr baseColWidth="10" defaultColWidth="0" defaultRowHeight="14.4" zeroHeight="1" x14ac:dyDescent="0.35"/>
  <cols>
    <col min="1" max="1" width="42.44140625" style="45" customWidth="1"/>
    <col min="2" max="2" width="17.44140625" style="45" customWidth="1"/>
    <col min="3" max="3" width="16.77734375" style="45" customWidth="1"/>
    <col min="4" max="4" width="9.109375" style="45" customWidth="1"/>
    <col min="5" max="5" width="16.77734375" style="45" customWidth="1"/>
    <col min="6" max="6" width="9.109375" style="45" customWidth="1"/>
    <col min="7" max="7" width="17" style="45" customWidth="1"/>
    <col min="8" max="8" width="9.109375" style="45" customWidth="1"/>
    <col min="9" max="9" width="17" style="45" customWidth="1"/>
    <col min="10" max="10" width="9.109375" style="45" customWidth="1"/>
    <col min="11" max="11" width="17.44140625" style="45" customWidth="1"/>
    <col min="12" max="12" width="1.6640625" style="44" customWidth="1"/>
    <col min="13" max="16384" width="9.109375" style="45" hidden="1"/>
  </cols>
  <sheetData>
    <row r="1" spans="1:11" ht="28.8" x14ac:dyDescent="0.55000000000000004">
      <c r="A1" s="200" t="s">
        <v>1173</v>
      </c>
      <c r="B1" s="201"/>
      <c r="C1" s="201"/>
      <c r="D1" s="201"/>
      <c r="E1" s="201"/>
      <c r="F1" s="201"/>
      <c r="G1" s="201"/>
      <c r="H1" s="201"/>
      <c r="I1" s="201"/>
      <c r="J1" s="201"/>
      <c r="K1" s="202" t="s">
        <v>938</v>
      </c>
    </row>
    <row r="2" spans="1:11" x14ac:dyDescent="0.35">
      <c r="A2" s="135"/>
      <c r="B2" s="136"/>
      <c r="C2" s="136"/>
      <c r="D2" s="136"/>
      <c r="E2" s="280"/>
      <c r="F2" s="136"/>
      <c r="G2" s="136"/>
      <c r="H2" s="136"/>
      <c r="I2" s="136"/>
      <c r="J2" s="136"/>
      <c r="K2" s="137"/>
    </row>
    <row r="3" spans="1:11" ht="16.2" x14ac:dyDescent="0.35">
      <c r="A3" s="138" t="s">
        <v>1035</v>
      </c>
      <c r="B3" s="239" t="str">
        <f>'Reference sheet'!C12</f>
        <v>TRUCK INTERNATIONAL MOBILITY SA</v>
      </c>
      <c r="C3" s="240"/>
      <c r="E3" s="242" t="s">
        <v>1036</v>
      </c>
      <c r="F3" s="282">
        <f>'Reference sheet'!C15</f>
        <v>2</v>
      </c>
      <c r="G3" s="283" t="s">
        <v>1037</v>
      </c>
      <c r="H3" s="982" t="str">
        <f>'Reference sheet'!C17</f>
        <v>October</v>
      </c>
      <c r="I3" s="982">
        <f>'Reference sheet'!D17</f>
        <v>2018</v>
      </c>
      <c r="J3" s="143" t="s">
        <v>1175</v>
      </c>
      <c r="K3" s="284" t="str">
        <f>'Reference sheet'!C21</f>
        <v>EUR</v>
      </c>
    </row>
    <row r="4" spans="1:11" x14ac:dyDescent="0.35">
      <c r="A4" s="135"/>
      <c r="B4" s="641" t="s">
        <v>116</v>
      </c>
      <c r="C4" s="170"/>
      <c r="D4" s="171"/>
      <c r="E4" s="172"/>
      <c r="F4" s="175"/>
      <c r="G4" s="791"/>
      <c r="H4" s="173"/>
      <c r="I4" s="171"/>
      <c r="J4" s="171"/>
      <c r="K4" s="556"/>
    </row>
    <row r="5" spans="1:11" x14ac:dyDescent="0.35">
      <c r="A5" s="135"/>
      <c r="B5" s="641" t="s">
        <v>117</v>
      </c>
      <c r="C5" s="642"/>
      <c r="D5" s="136"/>
      <c r="E5" s="136"/>
      <c r="F5" s="136"/>
      <c r="G5" s="182"/>
      <c r="H5" s="136"/>
      <c r="I5" s="136"/>
      <c r="J5" s="136"/>
      <c r="K5" s="340"/>
    </row>
    <row r="6" spans="1:11" x14ac:dyDescent="0.35">
      <c r="A6" s="145"/>
      <c r="B6" s="725" t="s">
        <v>118</v>
      </c>
      <c r="C6" s="288">
        <f>+'7.1 Dealer area'!C5</f>
        <v>2019</v>
      </c>
      <c r="D6" s="342"/>
      <c r="E6" s="288">
        <f>+'7.1 Dealer area'!E5</f>
        <v>2020</v>
      </c>
      <c r="F6" s="343"/>
      <c r="G6" s="288">
        <f>+'7.1 Dealer area'!G5</f>
        <v>2021</v>
      </c>
      <c r="H6" s="344"/>
      <c r="I6" s="288">
        <f>+'7.1 Dealer area'!I5</f>
        <v>2022</v>
      </c>
      <c r="J6" s="344"/>
      <c r="K6" s="288">
        <f>+'7.1 Dealer area'!K5</f>
        <v>2023</v>
      </c>
    </row>
    <row r="7" spans="1:11" ht="18" x14ac:dyDescent="0.35">
      <c r="A7" s="1042" t="s">
        <v>236</v>
      </c>
      <c r="B7" s="1101"/>
      <c r="C7" s="833"/>
      <c r="D7" s="833"/>
      <c r="E7" s="833"/>
      <c r="F7" s="833"/>
      <c r="G7" s="1102"/>
      <c r="H7" s="833"/>
      <c r="I7" s="833"/>
      <c r="J7" s="833"/>
      <c r="K7" s="1103"/>
    </row>
    <row r="8" spans="1:11" x14ac:dyDescent="0.35">
      <c r="A8" s="1224"/>
      <c r="B8" s="840"/>
      <c r="C8" s="841"/>
      <c r="D8" s="840"/>
      <c r="E8" s="840"/>
      <c r="F8" s="840"/>
      <c r="G8" s="840"/>
      <c r="H8" s="840"/>
      <c r="I8" s="840"/>
      <c r="J8" s="840"/>
      <c r="K8" s="841"/>
    </row>
    <row r="9" spans="1:11" x14ac:dyDescent="0.35">
      <c r="A9" s="1219" t="s">
        <v>581</v>
      </c>
      <c r="B9" s="1176">
        <f>'7.5.2 Fin. Income &amp; Expenses '!D18</f>
        <v>0</v>
      </c>
      <c r="C9" s="1177">
        <f>'7.5.2 Fin. Income &amp; Expenses '!E18+'7.5.2 Fin. Income &amp; Expenses '!E19</f>
        <v>500000</v>
      </c>
      <c r="D9" s="839"/>
      <c r="E9" s="1178">
        <f>'7.5.2 Fin. Income &amp; Expenses '!G18+'7.5.2 Fin. Income &amp; Expenses '!G19</f>
        <v>1000000</v>
      </c>
      <c r="F9" s="839"/>
      <c r="G9" s="1178">
        <f>'7.5.2 Fin. Income &amp; Expenses '!I18+'7.5.2 Fin. Income &amp; Expenses '!I19</f>
        <v>1250000</v>
      </c>
      <c r="H9" s="839"/>
      <c r="I9" s="1178">
        <f>'7.5.2 Fin. Income &amp; Expenses '!K18+'7.5.2 Fin. Income &amp; Expenses '!K19</f>
        <v>1250000</v>
      </c>
      <c r="J9" s="839"/>
      <c r="K9" s="1177">
        <f>'7.5.2 Fin. Income &amp; Expenses '!M18+'7.5.2 Fin. Income &amp; Expenses '!M19</f>
        <v>1250000</v>
      </c>
    </row>
    <row r="10" spans="1:11" x14ac:dyDescent="0.35">
      <c r="A10" s="1219"/>
      <c r="B10" s="1173"/>
      <c r="C10" s="843"/>
      <c r="D10" s="839"/>
      <c r="E10" s="839"/>
      <c r="F10" s="839"/>
      <c r="G10" s="839"/>
      <c r="H10" s="839"/>
      <c r="I10" s="839"/>
      <c r="J10" s="839"/>
      <c r="K10" s="843"/>
    </row>
    <row r="11" spans="1:11" x14ac:dyDescent="0.35">
      <c r="A11" s="1219" t="s">
        <v>224</v>
      </c>
      <c r="B11" s="1173">
        <v>0</v>
      </c>
      <c r="C11" s="1177">
        <f>'7.5.2 Fin. Income &amp; Expenses '!E20</f>
        <v>0</v>
      </c>
      <c r="D11" s="839"/>
      <c r="E11" s="1178">
        <f>'7.5.2 Fin. Income &amp; Expenses '!G20</f>
        <v>0</v>
      </c>
      <c r="F11" s="839"/>
      <c r="G11" s="1178">
        <f>'7.5.2 Fin. Income &amp; Expenses '!I20</f>
        <v>0</v>
      </c>
      <c r="H11" s="839"/>
      <c r="I11" s="1178">
        <f>'7.5.2 Fin. Income &amp; Expenses '!K20</f>
        <v>0</v>
      </c>
      <c r="J11" s="839"/>
      <c r="K11" s="1177">
        <f>'7.5.2 Fin. Income &amp; Expenses '!M20</f>
        <v>0</v>
      </c>
    </row>
    <row r="12" spans="1:11" x14ac:dyDescent="0.35">
      <c r="A12" s="1219"/>
      <c r="B12" s="1173"/>
      <c r="C12" s="1177"/>
      <c r="D12" s="839"/>
      <c r="E12" s="1178"/>
      <c r="F12" s="839"/>
      <c r="G12" s="1178"/>
      <c r="H12" s="839"/>
      <c r="I12" s="1178"/>
      <c r="J12" s="839"/>
      <c r="K12" s="1177"/>
    </row>
    <row r="13" spans="1:11" x14ac:dyDescent="0.35">
      <c r="A13" s="1219" t="s">
        <v>237</v>
      </c>
      <c r="B13" s="1173">
        <v>0</v>
      </c>
      <c r="C13" s="1177">
        <f>'7.5.2 Fin. Income &amp; Expenses '!E21</f>
        <v>0</v>
      </c>
      <c r="D13" s="839"/>
      <c r="E13" s="1178">
        <f>'7.5.2 Fin. Income &amp; Expenses '!G21</f>
        <v>0</v>
      </c>
      <c r="F13" s="839"/>
      <c r="G13" s="1178">
        <f>'7.5.2 Fin. Income &amp; Expenses '!I21</f>
        <v>0</v>
      </c>
      <c r="H13" s="839"/>
      <c r="I13" s="1178">
        <f>'7.5.2 Fin. Income &amp; Expenses '!K21</f>
        <v>0</v>
      </c>
      <c r="J13" s="839"/>
      <c r="K13" s="1177">
        <f>'7.5.2 Fin. Income &amp; Expenses '!M21</f>
        <v>0</v>
      </c>
    </row>
    <row r="14" spans="1:11" x14ac:dyDescent="0.35">
      <c r="A14" s="1219"/>
      <c r="B14" s="1173"/>
      <c r="C14" s="843"/>
      <c r="D14" s="839"/>
      <c r="E14" s="839"/>
      <c r="F14" s="839"/>
      <c r="G14" s="839"/>
      <c r="H14" s="839"/>
      <c r="I14" s="839"/>
      <c r="J14" s="839"/>
      <c r="K14" s="843"/>
    </row>
    <row r="15" spans="1:11" x14ac:dyDescent="0.35">
      <c r="A15" s="1225" t="s">
        <v>800</v>
      </c>
      <c r="B15" s="1176">
        <f>'7.5.2 Fin. Income &amp; Expenses '!D24</f>
        <v>0</v>
      </c>
      <c r="C15" s="1177">
        <f>'7.5.2 Fin. Income &amp; Expenses '!E24</f>
        <v>0</v>
      </c>
      <c r="D15" s="839"/>
      <c r="E15" s="1178">
        <f>'7.5.2 Fin. Income &amp; Expenses '!G24</f>
        <v>0</v>
      </c>
      <c r="F15" s="839"/>
      <c r="G15" s="1178">
        <f>'7.5.2 Fin. Income &amp; Expenses '!I24</f>
        <v>0</v>
      </c>
      <c r="H15" s="839"/>
      <c r="I15" s="1178">
        <f>'7.5.2 Fin. Income &amp; Expenses '!K24</f>
        <v>0</v>
      </c>
      <c r="J15" s="839"/>
      <c r="K15" s="1177">
        <f>'7.5.2 Fin. Income &amp; Expenses '!M24</f>
        <v>0</v>
      </c>
    </row>
    <row r="16" spans="1:11" x14ac:dyDescent="0.35">
      <c r="A16" s="1219"/>
      <c r="B16" s="1173"/>
      <c r="C16" s="843"/>
      <c r="D16" s="839"/>
      <c r="E16" s="839"/>
      <c r="F16" s="839"/>
      <c r="G16" s="839"/>
      <c r="H16" s="839"/>
      <c r="I16" s="839"/>
      <c r="J16" s="839"/>
      <c r="K16" s="843"/>
    </row>
    <row r="17" spans="1:13" x14ac:dyDescent="0.35">
      <c r="A17" s="1226" t="s">
        <v>567</v>
      </c>
      <c r="B17" s="1173">
        <v>0</v>
      </c>
      <c r="C17" s="981">
        <f>'7.5.2 Fin. Income &amp; Expenses '!E22</f>
        <v>0</v>
      </c>
      <c r="D17" s="1015"/>
      <c r="E17" s="1180">
        <f ca="1">'7.5.2 Fin. Income &amp; Expenses '!G22</f>
        <v>-107521.75880994098</v>
      </c>
      <c r="F17" s="1015"/>
      <c r="G17" s="1180">
        <f ca="1">'7.5.2 Fin. Income &amp; Expenses '!I22</f>
        <v>-140884.3852800185</v>
      </c>
      <c r="H17" s="1015"/>
      <c r="I17" s="1180">
        <f ca="1">'7.5.2 Fin. Income &amp; Expenses '!K22</f>
        <v>113478.80132150956</v>
      </c>
      <c r="J17" s="1015"/>
      <c r="K17" s="981">
        <f ca="1">'7.5.2 Fin. Income &amp; Expenses '!M22</f>
        <v>578885.00441282534</v>
      </c>
    </row>
    <row r="18" spans="1:13" x14ac:dyDescent="0.35">
      <c r="A18" s="1219"/>
      <c r="B18" s="1173"/>
      <c r="C18" s="1174"/>
      <c r="D18" s="1015"/>
      <c r="E18" s="1015"/>
      <c r="F18" s="1015"/>
      <c r="G18" s="1015"/>
      <c r="H18" s="1015"/>
      <c r="I18" s="1015"/>
      <c r="J18" s="1015"/>
      <c r="K18" s="1174"/>
    </row>
    <row r="19" spans="1:13" x14ac:dyDescent="0.35">
      <c r="A19" s="1219" t="s">
        <v>484</v>
      </c>
      <c r="B19" s="1173">
        <v>0</v>
      </c>
      <c r="C19" s="981">
        <f ca="1">'7.5.2 Fin. Income &amp; Expenses '!E23</f>
        <v>-107521.75880994098</v>
      </c>
      <c r="D19" s="1015"/>
      <c r="E19" s="1180">
        <f ca="1">'7.5.2 Fin. Income &amp; Expenses '!G23</f>
        <v>-33362.626470077521</v>
      </c>
      <c r="F19" s="1015"/>
      <c r="G19" s="1180">
        <f ca="1">'7.5.2 Fin. Income &amp; Expenses '!I23</f>
        <v>254363.18660152805</v>
      </c>
      <c r="H19" s="1015"/>
      <c r="I19" s="1180">
        <f ca="1">'7.5.2 Fin. Income &amp; Expenses '!K23</f>
        <v>465406.20309131581</v>
      </c>
      <c r="J19" s="1015"/>
      <c r="K19" s="981">
        <f ca="1">'7.5.2 Fin. Income &amp; Expenses '!M23</f>
        <v>717586.23303064296</v>
      </c>
    </row>
    <row r="20" spans="1:13" x14ac:dyDescent="0.35">
      <c r="A20" s="1219"/>
      <c r="B20" s="1173"/>
      <c r="C20" s="1174"/>
      <c r="D20" s="1015"/>
      <c r="E20" s="1015"/>
      <c r="F20" s="1015"/>
      <c r="G20" s="1015"/>
      <c r="H20" s="1015"/>
      <c r="I20" s="1015"/>
      <c r="J20" s="1015"/>
      <c r="K20" s="1174"/>
    </row>
    <row r="21" spans="1:13" x14ac:dyDescent="0.35">
      <c r="A21" s="1224"/>
      <c r="B21" s="1169"/>
      <c r="C21" s="1170"/>
      <c r="D21" s="1171"/>
      <c r="E21" s="1013"/>
      <c r="F21" s="1013"/>
      <c r="G21" s="1013"/>
      <c r="H21" s="1013"/>
      <c r="I21" s="1013"/>
      <c r="J21" s="1013"/>
      <c r="K21" s="1170"/>
    </row>
    <row r="22" spans="1:13" x14ac:dyDescent="0.35">
      <c r="A22" s="1227" t="s">
        <v>439</v>
      </c>
      <c r="B22" s="1144">
        <f>B9+B11+B13+B19+B15</f>
        <v>0</v>
      </c>
      <c r="C22" s="969">
        <f ca="1">C9+C11+C13+C17+C19+C15</f>
        <v>392478.24119005899</v>
      </c>
      <c r="D22" s="1172"/>
      <c r="E22" s="970">
        <f ca="1">E9+E11+E13+E17+E19+E15</f>
        <v>859115.61471998144</v>
      </c>
      <c r="F22" s="1155"/>
      <c r="G22" s="970">
        <f ca="1">G9+G11+G13+G17+G19+G15</f>
        <v>1363478.8013215095</v>
      </c>
      <c r="H22" s="1155"/>
      <c r="I22" s="970">
        <f ca="1">I9+I11+I13+I17+I19+I15</f>
        <v>1828885.0044128252</v>
      </c>
      <c r="J22" s="1155"/>
      <c r="K22" s="969">
        <f ca="1">K9+K11+K13+K17+K19+K15</f>
        <v>2546471.2374434681</v>
      </c>
    </row>
    <row r="23" spans="1:13" x14ac:dyDescent="0.35">
      <c r="A23" s="1219"/>
      <c r="B23" s="1173"/>
      <c r="C23" s="1174"/>
      <c r="D23" s="1175"/>
      <c r="E23" s="1015"/>
      <c r="F23" s="1015"/>
      <c r="G23" s="1015"/>
      <c r="H23" s="1015"/>
      <c r="I23" s="1015"/>
      <c r="J23" s="1015"/>
      <c r="K23" s="1174"/>
    </row>
    <row r="24" spans="1:13" x14ac:dyDescent="0.35">
      <c r="A24" s="148"/>
      <c r="B24" s="789"/>
      <c r="C24" s="148"/>
      <c r="D24" s="148"/>
      <c r="E24" s="148"/>
      <c r="F24" s="148"/>
      <c r="G24" s="148"/>
      <c r="H24" s="148"/>
      <c r="I24" s="148"/>
      <c r="J24" s="148"/>
      <c r="K24" s="148"/>
      <c r="L24" s="76"/>
      <c r="M24" s="136"/>
    </row>
    <row r="25" spans="1:13" x14ac:dyDescent="0.35">
      <c r="A25" s="146"/>
      <c r="B25" s="792"/>
      <c r="C25" s="146"/>
      <c r="D25" s="146"/>
      <c r="E25" s="146"/>
      <c r="F25" s="146"/>
      <c r="G25" s="146"/>
      <c r="H25" s="146"/>
      <c r="I25" s="146"/>
      <c r="J25" s="146"/>
      <c r="K25" s="146"/>
      <c r="L25" s="76"/>
      <c r="M25" s="136"/>
    </row>
    <row r="26" spans="1:13" s="167" customFormat="1" ht="18" x14ac:dyDescent="0.35">
      <c r="A26" s="1079" t="s">
        <v>924</v>
      </c>
      <c r="B26" s="1164"/>
      <c r="C26" s="1078"/>
      <c r="D26" s="1078"/>
      <c r="E26" s="1078"/>
      <c r="F26" s="1078"/>
      <c r="G26" s="1165"/>
      <c r="H26" s="1078"/>
      <c r="I26" s="1078"/>
      <c r="J26" s="1078"/>
      <c r="K26" s="1166"/>
      <c r="L26" s="44"/>
    </row>
    <row r="27" spans="1:13" x14ac:dyDescent="0.35">
      <c r="A27" s="1224"/>
      <c r="B27" s="1169"/>
      <c r="C27" s="841"/>
      <c r="D27" s="840"/>
      <c r="E27" s="840"/>
      <c r="F27" s="840"/>
      <c r="G27" s="840"/>
      <c r="H27" s="840"/>
      <c r="I27" s="840"/>
      <c r="J27" s="840"/>
      <c r="K27" s="841"/>
    </row>
    <row r="28" spans="1:13" x14ac:dyDescent="0.35">
      <c r="A28" s="1219" t="s">
        <v>222</v>
      </c>
      <c r="B28" s="1173">
        <v>0</v>
      </c>
      <c r="C28" s="1177">
        <f>'7.4.3 Inv. &amp; Depr.'!D132</f>
        <v>0</v>
      </c>
      <c r="D28" s="839"/>
      <c r="E28" s="1178">
        <f>'7.4.3 Inv. &amp; Depr.'!F132</f>
        <v>0</v>
      </c>
      <c r="F28" s="839"/>
      <c r="G28" s="1178">
        <f>'7.4.3 Inv. &amp; Depr.'!H132</f>
        <v>0</v>
      </c>
      <c r="H28" s="839"/>
      <c r="I28" s="1178">
        <f>'7.4.3 Inv. &amp; Depr.'!J132</f>
        <v>0</v>
      </c>
      <c r="J28" s="839"/>
      <c r="K28" s="1177">
        <f>'7.4.3 Inv. &amp; Depr.'!L132</f>
        <v>0</v>
      </c>
    </row>
    <row r="29" spans="1:13" x14ac:dyDescent="0.35">
      <c r="A29" s="1219"/>
      <c r="B29" s="1173"/>
      <c r="C29" s="843"/>
      <c r="D29" s="839"/>
      <c r="E29" s="839"/>
      <c r="F29" s="839"/>
      <c r="G29" s="839"/>
      <c r="H29" s="839"/>
      <c r="I29" s="839"/>
      <c r="J29" s="839"/>
      <c r="K29" s="843"/>
    </row>
    <row r="30" spans="1:13" x14ac:dyDescent="0.35">
      <c r="A30" s="1219" t="s">
        <v>799</v>
      </c>
      <c r="B30" s="1176">
        <f>'7.5.2 Fin. Income &amp; Expenses '!D41</f>
        <v>0</v>
      </c>
      <c r="C30" s="1177">
        <f>'7.5.2 Fin. Income &amp; Expenses '!E41</f>
        <v>0</v>
      </c>
      <c r="D30" s="839"/>
      <c r="E30" s="1178">
        <f>'7.5.2 Fin. Income &amp; Expenses '!G41</f>
        <v>0</v>
      </c>
      <c r="F30" s="839"/>
      <c r="G30" s="1178">
        <f>'7.5.2 Fin. Income &amp; Expenses '!I41</f>
        <v>0</v>
      </c>
      <c r="H30" s="839"/>
      <c r="I30" s="1178">
        <f>'7.5.2 Fin. Income &amp; Expenses '!K41</f>
        <v>0</v>
      </c>
      <c r="J30" s="839"/>
      <c r="K30" s="1177">
        <f>'7.5.2 Fin. Income &amp; Expenses '!M41</f>
        <v>0</v>
      </c>
    </row>
    <row r="31" spans="1:13" x14ac:dyDescent="0.35">
      <c r="A31" s="1219"/>
      <c r="B31" s="1173"/>
      <c r="C31" s="843"/>
      <c r="D31" s="839"/>
      <c r="E31" s="839"/>
      <c r="F31" s="839"/>
      <c r="G31" s="839"/>
      <c r="H31" s="839"/>
      <c r="I31" s="839"/>
      <c r="J31" s="839"/>
      <c r="K31" s="843"/>
    </row>
    <row r="32" spans="1:13" x14ac:dyDescent="0.35">
      <c r="A32" s="1219" t="s">
        <v>242</v>
      </c>
      <c r="B32" s="1173">
        <v>0</v>
      </c>
      <c r="C32" s="1177">
        <f>'7.5.2 Fin. Income &amp; Expenses '!E37</f>
        <v>257142.85714285716</v>
      </c>
      <c r="D32" s="839"/>
      <c r="E32" s="1178">
        <f>'7.5.2 Fin. Income &amp; Expenses '!G37</f>
        <v>214285.71428571432</v>
      </c>
      <c r="F32" s="839"/>
      <c r="G32" s="1178">
        <f>'7.5.2 Fin. Income &amp; Expenses '!I37</f>
        <v>171428.57142857148</v>
      </c>
      <c r="H32" s="839"/>
      <c r="I32" s="1178">
        <f>'7.5.2 Fin. Income &amp; Expenses '!K37</f>
        <v>128571.42857142862</v>
      </c>
      <c r="J32" s="839"/>
      <c r="K32" s="1177">
        <f>'7.5.2 Fin. Income &amp; Expenses '!M37</f>
        <v>85714.285714285768</v>
      </c>
    </row>
    <row r="33" spans="1:12" ht="15" thickBot="1" x14ac:dyDescent="0.4">
      <c r="A33" s="1219"/>
      <c r="B33" s="1173"/>
      <c r="C33" s="843"/>
      <c r="D33" s="839"/>
      <c r="E33" s="839"/>
      <c r="F33" s="839"/>
      <c r="G33" s="839"/>
      <c r="H33" s="839"/>
      <c r="I33" s="839"/>
      <c r="J33" s="839"/>
      <c r="K33" s="843"/>
    </row>
    <row r="34" spans="1:12" x14ac:dyDescent="0.35">
      <c r="A34" s="1220"/>
      <c r="B34" s="1140"/>
      <c r="C34" s="1141"/>
      <c r="D34" s="1142"/>
      <c r="E34" s="1142"/>
      <c r="F34" s="1142"/>
      <c r="G34" s="1142"/>
      <c r="H34" s="1142"/>
      <c r="I34" s="1142"/>
      <c r="J34" s="1142"/>
      <c r="K34" s="1143"/>
    </row>
    <row r="35" spans="1:12" x14ac:dyDescent="0.35">
      <c r="A35" s="1221" t="s">
        <v>440</v>
      </c>
      <c r="B35" s="1176">
        <f>B28+B30+B32</f>
        <v>0</v>
      </c>
      <c r="C35" s="1177">
        <f>C28+C30+C32</f>
        <v>257142.85714285716</v>
      </c>
      <c r="D35" s="839"/>
      <c r="E35" s="1178">
        <f>E28+E30+E32</f>
        <v>214285.71428571432</v>
      </c>
      <c r="F35" s="839"/>
      <c r="G35" s="1178">
        <f>G28+G30+G32</f>
        <v>171428.57142857148</v>
      </c>
      <c r="H35" s="839"/>
      <c r="I35" s="1178">
        <f>I28+I30+I32</f>
        <v>128571.42857142862</v>
      </c>
      <c r="J35" s="839"/>
      <c r="K35" s="1179">
        <f>K28+K30+K32</f>
        <v>85714.285714285768</v>
      </c>
    </row>
    <row r="36" spans="1:12" ht="15" thickBot="1" x14ac:dyDescent="0.4">
      <c r="A36" s="1222"/>
      <c r="B36" s="1148"/>
      <c r="C36" s="1149"/>
      <c r="D36" s="1150"/>
      <c r="E36" s="1150"/>
      <c r="F36" s="1150"/>
      <c r="G36" s="1150"/>
      <c r="H36" s="1150"/>
      <c r="I36" s="1150"/>
      <c r="J36" s="1150"/>
      <c r="K36" s="1151"/>
    </row>
    <row r="37" spans="1:12" x14ac:dyDescent="0.35">
      <c r="A37" s="1220"/>
      <c r="B37" s="1140"/>
      <c r="C37" s="1141"/>
      <c r="D37" s="1142"/>
      <c r="E37" s="1142"/>
      <c r="F37" s="1142"/>
      <c r="G37" s="1142"/>
      <c r="H37" s="1142"/>
      <c r="I37" s="1142"/>
      <c r="J37" s="1142"/>
      <c r="K37" s="1143"/>
    </row>
    <row r="38" spans="1:12" x14ac:dyDescent="0.35">
      <c r="A38" s="1221" t="s">
        <v>441</v>
      </c>
      <c r="B38" s="1144">
        <f>B22+B35</f>
        <v>0</v>
      </c>
      <c r="C38" s="969">
        <f ca="1">C22+C35</f>
        <v>649621.09833291615</v>
      </c>
      <c r="D38" s="1155"/>
      <c r="E38" s="970">
        <f ca="1">E22+E35</f>
        <v>1073401.3290056959</v>
      </c>
      <c r="F38" s="1155"/>
      <c r="G38" s="970">
        <f ca="1">G22+G35</f>
        <v>1534907.3727500811</v>
      </c>
      <c r="H38" s="1155"/>
      <c r="I38" s="970">
        <f ca="1">I22+I35</f>
        <v>1957456.4329842539</v>
      </c>
      <c r="J38" s="1155"/>
      <c r="K38" s="954">
        <f ca="1">K22+K35</f>
        <v>2632185.523157754</v>
      </c>
    </row>
    <row r="39" spans="1:12" ht="15" thickBot="1" x14ac:dyDescent="0.4">
      <c r="A39" s="1222"/>
      <c r="B39" s="1148"/>
      <c r="C39" s="1156"/>
      <c r="D39" s="1157"/>
      <c r="E39" s="1157"/>
      <c r="F39" s="1157"/>
      <c r="G39" s="1157"/>
      <c r="H39" s="1157"/>
      <c r="I39" s="1157"/>
      <c r="J39" s="1157"/>
      <c r="K39" s="1158"/>
    </row>
    <row r="40" spans="1:12" x14ac:dyDescent="0.35">
      <c r="B40" s="790"/>
      <c r="C40" s="219"/>
      <c r="D40" s="219"/>
      <c r="E40" s="219"/>
      <c r="F40" s="219"/>
      <c r="G40" s="219"/>
      <c r="H40" s="219"/>
      <c r="I40" s="219"/>
      <c r="J40" s="219"/>
      <c r="K40" s="219"/>
    </row>
    <row r="41" spans="1:12" x14ac:dyDescent="0.35">
      <c r="B41" s="790"/>
      <c r="C41" s="219"/>
      <c r="D41" s="219"/>
      <c r="E41" s="219"/>
      <c r="F41" s="219"/>
      <c r="G41" s="219"/>
      <c r="H41" s="219"/>
      <c r="I41" s="219"/>
      <c r="J41" s="219"/>
      <c r="K41" s="219"/>
    </row>
    <row r="42" spans="1:12" s="167" customFormat="1" ht="18" x14ac:dyDescent="0.35">
      <c r="A42" s="1042" t="s">
        <v>923</v>
      </c>
      <c r="B42" s="1101"/>
      <c r="C42" s="1104"/>
      <c r="D42" s="1104"/>
      <c r="E42" s="1104"/>
      <c r="F42" s="1104"/>
      <c r="G42" s="1167"/>
      <c r="H42" s="1104"/>
      <c r="I42" s="1104"/>
      <c r="J42" s="1104"/>
      <c r="K42" s="1168"/>
      <c r="L42" s="44"/>
    </row>
    <row r="43" spans="1:12" x14ac:dyDescent="0.35">
      <c r="A43" s="1224"/>
      <c r="B43" s="1169"/>
      <c r="C43" s="1170"/>
      <c r="D43" s="1013"/>
      <c r="E43" s="1013"/>
      <c r="F43" s="1013"/>
      <c r="G43" s="1013"/>
      <c r="H43" s="1013"/>
      <c r="I43" s="1013"/>
      <c r="J43" s="1013"/>
      <c r="K43" s="1170"/>
    </row>
    <row r="44" spans="1:12" x14ac:dyDescent="0.35">
      <c r="A44" s="1219" t="s">
        <v>243</v>
      </c>
      <c r="B44" s="1173">
        <v>0</v>
      </c>
      <c r="C44" s="981">
        <f>'7.5.1 Financial Requirements'!D58+'7.5.1 Financial Requirements'!D63</f>
        <v>990419.07660847588</v>
      </c>
      <c r="D44" s="1015"/>
      <c r="E44" s="1180">
        <f ca="1">'7.5.1 Financial Requirements'!F58+'7.5.1 Financial Requirements'!F63</f>
        <v>2496748.2394459713</v>
      </c>
      <c r="F44" s="1015"/>
      <c r="G44" s="1180">
        <f ca="1">'7.5.1 Financial Requirements'!H58+'7.5.1 Financial Requirements'!H63</f>
        <v>4234323.1400545808</v>
      </c>
      <c r="H44" s="1015"/>
      <c r="I44" s="1180">
        <f ca="1">'7.5.1 Financial Requirements'!J58+'7.5.1 Financial Requirements'!J63</f>
        <v>5328430.1456162985</v>
      </c>
      <c r="J44" s="1015"/>
      <c r="K44" s="981">
        <f ca="1">'7.5.1 Financial Requirements'!L58+'7.5.1 Financial Requirements'!L63</f>
        <v>6377691.9256259222</v>
      </c>
    </row>
    <row r="45" spans="1:12" x14ac:dyDescent="0.35">
      <c r="A45" s="1219"/>
      <c r="B45" s="1173"/>
      <c r="C45" s="981"/>
      <c r="D45" s="1015"/>
      <c r="E45" s="1180"/>
      <c r="F45" s="1015"/>
      <c r="G45" s="1180"/>
      <c r="H45" s="1015"/>
      <c r="I45" s="1180"/>
      <c r="J45" s="1015"/>
      <c r="K45" s="981"/>
    </row>
    <row r="46" spans="1:12" x14ac:dyDescent="0.35">
      <c r="A46" s="1219" t="s">
        <v>288</v>
      </c>
      <c r="B46" s="1173">
        <v>0</v>
      </c>
      <c r="C46" s="981">
        <f>IF('7.5.3 VAT'!C62&lt;0,('7.5.3 VAT'!C62)*-1,0)</f>
        <v>478.84840291193905</v>
      </c>
      <c r="D46" s="1180"/>
      <c r="E46" s="1180">
        <f ca="1">IF('7.5.3 VAT'!E62&lt;0,('7.5.3 VAT'!E62)*-1,0)</f>
        <v>869.50478231178568</v>
      </c>
      <c r="F46" s="1180"/>
      <c r="G46" s="1180">
        <f ca="1">IF('7.5.3 VAT'!G62&lt;0,('7.5.3 VAT'!G62)*-1,0)</f>
        <v>8913.5065710267299</v>
      </c>
      <c r="H46" s="1180"/>
      <c r="I46" s="1180">
        <f ca="1">IF('7.5.3 VAT'!I62&lt;0,('7.5.3 VAT'!I62)*-1,0)</f>
        <v>11816.822264703631</v>
      </c>
      <c r="J46" s="1180"/>
      <c r="K46" s="981">
        <f ca="1">IF('7.5.3 VAT'!K62&lt;0,('7.5.3 VAT'!K62)*-1,0)</f>
        <v>14769.303732398403</v>
      </c>
    </row>
    <row r="47" spans="1:12" x14ac:dyDescent="0.35">
      <c r="A47" s="1219"/>
      <c r="B47" s="1173"/>
      <c r="C47" s="981"/>
      <c r="D47" s="1015"/>
      <c r="E47" s="1180"/>
      <c r="F47" s="1015"/>
      <c r="G47" s="1180"/>
      <c r="H47" s="1015"/>
      <c r="I47" s="1180"/>
      <c r="J47" s="1015"/>
      <c r="K47" s="981"/>
    </row>
    <row r="48" spans="1:12" x14ac:dyDescent="0.35">
      <c r="A48" s="1219" t="s">
        <v>357</v>
      </c>
      <c r="B48" s="1173">
        <v>0</v>
      </c>
      <c r="C48" s="981">
        <f>'7.5.2 Fin. Income &amp; Expenses '!E60</f>
        <v>135720.26333333331</v>
      </c>
      <c r="D48" s="1015"/>
      <c r="E48" s="1180">
        <f>'7.5.2 Fin. Income &amp; Expenses '!G60</f>
        <v>341485.48291666666</v>
      </c>
      <c r="F48" s="1015"/>
      <c r="G48" s="1180">
        <f>'7.5.2 Fin. Income &amp; Expenses '!I60</f>
        <v>584548.00958333327</v>
      </c>
      <c r="H48" s="1015"/>
      <c r="I48" s="1180">
        <f>'7.5.2 Fin. Income &amp; Expenses '!K60</f>
        <v>734491.05611666664</v>
      </c>
      <c r="J48" s="1015"/>
      <c r="K48" s="981">
        <f>'7.5.2 Fin. Income &amp; Expenses '!M60</f>
        <v>877566.57579166652</v>
      </c>
    </row>
    <row r="49" spans="1:11" x14ac:dyDescent="0.35">
      <c r="A49" s="1219"/>
      <c r="B49" s="1173"/>
      <c r="C49" s="981"/>
      <c r="D49" s="1015"/>
      <c r="E49" s="1180"/>
      <c r="F49" s="1015"/>
      <c r="G49" s="1180"/>
      <c r="H49" s="1015"/>
      <c r="I49" s="1180"/>
      <c r="J49" s="1015"/>
      <c r="K49" s="981"/>
    </row>
    <row r="50" spans="1:11" x14ac:dyDescent="0.35">
      <c r="A50" s="1219" t="s">
        <v>244</v>
      </c>
      <c r="B50" s="1176">
        <f>'7.5.2 Fin. Income &amp; Expenses '!D61</f>
        <v>0</v>
      </c>
      <c r="C50" s="981">
        <f ca="1">'7.5.2 Fin. Income &amp; Expenses '!E61</f>
        <v>0</v>
      </c>
      <c r="D50" s="1015"/>
      <c r="E50" s="1180">
        <f ca="1">'7.5.2 Fin. Income &amp; Expenses '!G61</f>
        <v>89800.082098189858</v>
      </c>
      <c r="F50" s="1015"/>
      <c r="G50" s="1180">
        <f ca="1">'7.5.2 Fin. Income &amp; Expenses '!I61</f>
        <v>0</v>
      </c>
      <c r="H50" s="1015"/>
      <c r="I50" s="1180">
        <f ca="1">'7.5.2 Fin. Income &amp; Expenses '!K61</f>
        <v>0</v>
      </c>
      <c r="J50" s="1015"/>
      <c r="K50" s="981">
        <f ca="1">'7.5.2 Fin. Income &amp; Expenses '!M61</f>
        <v>0</v>
      </c>
    </row>
    <row r="51" spans="1:11" ht="15" thickBot="1" x14ac:dyDescent="0.4">
      <c r="A51" s="1219"/>
      <c r="B51" s="1173"/>
      <c r="C51" s="1174"/>
      <c r="D51" s="1015"/>
      <c r="E51" s="1015"/>
      <c r="F51" s="1015"/>
      <c r="G51" s="1015"/>
      <c r="H51" s="1015"/>
      <c r="I51" s="1015"/>
      <c r="J51" s="1015"/>
      <c r="K51" s="1174"/>
    </row>
    <row r="52" spans="1:11" x14ac:dyDescent="0.35">
      <c r="A52" s="1220"/>
      <c r="B52" s="1140"/>
      <c r="C52" s="1152"/>
      <c r="D52" s="1153"/>
      <c r="E52" s="1153"/>
      <c r="F52" s="1153"/>
      <c r="G52" s="1153"/>
      <c r="H52" s="1153"/>
      <c r="I52" s="1153"/>
      <c r="J52" s="1153"/>
      <c r="K52" s="1154"/>
    </row>
    <row r="53" spans="1:11" x14ac:dyDescent="0.35">
      <c r="A53" s="1221" t="s">
        <v>245</v>
      </c>
      <c r="B53" s="1176">
        <f>SUM(B44:B50)</f>
        <v>0</v>
      </c>
      <c r="C53" s="981">
        <f ca="1">SUM(C44:C50)</f>
        <v>1126618.1883447212</v>
      </c>
      <c r="D53" s="1015"/>
      <c r="E53" s="1180">
        <f ca="1">SUM(E44:E50)</f>
        <v>2928903.3092431393</v>
      </c>
      <c r="F53" s="1015"/>
      <c r="G53" s="1180">
        <f ca="1">SUM(G44:G50)</f>
        <v>4827784.6562089408</v>
      </c>
      <c r="H53" s="1015"/>
      <c r="I53" s="1180">
        <f ca="1">SUM(I44:I50)</f>
        <v>6074738.0239976691</v>
      </c>
      <c r="J53" s="1015"/>
      <c r="K53" s="946">
        <f ca="1">SUM(K44:K50)</f>
        <v>7270027.8051499864</v>
      </c>
    </row>
    <row r="54" spans="1:11" ht="15" thickBot="1" x14ac:dyDescent="0.4">
      <c r="A54" s="1222"/>
      <c r="B54" s="1148"/>
      <c r="C54" s="1156"/>
      <c r="D54" s="1157"/>
      <c r="E54" s="1157"/>
      <c r="F54" s="1157"/>
      <c r="G54" s="1157"/>
      <c r="H54" s="1157"/>
      <c r="I54" s="1157"/>
      <c r="J54" s="1157"/>
      <c r="K54" s="1158"/>
    </row>
    <row r="55" spans="1:11" x14ac:dyDescent="0.35">
      <c r="A55" s="1220"/>
      <c r="B55" s="1140"/>
      <c r="C55" s="1152"/>
      <c r="D55" s="1153"/>
      <c r="E55" s="1153"/>
      <c r="F55" s="1153"/>
      <c r="G55" s="1153"/>
      <c r="H55" s="1153"/>
      <c r="I55" s="1153"/>
      <c r="J55" s="1153"/>
      <c r="K55" s="1154"/>
    </row>
    <row r="56" spans="1:11" x14ac:dyDescent="0.35">
      <c r="A56" s="1221" t="s">
        <v>442</v>
      </c>
      <c r="B56" s="1176">
        <f>B35+B53</f>
        <v>0</v>
      </c>
      <c r="C56" s="981">
        <f ca="1">C35+C53</f>
        <v>1383761.0454875785</v>
      </c>
      <c r="D56" s="1015"/>
      <c r="E56" s="1180">
        <f ca="1">E35+E53</f>
        <v>3143189.0235288534</v>
      </c>
      <c r="F56" s="1015"/>
      <c r="G56" s="1180">
        <f ca="1">G35+G53</f>
        <v>4999213.2276375126</v>
      </c>
      <c r="H56" s="1015"/>
      <c r="I56" s="1180">
        <f ca="1">I35+I53</f>
        <v>6203309.4525690973</v>
      </c>
      <c r="J56" s="1015"/>
      <c r="K56" s="946">
        <f ca="1">K35+K53</f>
        <v>7355742.0908642719</v>
      </c>
    </row>
    <row r="57" spans="1:11" ht="15" thickBot="1" x14ac:dyDescent="0.4">
      <c r="A57" s="1222"/>
      <c r="B57" s="1148"/>
      <c r="C57" s="1156"/>
      <c r="D57" s="1157"/>
      <c r="E57" s="1157"/>
      <c r="F57" s="1157"/>
      <c r="G57" s="1157"/>
      <c r="H57" s="1157"/>
      <c r="I57" s="1157"/>
      <c r="J57" s="1157"/>
      <c r="K57" s="1158"/>
    </row>
    <row r="58" spans="1:11" x14ac:dyDescent="0.35">
      <c r="A58" s="1610"/>
      <c r="B58" s="1606"/>
      <c r="C58" s="172"/>
      <c r="D58" s="1611"/>
      <c r="E58" s="172"/>
      <c r="F58" s="172"/>
      <c r="G58" s="172"/>
      <c r="H58" s="172"/>
      <c r="I58" s="172"/>
      <c r="J58" s="172"/>
      <c r="K58" s="172"/>
    </row>
    <row r="59" spans="1:11" ht="15" thickBot="1" x14ac:dyDescent="0.4">
      <c r="A59" s="1609"/>
      <c r="B59" s="1607"/>
      <c r="C59" s="1608"/>
      <c r="D59" s="1608"/>
      <c r="E59" s="172"/>
      <c r="F59" s="172"/>
      <c r="G59" s="172"/>
      <c r="H59" s="172"/>
      <c r="I59" s="172"/>
      <c r="J59" s="1608"/>
      <c r="K59" s="1608"/>
    </row>
    <row r="60" spans="1:11" x14ac:dyDescent="0.35">
      <c r="A60" s="1220"/>
      <c r="B60" s="1140"/>
      <c r="C60" s="1152"/>
      <c r="D60" s="1153"/>
      <c r="E60" s="1153"/>
      <c r="F60" s="1153"/>
      <c r="G60" s="1153"/>
      <c r="H60" s="1153"/>
      <c r="I60" s="1153"/>
      <c r="J60" s="1153"/>
      <c r="K60" s="1154"/>
    </row>
    <row r="61" spans="1:11" ht="18" x14ac:dyDescent="0.35">
      <c r="A61" s="1223" t="s">
        <v>443</v>
      </c>
      <c r="B61" s="1159">
        <f>B38+B53</f>
        <v>0</v>
      </c>
      <c r="C61" s="1160">
        <f ca="1">C38+C53</f>
        <v>1776239.2866776374</v>
      </c>
      <c r="D61" s="1161"/>
      <c r="E61" s="1162">
        <f ca="1">E38+E53</f>
        <v>4002304.6382488352</v>
      </c>
      <c r="F61" s="1161"/>
      <c r="G61" s="1162">
        <f ca="1">G38+G53</f>
        <v>6362692.0289590219</v>
      </c>
      <c r="H61" s="1161"/>
      <c r="I61" s="1162">
        <f ca="1">I38+I53</f>
        <v>8032194.4569819234</v>
      </c>
      <c r="J61" s="1161"/>
      <c r="K61" s="1163">
        <f ca="1">K38+K53</f>
        <v>9902213.3283077404</v>
      </c>
    </row>
    <row r="62" spans="1:11" ht="15" thickBot="1" x14ac:dyDescent="0.4">
      <c r="A62" s="1222"/>
      <c r="B62" s="1148"/>
      <c r="C62" s="1156"/>
      <c r="D62" s="1157"/>
      <c r="E62" s="1157"/>
      <c r="F62" s="1157"/>
      <c r="G62" s="1157"/>
      <c r="H62" s="1157"/>
      <c r="I62" s="1157"/>
      <c r="J62" s="1157"/>
      <c r="K62" s="1158"/>
    </row>
    <row r="63" spans="1:11" x14ac:dyDescent="0.35">
      <c r="C63" s="219"/>
      <c r="D63" s="219"/>
      <c r="E63" s="219"/>
      <c r="F63" s="219"/>
      <c r="G63" s="219"/>
      <c r="H63" s="219"/>
      <c r="I63" s="219"/>
      <c r="J63" s="219"/>
      <c r="K63" s="219"/>
    </row>
    <row r="64" spans="1:11" x14ac:dyDescent="0.35">
      <c r="A64" s="659" t="s">
        <v>235</v>
      </c>
      <c r="B64" s="536">
        <f>B61-'7.9.1 Balance Assets'!B50</f>
        <v>0</v>
      </c>
      <c r="C64" s="793">
        <f ca="1">C61-'7.9.1 Balance Assets'!C50</f>
        <v>0</v>
      </c>
      <c r="D64" s="793"/>
      <c r="E64" s="793">
        <f ca="1">E61-'7.9.1 Balance Assets'!E50</f>
        <v>0</v>
      </c>
      <c r="F64" s="793"/>
      <c r="G64" s="793">
        <f ca="1">G61-'7.9.1 Balance Assets'!G50</f>
        <v>0</v>
      </c>
      <c r="H64" s="793"/>
      <c r="I64" s="793">
        <f ca="1">I61-'7.9.1 Balance Assets'!I50</f>
        <v>0</v>
      </c>
      <c r="J64" s="793"/>
      <c r="K64" s="794">
        <f ca="1">K61-'7.9.1 Balance Assets'!K50</f>
        <v>0</v>
      </c>
    </row>
  </sheetData>
  <sheetProtection password="813F" sheet="1" objects="1" scenarios="1" selectLockedCells="1"/>
  <customSheetViews>
    <customSheetView guid="{51165254-F18A-4CD1-9981-8F2DE14CC76C}" scale="85" showGridLines="0" fitToPage="1" hiddenRows="1" hiddenColumns="1" showRuler="0">
      <pane ySplit="6" topLeftCell="A49" activePane="bottomLeft" state="frozen"/>
      <selection pane="bottomLeft" activeCell="H45" sqref="H45"/>
      <pageMargins left="0.78740157480314965" right="0.78740157480314965" top="0.98425196850393704" bottom="0.98425196850393704" header="0.51181102362204722" footer="0.51181102362204722"/>
      <printOptions horizontalCentered="1" verticalCentered="1"/>
      <pageSetup paperSize="9" scale="47"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47"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2">
    <tabColor indexed="22"/>
    <pageSetUpPr fitToPage="1"/>
  </sheetPr>
  <dimension ref="A1:L75"/>
  <sheetViews>
    <sheetView showGridLines="0" zoomScale="90" zoomScaleNormal="90" workbookViewId="0">
      <pane ySplit="6" topLeftCell="A7" activePane="bottomLeft" state="frozen"/>
      <selection activeCell="C21" sqref="C21"/>
      <selection pane="bottomLeft" activeCell="C21" sqref="C21"/>
    </sheetView>
  </sheetViews>
  <sheetFormatPr baseColWidth="10" defaultColWidth="0" defaultRowHeight="14.4" zeroHeight="1" x14ac:dyDescent="0.35"/>
  <cols>
    <col min="1" max="1" width="43.77734375" style="135" customWidth="1"/>
    <col min="2" max="2" width="13.109375" style="136" customWidth="1"/>
    <col min="3" max="3" width="16.109375" style="136" customWidth="1"/>
    <col min="4" max="4" width="9.109375" style="136" customWidth="1"/>
    <col min="5" max="5" width="16.109375" style="136" customWidth="1"/>
    <col min="6" max="6" width="9.109375" style="136" customWidth="1"/>
    <col min="7" max="7" width="16.109375" style="136" customWidth="1"/>
    <col min="8" max="8" width="9.109375" style="136" customWidth="1"/>
    <col min="9" max="9" width="16.109375" style="136" customWidth="1"/>
    <col min="10" max="10" width="11.77734375" style="136" customWidth="1"/>
    <col min="11" max="11" width="16.109375" style="79" customWidth="1"/>
    <col min="12" max="12" width="1.44140625" style="44" customWidth="1"/>
    <col min="13" max="16384" width="9.109375" style="45" hidden="1"/>
  </cols>
  <sheetData>
    <row r="1" spans="1:12" ht="28.8" x14ac:dyDescent="0.55000000000000004">
      <c r="A1" s="200" t="s">
        <v>1173</v>
      </c>
      <c r="B1" s="201"/>
      <c r="C1" s="201"/>
      <c r="D1" s="201"/>
      <c r="E1" s="201"/>
      <c r="F1" s="201"/>
      <c r="G1" s="201"/>
      <c r="H1" s="201"/>
      <c r="I1" s="201"/>
      <c r="J1" s="201"/>
      <c r="K1" s="202" t="s">
        <v>940</v>
      </c>
    </row>
    <row r="2" spans="1:12" x14ac:dyDescent="0.35">
      <c r="E2" s="280"/>
      <c r="K2" s="137"/>
    </row>
    <row r="3" spans="1:12" ht="16.2" x14ac:dyDescent="0.35">
      <c r="A3" s="138" t="s">
        <v>1035</v>
      </c>
      <c r="B3" s="239" t="str">
        <f>'Reference sheet'!C12</f>
        <v>TRUCK INTERNATIONAL MOBILITY SA</v>
      </c>
      <c r="C3" s="240"/>
      <c r="E3" s="242" t="s">
        <v>1036</v>
      </c>
      <c r="F3" s="282">
        <f>'Reference sheet'!C15</f>
        <v>2</v>
      </c>
      <c r="G3" s="283" t="s">
        <v>1037</v>
      </c>
      <c r="H3" s="243" t="str">
        <f>'Reference sheet'!C17</f>
        <v>October</v>
      </c>
      <c r="I3" s="982">
        <f>'Reference sheet'!D17</f>
        <v>2018</v>
      </c>
      <c r="J3" s="143" t="s">
        <v>1175</v>
      </c>
      <c r="K3" s="284" t="str">
        <f>'Reference sheet'!C21</f>
        <v>EUR</v>
      </c>
    </row>
    <row r="4" spans="1:12" x14ac:dyDescent="0.35">
      <c r="B4" s="181"/>
      <c r="G4" s="182"/>
      <c r="K4" s="340"/>
    </row>
    <row r="5" spans="1:12" x14ac:dyDescent="0.35">
      <c r="B5" s="181"/>
      <c r="C5" s="642"/>
      <c r="G5" s="182"/>
      <c r="K5" s="340"/>
    </row>
    <row r="6" spans="1:12" x14ac:dyDescent="0.35">
      <c r="A6" s="145"/>
      <c r="B6" s="178"/>
      <c r="C6" s="341">
        <f>'7.9.2 Balance Liabilities'!C6</f>
        <v>2019</v>
      </c>
      <c r="D6" s="342"/>
      <c r="E6" s="288">
        <f>+'7.1 Dealer area'!E5</f>
        <v>2020</v>
      </c>
      <c r="F6" s="343"/>
      <c r="G6" s="288">
        <f>+'7.1 Dealer area'!G5</f>
        <v>2021</v>
      </c>
      <c r="H6" s="344"/>
      <c r="I6" s="288">
        <f>+'7.1 Dealer area'!I5</f>
        <v>2022</v>
      </c>
      <c r="J6" s="344"/>
      <c r="K6" s="288">
        <f>+'7.1 Dealer area'!K5</f>
        <v>2023</v>
      </c>
      <c r="L6" s="98"/>
    </row>
    <row r="7" spans="1:12" ht="22.2" x14ac:dyDescent="0.45">
      <c r="A7" s="1181" t="s">
        <v>353</v>
      </c>
      <c r="B7" s="1101"/>
      <c r="C7" s="1078"/>
      <c r="D7" s="833"/>
      <c r="E7" s="833"/>
      <c r="F7" s="833"/>
      <c r="G7" s="1102"/>
      <c r="H7" s="833"/>
      <c r="I7" s="833"/>
      <c r="J7" s="833"/>
      <c r="K7" s="1103"/>
    </row>
    <row r="8" spans="1:12" x14ac:dyDescent="0.35">
      <c r="B8" s="726"/>
      <c r="C8" s="1202"/>
      <c r="D8" s="840"/>
      <c r="E8" s="840"/>
      <c r="F8" s="840"/>
      <c r="G8" s="1203"/>
      <c r="H8" s="840"/>
      <c r="I8" s="840"/>
      <c r="J8" s="840"/>
      <c r="K8" s="1204"/>
    </row>
    <row r="9" spans="1:12" x14ac:dyDescent="0.35">
      <c r="A9" s="135" t="s">
        <v>806</v>
      </c>
      <c r="C9" s="1205"/>
      <c r="D9" s="1188"/>
      <c r="E9" s="1189">
        <f ca="1">IF('7.7 P&amp;L'!C7=0,0,('7.7 P&amp;L'!E7-'7.7 P&amp;L'!C7)/'7.7 P&amp;L'!C7)</f>
        <v>1.4965598108633971</v>
      </c>
      <c r="F9" s="1190"/>
      <c r="G9" s="1189">
        <f ca="1">IF('7.7 P&amp;L'!E7=0,0,('7.7 P&amp;L'!G7-'7.7 P&amp;L'!E7)/'7.7 P&amp;L'!E7)</f>
        <v>0.67733346311482956</v>
      </c>
      <c r="H9" s="1190"/>
      <c r="I9" s="1189">
        <f ca="1">IF('7.7 P&amp;L'!G7=0,0,('7.7 P&amp;L'!I7-'7.7 P&amp;L'!G7)/'7.7 P&amp;L'!G7)</f>
        <v>0.26823497136580576</v>
      </c>
      <c r="J9" s="1190"/>
      <c r="K9" s="1191">
        <f ca="1">IF('7.7 P&amp;L'!I7=0,0,('7.7 P&amp;L'!K7-'7.7 P&amp;L'!I7)/'7.7 P&amp;L'!I7)</f>
        <v>0.20925161002885917</v>
      </c>
    </row>
    <row r="10" spans="1:12" x14ac:dyDescent="0.35">
      <c r="C10" s="1206"/>
      <c r="D10" s="1190"/>
      <c r="E10" s="1192"/>
      <c r="F10" s="1192"/>
      <c r="G10" s="1192"/>
      <c r="H10" s="1192"/>
      <c r="I10" s="1192"/>
      <c r="J10" s="1192"/>
      <c r="K10" s="1193"/>
    </row>
    <row r="11" spans="1:12" x14ac:dyDescent="0.35">
      <c r="A11" s="135" t="s">
        <v>246</v>
      </c>
      <c r="C11" s="1206"/>
      <c r="D11" s="1190"/>
      <c r="E11" s="1190"/>
      <c r="F11" s="1190"/>
      <c r="G11" s="1190"/>
      <c r="H11" s="1190"/>
      <c r="I11" s="1190"/>
      <c r="J11" s="1190"/>
      <c r="K11" s="1191"/>
    </row>
    <row r="12" spans="1:12" x14ac:dyDescent="0.35">
      <c r="A12" s="135" t="s">
        <v>444</v>
      </c>
      <c r="C12" s="1206">
        <f>IF('7.7 P&amp;L'!C7=0,0,'7.7 P&amp;L'!C13/'7.7 P&amp;L'!C7)</f>
        <v>0.14239363993885626</v>
      </c>
      <c r="D12" s="1190"/>
      <c r="E12" s="1190">
        <f ca="1">IF('7.7 P&amp;L'!E7=0,0,'7.7 P&amp;L'!E13/'7.7 P&amp;L'!E7)</f>
        <v>0.1429698219128904</v>
      </c>
      <c r="F12" s="1190"/>
      <c r="G12" s="1190">
        <f ca="1">IF('7.7 P&amp;L'!G7=0,0,'7.7 P&amp;L'!G13/'7.7 P&amp;L'!G7)</f>
        <v>0.13893296162099486</v>
      </c>
      <c r="H12" s="1190"/>
      <c r="I12" s="1190">
        <f ca="1">IF('7.7 P&amp;L'!I7=0,0,'7.7 P&amp;L'!I13/'7.7 P&amp;L'!I7)</f>
        <v>0.14035029455977244</v>
      </c>
      <c r="J12" s="1190"/>
      <c r="K12" s="1191">
        <f ca="1">IF('7.7 P&amp;L'!K7=0,0,'7.7 P&amp;L'!K13/'7.7 P&amp;L'!K7)</f>
        <v>0.14175630793727326</v>
      </c>
    </row>
    <row r="13" spans="1:12" x14ac:dyDescent="0.35">
      <c r="A13" s="135" t="s">
        <v>450</v>
      </c>
      <c r="C13" s="1206">
        <f>IF('7.7 P&amp;L'!C7=0,0,'7.7 P&amp;L'!C22/'7.7 P&amp;L'!C7)</f>
        <v>-4.3313202035300639E-2</v>
      </c>
      <c r="D13" s="1190"/>
      <c r="E13" s="1190">
        <f ca="1">IF('7.7 P&amp;L'!E7=0,0,'7.7 P&amp;L'!E22/'7.7 P&amp;L'!E7)</f>
        <v>6.5245173437957459E-3</v>
      </c>
      <c r="F13" s="1190"/>
      <c r="G13" s="1190">
        <f ca="1">IF('7.7 P&amp;L'!G7=0,0,'7.7 P&amp;L'!G22/'7.7 P&amp;L'!G7)</f>
        <v>4.6689596681174894E-2</v>
      </c>
      <c r="H13" s="1190"/>
      <c r="I13" s="1190">
        <f ca="1">IF('7.7 P&amp;L'!I7=0,0,'7.7 P&amp;L'!I22/'7.7 P&amp;L'!I7)</f>
        <v>6.1023158445055486E-2</v>
      </c>
      <c r="J13" s="1190"/>
      <c r="K13" s="1191">
        <f ca="1">IF('7.7 P&amp;L'!K7=0,0,'7.7 P&amp;L'!K22/'7.7 P&amp;L'!K7)</f>
        <v>7.3007826281993357E-2</v>
      </c>
    </row>
    <row r="14" spans="1:12" x14ac:dyDescent="0.35">
      <c r="A14" s="135" t="s">
        <v>807</v>
      </c>
      <c r="C14" s="1206">
        <f ca="1">IF('7.7 P&amp;L'!C7=0,0,'7.7 P&amp;L'!C28/'7.7 P&amp;L'!C7)</f>
        <v>-5.1410725369316512E-2</v>
      </c>
      <c r="D14" s="1190"/>
      <c r="E14" s="1190">
        <f ca="1">IF('7.7 P&amp;L'!E7=0,0,'7.7 P&amp;L'!E28/'7.7 P&amp;L'!E7)</f>
        <v>-6.3896288118946527E-3</v>
      </c>
      <c r="F14" s="1190"/>
      <c r="G14" s="1190">
        <f ca="1">IF('7.7 P&amp;L'!G7=0,0,'7.7 P&amp;L'!G28/'7.7 P&amp;L'!G7)</f>
        <v>3.8724781768706161E-2</v>
      </c>
      <c r="H14" s="1190"/>
      <c r="I14" s="1190">
        <f ca="1">IF('7.7 P&amp;L'!I7=0,0,'7.7 P&amp;L'!I28/'7.7 P&amp;L'!I7)</f>
        <v>5.5868519741985929E-2</v>
      </c>
      <c r="J14" s="1190"/>
      <c r="K14" s="1191">
        <f ca="1">IF('7.7 P&amp;L'!K7=0,0,'7.7 P&amp;L'!K28/'7.7 P&amp;L'!K7)</f>
        <v>7.1234834745262599E-2</v>
      </c>
    </row>
    <row r="15" spans="1:12" x14ac:dyDescent="0.35">
      <c r="A15" s="135" t="s">
        <v>449</v>
      </c>
      <c r="C15" s="1206">
        <f ca="1">IF('7.7 P&amp;L'!C7=0,0,'7.7 P&amp;L'!C36/'7.7 P&amp;L'!C7)</f>
        <v>-5.1410725369316512E-2</v>
      </c>
      <c r="D15" s="1190"/>
      <c r="E15" s="1190">
        <f ca="1">IF('7.7 P&amp;L'!E7=0,0,'7.7 P&amp;L'!E36/'7.7 P&amp;L'!E7)</f>
        <v>-6.3896288118946527E-3</v>
      </c>
      <c r="F15" s="1190"/>
      <c r="G15" s="1190">
        <f ca="1">IF('7.7 P&amp;L'!G7=0,0,'7.7 P&amp;L'!G36/'7.7 P&amp;L'!G7)</f>
        <v>3.8724781768706161E-2</v>
      </c>
      <c r="H15" s="1190"/>
      <c r="I15" s="1190">
        <f ca="1">IF('7.7 P&amp;L'!I7=0,0,'7.7 P&amp;L'!I36/'7.7 P&amp;L'!I7)</f>
        <v>5.5868519741985929E-2</v>
      </c>
      <c r="J15" s="1190"/>
      <c r="K15" s="1191">
        <f ca="1">IF('7.7 P&amp;L'!K7=0,0,'7.7 P&amp;L'!K36/'7.7 P&amp;L'!K7)</f>
        <v>7.1234834745262599E-2</v>
      </c>
    </row>
    <row r="16" spans="1:12" x14ac:dyDescent="0.35">
      <c r="A16" s="135" t="s">
        <v>448</v>
      </c>
      <c r="C16" s="1206">
        <f ca="1">IF('7.7 P&amp;L'!C7=0,0,'7.7 P&amp;L'!C42/'7.7 P&amp;L'!C7)</f>
        <v>-5.1410725369316512E-2</v>
      </c>
      <c r="D16" s="1190"/>
      <c r="E16" s="1190">
        <f ca="1">IF('7.7 P&amp;L'!E7=0,0,'7.7 P&amp;L'!E42/'7.7 P&amp;L'!E7)</f>
        <v>-6.3896288118946527E-3</v>
      </c>
      <c r="F16" s="1190"/>
      <c r="G16" s="1190">
        <f ca="1">IF('7.7 P&amp;L'!G7=0,0,'7.7 P&amp;L'!G42/'7.7 P&amp;L'!G7)</f>
        <v>2.9043586326529619E-2</v>
      </c>
      <c r="H16" s="1190"/>
      <c r="I16" s="1190">
        <f ca="1">IF('7.7 P&amp;L'!I7=0,0,'7.7 P&amp;L'!I42/'7.7 P&amp;L'!I7)</f>
        <v>4.1901389806489449E-2</v>
      </c>
      <c r="J16" s="1190"/>
      <c r="K16" s="1191">
        <f ca="1">IF('7.7 P&amp;L'!K7=0,0,'7.7 P&amp;L'!K42/'7.7 P&amp;L'!K7)</f>
        <v>5.3426126058946949E-2</v>
      </c>
    </row>
    <row r="17" spans="1:11" x14ac:dyDescent="0.35">
      <c r="C17" s="1206"/>
      <c r="D17" s="1190"/>
      <c r="E17" s="1190"/>
      <c r="F17" s="1190"/>
      <c r="G17" s="1190"/>
      <c r="H17" s="1190"/>
      <c r="I17" s="1190"/>
      <c r="J17" s="1190"/>
      <c r="K17" s="1191"/>
    </row>
    <row r="18" spans="1:11" x14ac:dyDescent="0.35">
      <c r="A18" s="135" t="s">
        <v>247</v>
      </c>
      <c r="C18" s="1206"/>
      <c r="D18" s="1190"/>
      <c r="E18" s="1190"/>
      <c r="F18" s="1190"/>
      <c r="G18" s="1190"/>
      <c r="H18" s="1190"/>
      <c r="I18" s="1190"/>
      <c r="J18" s="1190"/>
      <c r="K18" s="1191"/>
    </row>
    <row r="19" spans="1:11" x14ac:dyDescent="0.35">
      <c r="A19" s="135" t="s">
        <v>447</v>
      </c>
      <c r="C19" s="1206">
        <f ca="1">IF('7.9.2 Balance Liabilities'!C22=0,0,'7.7 P&amp;L'!C36/'7.9.2 Balance Liabilities'!C22)</f>
        <v>-0.27395597392588494</v>
      </c>
      <c r="D19" s="1190"/>
      <c r="E19" s="1190">
        <f ca="1">IF('7.9.2 Balance Liabilities'!E22=0,0,'7.7 P&amp;L'!E36/'7.9.2 Balance Liabilities'!E22)</f>
        <v>-3.8833686524195783E-2</v>
      </c>
      <c r="F19" s="1190"/>
      <c r="G19" s="1190">
        <f ca="1">IF('7.9.2 Balance Liabilities'!G22=0,0,'7.7 P&amp;L'!G36/'7.9.2 Balance Liabilities'!G22)</f>
        <v>0.24873941211259945</v>
      </c>
      <c r="H19" s="1190"/>
      <c r="I19" s="1190">
        <f ca="1">IF('7.9.2 Balance Liabilities'!I22=0,0,'7.7 P&amp;L'!I36/'7.9.2 Balance Liabilities'!I22)</f>
        <v>0.33930050420036284</v>
      </c>
      <c r="J19" s="1190"/>
      <c r="K19" s="1191">
        <f ca="1">IF('7.9.2 Balance Liabilities'!K22=0,0,'7.7 P&amp;L'!K36/'7.9.2 Balance Liabilities'!K22)</f>
        <v>0.37572843155354824</v>
      </c>
    </row>
    <row r="20" spans="1:11" x14ac:dyDescent="0.35">
      <c r="A20" s="135" t="s">
        <v>446</v>
      </c>
      <c r="C20" s="1206">
        <f ca="1">IF('7.9.2 Balance Liabilities'!C22=0,0,'7.7 P&amp;L'!C42/'7.9.2 Balance Liabilities'!C22)</f>
        <v>-0.27395597392588494</v>
      </c>
      <c r="D20" s="1190"/>
      <c r="E20" s="1190">
        <f ca="1">IF('7.9.2 Balance Liabilities'!E22=0,0,'7.7 P&amp;L'!E42/'7.9.2 Balance Liabilities'!E22)</f>
        <v>-3.8833686524195783E-2</v>
      </c>
      <c r="F20" s="1190"/>
      <c r="G20" s="1190">
        <f ca="1">IF('7.9.2 Balance Liabilities'!G22=0,0,'7.7 P&amp;L'!G42/'7.9.2 Balance Liabilities'!G22)</f>
        <v>0.18655455908444959</v>
      </c>
      <c r="H20" s="1190"/>
      <c r="I20" s="1190">
        <f ca="1">IF('7.9.2 Balance Liabilities'!I22=0,0,'7.7 P&amp;L'!I42/'7.9.2 Balance Liabilities'!I22)</f>
        <v>0.2544753781502721</v>
      </c>
      <c r="J20" s="1190"/>
      <c r="K20" s="1191">
        <f ca="1">IF('7.9.2 Balance Liabilities'!K22=0,0,'7.7 P&amp;L'!K42/'7.9.2 Balance Liabilities'!K22)</f>
        <v>0.28179632366516116</v>
      </c>
    </row>
    <row r="21" spans="1:11" x14ac:dyDescent="0.35">
      <c r="A21" s="135" t="s">
        <v>445</v>
      </c>
      <c r="C21" s="1206">
        <f ca="1">IF('7.9.2 Balance Liabilities'!C38=0,0,('7.7 P&amp;L'!C36-'7.5.2 Fin. Income &amp; Expenses '!E76)/'7.9.2 Balance Liabilities'!C38)</f>
        <v>-0.23143303924255626</v>
      </c>
      <c r="D21" s="1190"/>
      <c r="E21" s="1190">
        <f ca="1">IF('7.9.2 Balance Liabilities'!E38=0,0,('7.7 P&amp;L'!E36-'7.5.2 Fin. Income &amp; Expenses '!G76)/'7.9.2 Balance Liabilities'!E38)</f>
        <v>-9.3899811596504359E-2</v>
      </c>
      <c r="F21" s="1190"/>
      <c r="G21" s="1190">
        <f ca="1">IF('7.9.2 Balance Liabilities'!G38=0,0,('7.7 P&amp;L'!G36-'7.5.2 Fin. Income &amp; Expenses '!I76)/'7.9.2 Balance Liabilities'!G38)</f>
        <v>0.16968197503913968</v>
      </c>
      <c r="H21" s="1190"/>
      <c r="I21" s="1190">
        <f ca="1">IF('7.9.2 Balance Liabilities'!I38=0,0,('7.7 P&amp;L'!I36-'7.5.2 Fin. Income &amp; Expenses '!K76)/'7.9.2 Balance Liabilities'!I38)</f>
        <v>0.27144537653899442</v>
      </c>
      <c r="J21" s="1190"/>
      <c r="K21" s="1191">
        <f ca="1">IF('7.9.2 Balance Liabilities'!K38=0,0,('7.7 P&amp;L'!K36-'7.5.2 Fin. Income &amp; Expenses '!M76)/'7.9.2 Balance Liabilities'!K38)</f>
        <v>0.32587938004941375</v>
      </c>
    </row>
    <row r="22" spans="1:11" x14ac:dyDescent="0.35">
      <c r="A22" s="135" t="s">
        <v>356</v>
      </c>
      <c r="C22" s="1206"/>
      <c r="D22" s="1190"/>
      <c r="E22" s="1190"/>
      <c r="F22" s="1190"/>
      <c r="G22" s="1190"/>
      <c r="H22" s="1190"/>
      <c r="I22" s="1190"/>
      <c r="J22" s="1190"/>
      <c r="K22" s="1191"/>
    </row>
    <row r="23" spans="1:11" x14ac:dyDescent="0.35">
      <c r="C23" s="941"/>
      <c r="D23" s="1015"/>
      <c r="E23" s="1015"/>
      <c r="F23" s="1015"/>
      <c r="G23" s="1015"/>
      <c r="H23" s="1015"/>
      <c r="I23" s="1015"/>
      <c r="J23" s="1015"/>
      <c r="K23" s="1174"/>
    </row>
    <row r="24" spans="1:11" x14ac:dyDescent="0.35">
      <c r="A24" s="135" t="s">
        <v>248</v>
      </c>
      <c r="C24" s="941"/>
      <c r="D24" s="1015"/>
      <c r="E24" s="1015"/>
      <c r="F24" s="1015"/>
      <c r="G24" s="1015"/>
      <c r="H24" s="1015"/>
      <c r="I24" s="1015"/>
      <c r="J24" s="1015"/>
      <c r="K24" s="1174"/>
    </row>
    <row r="25" spans="1:11" x14ac:dyDescent="0.35">
      <c r="A25" s="135" t="s">
        <v>249</v>
      </c>
      <c r="C25" s="1254">
        <f ca="1">IF('7.9.2 Balance Liabilities'!C53=0,0,'7.9.1 Balance Assets'!C45/'7.9.2 Balance Liabilities'!C53)</f>
        <v>1.4358611492455911</v>
      </c>
      <c r="D25" s="1255"/>
      <c r="E25" s="1868">
        <f ca="1">IF('7.9.2 Balance Liabilities'!E53=0,0,'7.9.1 Balance Assets'!E45/'7.9.2 Balance Liabilities'!E53)</f>
        <v>1.1844770113443315</v>
      </c>
      <c r="F25" s="1255"/>
      <c r="G25" s="1868">
        <f ca="1">IF('7.9.2 Balance Liabilities'!G53=0,0,'7.9.1 Balance Assets'!G45/'7.9.2 Balance Liabilities'!G53)</f>
        <v>1.2289983470289167</v>
      </c>
      <c r="H25" s="1255"/>
      <c r="I25" s="1868">
        <f ca="1">IF('7.9.2 Balance Liabilities'!I53=0,0,'7.9.1 Balance Assets'!I45/'7.9.2 Balance Liabilities'!I53)</f>
        <v>1.2664318625632651</v>
      </c>
      <c r="J25" s="1255"/>
      <c r="K25" s="1250">
        <f ca="1">IF('7.9.2 Balance Liabilities'!K53=0,0,'7.9.1 Balance Assets'!K45/'7.9.2 Balance Liabilities'!K53)</f>
        <v>1.3223691737232275</v>
      </c>
    </row>
    <row r="26" spans="1:11" x14ac:dyDescent="0.35">
      <c r="A26" s="135" t="s">
        <v>250</v>
      </c>
      <c r="C26" s="1256">
        <f ca="1">IF('7.9.2 Balance Liabilities'!C53=0,0,('7.9.1 Balance Assets'!C45-'7.9.1 Balance Assets'!C36)/'7.9.2 Balance Liabilities'!C53)</f>
        <v>0.90304885879490171</v>
      </c>
      <c r="D26" s="1255"/>
      <c r="E26" s="1255">
        <f ca="1">IF('7.9.2 Balance Liabilities'!E53=0,0,('7.9.1 Balance Assets'!E45-'7.9.1 Balance Assets'!E36)/'7.9.2 Balance Liabilities'!E53)</f>
        <v>0.64932713177359724</v>
      </c>
      <c r="F26" s="1255"/>
      <c r="G26" s="1255">
        <f ca="1">IF('7.9.2 Balance Liabilities'!G53=0,0,('7.9.1 Balance Assets'!G45-'7.9.1 Balance Assets'!G36)/'7.9.2 Balance Liabilities'!G53)</f>
        <v>0.68738821387006788</v>
      </c>
      <c r="H26" s="1255"/>
      <c r="I26" s="1255">
        <f ca="1">IF('7.9.2 Balance Liabilities'!I53=0,0,('7.9.1 Balance Assets'!I45-'7.9.1 Balance Assets'!I36)/'7.9.2 Balance Liabilities'!I53)</f>
        <v>0.71973629741703604</v>
      </c>
      <c r="J26" s="1255"/>
      <c r="K26" s="1251">
        <f ca="1">IF('7.9.2 Balance Liabilities'!K53=0,0,('7.9.1 Balance Assets'!K45-'7.9.1 Balance Assets'!K36)/'7.9.2 Balance Liabilities'!K53)</f>
        <v>0.76865914615067199</v>
      </c>
    </row>
    <row r="27" spans="1:11" x14ac:dyDescent="0.35">
      <c r="A27" s="135" t="s">
        <v>251</v>
      </c>
      <c r="C27" s="945">
        <f ca="1">'7.9.1 Balance Assets'!C45-'7.9.2 Balance Liabilities'!C53</f>
        <v>491049.09833291592</v>
      </c>
      <c r="D27" s="1015"/>
      <c r="E27" s="1180">
        <f ca="1">'7.9.1 Balance Assets'!E45-'7.9.2 Balance Liabilities'!E53</f>
        <v>540315.32900569635</v>
      </c>
      <c r="F27" s="1015"/>
      <c r="G27" s="1180">
        <f ca="1">'7.9.1 Balance Assets'!G45-'7.9.2 Balance Liabilities'!G53</f>
        <v>1105554.7060834141</v>
      </c>
      <c r="H27" s="1015"/>
      <c r="I27" s="1180">
        <f ca="1">'7.9.1 Balance Assets'!I45-'7.9.2 Balance Liabilities'!I53</f>
        <v>1618503.7663175873</v>
      </c>
      <c r="J27" s="1015"/>
      <c r="K27" s="981">
        <f ca="1">'7.9.1 Balance Assets'!K45-'7.9.2 Balance Liabilities'!K53</f>
        <v>2343632.8564910898</v>
      </c>
    </row>
    <row r="28" spans="1:11" x14ac:dyDescent="0.35">
      <c r="C28" s="941"/>
      <c r="D28" s="1015"/>
      <c r="E28" s="1015"/>
      <c r="F28" s="1015"/>
      <c r="G28" s="1015"/>
      <c r="H28" s="1015"/>
      <c r="I28" s="1015"/>
      <c r="J28" s="1015"/>
      <c r="K28" s="1174"/>
    </row>
    <row r="29" spans="1:11" x14ac:dyDescent="0.35">
      <c r="A29" s="135" t="s">
        <v>451</v>
      </c>
      <c r="C29" s="941"/>
      <c r="D29" s="1015"/>
      <c r="E29" s="1015"/>
      <c r="F29" s="1015"/>
      <c r="G29" s="1015"/>
      <c r="H29" s="1015"/>
      <c r="I29" s="1015"/>
      <c r="J29" s="1015"/>
      <c r="K29" s="1174"/>
    </row>
    <row r="30" spans="1:11" x14ac:dyDescent="0.35">
      <c r="A30" s="135" t="s">
        <v>252</v>
      </c>
      <c r="C30" s="941"/>
      <c r="D30" s="1015"/>
      <c r="E30" s="1015"/>
      <c r="F30" s="1015"/>
      <c r="G30" s="1015"/>
      <c r="H30" s="1015"/>
      <c r="I30" s="1015"/>
      <c r="J30" s="1015"/>
      <c r="K30" s="1174"/>
    </row>
    <row r="31" spans="1:11" x14ac:dyDescent="0.35">
      <c r="A31" s="135" t="s">
        <v>452</v>
      </c>
      <c r="C31" s="941">
        <f>'7.5.1 Financial Requirements'!$B$38</f>
        <v>120</v>
      </c>
      <c r="D31" s="1015"/>
      <c r="E31" s="1180">
        <f>'7.5.1 Financial Requirements'!E38</f>
        <v>120</v>
      </c>
      <c r="F31" s="1015"/>
      <c r="G31" s="1180">
        <f>'7.5.1 Financial Requirements'!G38</f>
        <v>120</v>
      </c>
      <c r="H31" s="1015"/>
      <c r="I31" s="1180">
        <f>'7.5.1 Financial Requirements'!I38</f>
        <v>120</v>
      </c>
      <c r="J31" s="1015"/>
      <c r="K31" s="981">
        <f>'7.5.1 Financial Requirements'!K38</f>
        <v>120</v>
      </c>
    </row>
    <row r="32" spans="1:11" x14ac:dyDescent="0.35">
      <c r="A32" s="135" t="s">
        <v>453</v>
      </c>
      <c r="C32" s="941">
        <f>'7.5.1 Financial Requirements'!B39</f>
        <v>0</v>
      </c>
      <c r="D32" s="1015"/>
      <c r="E32" s="1180">
        <f>'7.5.1 Financial Requirements'!E39</f>
        <v>0</v>
      </c>
      <c r="F32" s="1015"/>
      <c r="G32" s="1180">
        <f>'7.5.1 Financial Requirements'!G39</f>
        <v>0</v>
      </c>
      <c r="H32" s="1015"/>
      <c r="I32" s="1180">
        <f>'7.5.1 Financial Requirements'!I39</f>
        <v>0</v>
      </c>
      <c r="J32" s="1015"/>
      <c r="K32" s="981">
        <f>'7.5.1 Financial Requirements'!K39</f>
        <v>0</v>
      </c>
    </row>
    <row r="33" spans="1:12" x14ac:dyDescent="0.35">
      <c r="A33" s="135" t="s">
        <v>253</v>
      </c>
      <c r="C33" s="1207">
        <f>IF('7.3 Cost of sales'!C108=0,0,'7.9.1 Balance Assets'!C34/'7.3 Cost of sales'!C108*365)</f>
        <v>132.84526438908543</v>
      </c>
      <c r="D33" s="1195"/>
      <c r="E33" s="1195">
        <f ca="1">IF('7.3 Cost of sales'!E108=0,0,'7.9.1 Balance Assets'!E34/'7.3 Cost of sales'!E108*365)</f>
        <v>202.80265360721364</v>
      </c>
      <c r="F33" s="1195"/>
      <c r="G33" s="1195">
        <f ca="1">IF('7.3 Cost of sales'!G108=0,0,'7.9.1 Balance Assets'!G34/'7.3 Cost of sales'!G108*365)</f>
        <v>200.47835800502102</v>
      </c>
      <c r="H33" s="1195"/>
      <c r="I33" s="1195">
        <f ca="1">IF('7.3 Cost of sales'!I108=0,0,'7.9.1 Balance Assets'!I34/'7.3 Cost of sales'!I108*365)</f>
        <v>201.03479891773273</v>
      </c>
      <c r="J33" s="1195"/>
      <c r="K33" s="1194">
        <f ca="1">IF('7.3 Cost of sales'!K108=0,0,'7.9.1 Balance Assets'!K34/'7.3 Cost of sales'!K108*365)</f>
        <v>201.29927635867426</v>
      </c>
    </row>
    <row r="34" spans="1:12" x14ac:dyDescent="0.35">
      <c r="A34" s="135" t="s">
        <v>254</v>
      </c>
      <c r="C34" s="1207">
        <f>IF('7.7 P&amp;L'!C7=0,0,'7.9.1 Balance Assets'!C38/'7.7 P&amp;L'!C7*365)</f>
        <v>132.3792754491881</v>
      </c>
      <c r="D34" s="1195"/>
      <c r="E34" s="1195">
        <f ca="1">IF('7.7 P&amp;L'!E7=0,0,'7.9.1 Balance Assets'!E38/'7.7 P&amp;L'!E7*365)</f>
        <v>132.94648083442598</v>
      </c>
      <c r="F34" s="1195"/>
      <c r="G34" s="1195">
        <f ca="1">IF('7.7 P&amp;L'!G7=0,0,'7.9.1 Balance Assets'!G38/'7.7 P&amp;L'!G7*365)</f>
        <v>134.57564798595587</v>
      </c>
      <c r="H34" s="1195"/>
      <c r="I34" s="1195">
        <f ca="1">IF('7.7 P&amp;L'!I7=0,0,'7.9.1 Balance Assets'!I38/'7.7 P&amp;L'!I7*365)</f>
        <v>133.18008678345879</v>
      </c>
      <c r="J34" s="1195"/>
      <c r="K34" s="1194">
        <f ca="1">IF('7.7 P&amp;L'!K7=0,0,'7.9.1 Balance Assets'!K38/'7.7 P&amp;L'!K7*365)</f>
        <v>131.42580494354061</v>
      </c>
    </row>
    <row r="35" spans="1:12" x14ac:dyDescent="0.35">
      <c r="A35" s="135" t="s">
        <v>582</v>
      </c>
      <c r="C35" s="1207">
        <f>IF('7.5.1 Financial Requirements'!D58=0,0,('7.5.1 Financial Requirements'!$B$48*'7.5.1 Financial Requirements'!D48+'7.5.1 Financial Requirements'!$B$49*'7.5.1 Financial Requirements'!D49+'7.5.1 Financial Requirements'!$B$50*'7.5.1 Financial Requirements'!D50+'7.5.1 Financial Requirements'!$B$51*'7.5.1 Financial Requirements'!D51+'7.5.1 Financial Requirements'!$B$52*'7.5.1 Financial Requirements'!D52+'7.5.1 Financial Requirements'!$B$53*'7.5.1 Financial Requirements'!D53+'7.5.1 Financial Requirements'!$B$56*'7.5.1 Financial Requirements'!D56)/'7.5.1 Financial Requirements'!D58)</f>
        <v>177.14595534191508</v>
      </c>
      <c r="D35" s="1015"/>
      <c r="E35" s="1195">
        <f ca="1">IF('7.5.1 Financial Requirements'!F58=0,0,('7.5.1 Financial Requirements'!E48*'7.5.1 Financial Requirements'!F48+'7.5.1 Financial Requirements'!E49*'7.5.1 Financial Requirements'!F49+'7.5.1 Financial Requirements'!E50*'7.5.1 Financial Requirements'!F50+'7.5.1 Financial Requirements'!E51*'7.5.1 Financial Requirements'!F51+'7.5.1 Financial Requirements'!E52*'7.5.1 Financial Requirements'!F52+'7.5.1 Financial Requirements'!E53*'7.5.1 Financial Requirements'!F53+'7.5.1 Financial Requirements'!E56*'7.5.1 Financial Requirements'!F56)/'7.5.1 Financial Requirements'!F58)</f>
        <v>176.93857326546711</v>
      </c>
      <c r="F35" s="1195"/>
      <c r="G35" s="1195">
        <f ca="1">IF('7.5.1 Financial Requirements'!H58=0,0,('7.5.1 Financial Requirements'!G48*'7.5.1 Financial Requirements'!H48+'7.5.1 Financial Requirements'!G49*'7.5.1 Financial Requirements'!H49+'7.5.1 Financial Requirements'!G50*'7.5.1 Financial Requirements'!H50+'7.5.1 Financial Requirements'!G51*'7.5.1 Financial Requirements'!H51+'7.5.1 Financial Requirements'!G52*'7.5.1 Financial Requirements'!H52+'7.5.1 Financial Requirements'!G53*'7.5.1 Financial Requirements'!H53+'7.5.1 Financial Requirements'!G56*'7.5.1 Financial Requirements'!H56)/'7.5.1 Financial Requirements'!H58)</f>
        <v>177.85147414509328</v>
      </c>
      <c r="H35" s="1195"/>
      <c r="I35" s="1195">
        <f ca="1">IF('7.5.1 Financial Requirements'!J58=0,0,('7.5.1 Financial Requirements'!I48*'7.5.1 Financial Requirements'!J48+'7.5.1 Financial Requirements'!I49*'7.5.1 Financial Requirements'!J49+'7.5.1 Financial Requirements'!I50*'7.5.1 Financial Requirements'!J50+'7.5.1 Financial Requirements'!I51*'7.5.1 Financial Requirements'!J51+'7.5.1 Financial Requirements'!I52*'7.5.1 Financial Requirements'!J52+'7.5.1 Financial Requirements'!I53*'7.5.1 Financial Requirements'!J53+'7.5.1 Financial Requirements'!I56*'7.5.1 Financial Requirements'!J56)/'7.5.1 Financial Requirements'!J58)</f>
        <v>177.63070915889156</v>
      </c>
      <c r="J35" s="1015"/>
      <c r="K35" s="1194">
        <f ca="1">IF('7.5.1 Financial Requirements'!L58=0,0,('7.5.1 Financial Requirements'!K48*'7.5.1 Financial Requirements'!L48+'7.5.1 Financial Requirements'!K49*'7.5.1 Financial Requirements'!L49+'7.5.1 Financial Requirements'!K50*'7.5.1 Financial Requirements'!L50+'7.5.1 Financial Requirements'!K51*'7.5.1 Financial Requirements'!L51+'7.5.1 Financial Requirements'!K52*'7.5.1 Financial Requirements'!L52+'7.5.1 Financial Requirements'!K53*'7.5.1 Financial Requirements'!L53+'7.5.1 Financial Requirements'!K56*'7.5.1 Financial Requirements'!L56)/'7.5.1 Financial Requirements'!L58)</f>
        <v>177.3689562985019</v>
      </c>
    </row>
    <row r="36" spans="1:12" x14ac:dyDescent="0.35">
      <c r="C36" s="941"/>
      <c r="D36" s="1015"/>
      <c r="E36" s="1015"/>
      <c r="F36" s="1015"/>
      <c r="G36" s="1015"/>
      <c r="H36" s="1015"/>
      <c r="I36" s="1015"/>
      <c r="J36" s="1015"/>
      <c r="K36" s="1174"/>
    </row>
    <row r="37" spans="1:12" x14ac:dyDescent="0.35">
      <c r="A37" s="135" t="s">
        <v>255</v>
      </c>
      <c r="C37" s="1206">
        <f ca="1">IF('7.9.2 Balance Liabilities'!C61=0,0,'7.9.2 Balance Liabilities'!C22/'7.9.2 Balance Liabilities'!C61)</f>
        <v>0.22096022992722394</v>
      </c>
      <c r="D37" s="1190"/>
      <c r="E37" s="1190">
        <f ca="1">IF('7.9.2 Balance Liabilities'!E61=0,0,'7.9.2 Balance Liabilities'!E22/'7.9.2 Balance Liabilities'!E61)</f>
        <v>0.2146552280177948</v>
      </c>
      <c r="F37" s="1190"/>
      <c r="G37" s="1190">
        <f ca="1">IF('7.9.2 Balance Liabilities'!G61=0,0,'7.9.2 Balance Liabilities'!G22/'7.9.2 Balance Liabilities'!G61)</f>
        <v>0.21429275456297445</v>
      </c>
      <c r="H37" s="1190"/>
      <c r="I37" s="1190">
        <f ca="1">IF('7.9.2 Balance Liabilities'!I61=0,0,'7.9.2 Balance Liabilities'!I22/'7.9.2 Balance Liabilities'!I61)</f>
        <v>0.22769431370316004</v>
      </c>
      <c r="J37" s="1190"/>
      <c r="K37" s="1191">
        <f ca="1">IF('7.9.2 Balance Liabilities'!K61=0,0,'7.9.2 Balance Liabilities'!K22/'7.9.2 Balance Liabilities'!K61)</f>
        <v>0.25716182362621881</v>
      </c>
    </row>
    <row r="38" spans="1:12" x14ac:dyDescent="0.35">
      <c r="C38" s="941"/>
      <c r="D38" s="1015"/>
      <c r="E38" s="1015"/>
      <c r="F38" s="1015"/>
      <c r="G38" s="1015"/>
      <c r="H38" s="1015"/>
      <c r="I38" s="1015"/>
      <c r="J38" s="1015"/>
      <c r="K38" s="1174"/>
    </row>
    <row r="39" spans="1:12" x14ac:dyDescent="0.35">
      <c r="A39" s="135" t="s">
        <v>256</v>
      </c>
      <c r="C39" s="1208">
        <f ca="1">IF('7.5.2 Fin. Income &amp; Expenses '!E76=0,0,(('7.7 P&amp;L'!C36+'7.5.2 Fin. Income &amp; Expenses '!E76)/'7.5.2 Fin. Income &amp; Expenses '!E76))</f>
        <v>-1.5108984328059314</v>
      </c>
      <c r="D39" s="1196"/>
      <c r="E39" s="1196">
        <f ca="1">IF('7.5.2 Fin. Income &amp; Expenses '!G76=0,0,(('7.7 P&amp;L'!E36+'7.5.2 Fin. Income &amp; Expenses '!G76)/'7.5.2 Fin. Income &amp; Expenses '!G76))</f>
        <v>0.50522251065904411</v>
      </c>
      <c r="F39" s="1196"/>
      <c r="G39" s="1196">
        <f ca="1">IF('7.5.2 Fin. Income &amp; Expenses '!I76=0,0,(('7.7 P&amp;L'!G36+'7.5.2 Fin. Income &amp; Expenses '!I76)/'7.5.2 Fin. Income &amp; Expenses '!I76))</f>
        <v>5.309151555421022</v>
      </c>
      <c r="H39" s="1196"/>
      <c r="I39" s="1196">
        <f ca="1">IF('7.5.2 Fin. Income &amp; Expenses '!K76=0,0,(('7.7 P&amp;L'!I36+'7.5.2 Fin. Income &amp; Expenses '!K76)/'7.5.2 Fin. Income &amp; Expenses '!K76))</f>
        <v>7.9568141952377553</v>
      </c>
      <c r="J39" s="1196"/>
      <c r="K39" s="1588">
        <f ca="1">IF('7.5.2 Fin. Income &amp; Expenses '!M76=0,0,(('7.7 P&amp;L'!K36+'7.5.2 Fin. Income &amp; Expenses '!M76)/'7.5.2 Fin. Income &amp; Expenses '!M76))</f>
        <v>10.663811176291915</v>
      </c>
    </row>
    <row r="40" spans="1:12" x14ac:dyDescent="0.35">
      <c r="C40" s="941"/>
      <c r="D40" s="1015"/>
      <c r="E40" s="1015"/>
      <c r="F40" s="1015"/>
      <c r="G40" s="1015"/>
      <c r="H40" s="1015"/>
      <c r="I40" s="1015"/>
      <c r="J40" s="1015"/>
      <c r="K40" s="1174"/>
    </row>
    <row r="41" spans="1:12" x14ac:dyDescent="0.35">
      <c r="A41" s="135" t="s">
        <v>454</v>
      </c>
      <c r="C41" s="1206">
        <f>IF(('7.7 P&amp;L'!C13+'7.6.1 Activity contribution'!I25)=0,0,'7.4.1 Salaries &amp; Wages'!C172/('7.7 P&amp;L'!C13+'7.6.1 Activity contribution'!I25))</f>
        <v>0.39423322138085848</v>
      </c>
      <c r="D41" s="1190"/>
      <c r="E41" s="1190">
        <f ca="1">IF(('7.7 P&amp;L'!E13+'7.6.1 Activity contribution'!I102)=0,0,'7.4.1 Salaries &amp; Wages'!E172/('7.7 P&amp;L'!E13+'7.6.1 Activity contribution'!I102))</f>
        <v>0.25523286255117406</v>
      </c>
      <c r="F41" s="1190"/>
      <c r="G41" s="1190">
        <f ca="1">IF(('7.7 P&amp;L'!G13+'7.6.1 Activity contribution'!I179)=0,0,'7.4.1 Salaries &amp; Wages'!G172/('7.7 P&amp;L'!G13+'7.6.1 Activity contribution'!I179))</f>
        <v>0.18522921780611051</v>
      </c>
      <c r="H41" s="1190"/>
      <c r="I41" s="1190">
        <f ca="1">IF(('7.7 P&amp;L'!I13+'7.6.1 Activity contribution'!I256)=0,0,'7.4.1 Salaries &amp; Wages'!I172/('7.7 P&amp;L'!I13+'7.6.1 Activity contribution'!I256))</f>
        <v>0.16632057469049549</v>
      </c>
      <c r="J41" s="1190"/>
      <c r="K41" s="1191">
        <f ca="1">IF(('7.7 P&amp;L'!K13+'7.6.1 Activity contribution'!I333)=0,0,'7.4.1 Salaries &amp; Wages'!K172/('7.7 P&amp;L'!K13+'7.6.1 Activity contribution'!I333))</f>
        <v>0.15374929701866458</v>
      </c>
    </row>
    <row r="42" spans="1:12" x14ac:dyDescent="0.35">
      <c r="C42" s="948"/>
      <c r="D42" s="1200"/>
      <c r="E42" s="1200"/>
      <c r="F42" s="1200"/>
      <c r="G42" s="1200"/>
      <c r="H42" s="1200"/>
      <c r="I42" s="1200"/>
      <c r="J42" s="1200"/>
      <c r="K42" s="1201"/>
    </row>
    <row r="43" spans="1:12" x14ac:dyDescent="0.35">
      <c r="A43" s="148"/>
      <c r="B43" s="148"/>
      <c r="C43" s="271"/>
      <c r="D43" s="271"/>
      <c r="E43" s="271"/>
      <c r="F43" s="271"/>
      <c r="G43" s="271"/>
      <c r="H43" s="271"/>
      <c r="I43" s="271"/>
      <c r="J43" s="271"/>
      <c r="K43" s="271"/>
      <c r="L43" s="76"/>
    </row>
    <row r="44" spans="1:12" x14ac:dyDescent="0.35">
      <c r="A44" s="146"/>
      <c r="B44" s="146"/>
      <c r="C44" s="733"/>
      <c r="D44" s="733"/>
      <c r="E44" s="733"/>
      <c r="F44" s="733"/>
      <c r="G44" s="733"/>
      <c r="H44" s="733"/>
      <c r="I44" s="733"/>
      <c r="J44" s="733"/>
      <c r="K44" s="733"/>
    </row>
    <row r="45" spans="1:12" ht="22.2" x14ac:dyDescent="0.45">
      <c r="A45" s="1182" t="s">
        <v>352</v>
      </c>
      <c r="B45" s="1164"/>
      <c r="C45" s="1106"/>
      <c r="D45" s="1106"/>
      <c r="E45" s="1106"/>
      <c r="F45" s="1106"/>
      <c r="G45" s="1183"/>
      <c r="H45" s="1106"/>
      <c r="I45" s="1106"/>
      <c r="J45" s="1106"/>
      <c r="K45" s="1184"/>
    </row>
    <row r="46" spans="1:12" x14ac:dyDescent="0.35">
      <c r="C46" s="937"/>
      <c r="D46" s="1013"/>
      <c r="E46" s="1013"/>
      <c r="F46" s="1013"/>
      <c r="G46" s="1013"/>
      <c r="H46" s="1013"/>
      <c r="I46" s="1013"/>
      <c r="J46" s="1013"/>
      <c r="K46" s="1170"/>
    </row>
    <row r="47" spans="1:12" x14ac:dyDescent="0.35">
      <c r="A47" s="135" t="s">
        <v>257</v>
      </c>
      <c r="C47" s="1206">
        <f>IF('7.2.3 Turnover Service &amp; Body'!C15=0,0,'7.2.3 Turnover Service &amp; Body'!C15)</f>
        <v>0.33887444875990019</v>
      </c>
      <c r="D47" s="1190"/>
      <c r="E47" s="1190">
        <f>'7.2.3 Turnover Service &amp; Body'!E15</f>
        <v>0.6</v>
      </c>
      <c r="F47" s="1190"/>
      <c r="G47" s="1190">
        <f>'7.2.3 Turnover Service &amp; Body'!G15</f>
        <v>0.6</v>
      </c>
      <c r="H47" s="1190"/>
      <c r="I47" s="1190">
        <f>'7.2.3 Turnover Service &amp; Body'!I15</f>
        <v>0.6</v>
      </c>
      <c r="J47" s="1190"/>
      <c r="K47" s="1191">
        <f>'7.2.3 Turnover Service &amp; Body'!K15</f>
        <v>0.6</v>
      </c>
    </row>
    <row r="48" spans="1:12" x14ac:dyDescent="0.35">
      <c r="C48" s="1206"/>
      <c r="D48" s="1190"/>
      <c r="E48" s="1190"/>
      <c r="F48" s="1190"/>
      <c r="G48" s="1190"/>
      <c r="H48" s="1190"/>
      <c r="I48" s="1190"/>
      <c r="J48" s="1190"/>
      <c r="K48" s="1191"/>
    </row>
    <row r="49" spans="1:11" x14ac:dyDescent="0.35">
      <c r="A49" s="135" t="s">
        <v>258</v>
      </c>
      <c r="C49" s="1206">
        <f>'7.2.2 Turnover Parts'!C15</f>
        <v>0.27240591216781379</v>
      </c>
      <c r="D49" s="1190"/>
      <c r="E49" s="1190">
        <f>'7.2.2 Turnover Parts'!E15</f>
        <v>0.5</v>
      </c>
      <c r="F49" s="1190"/>
      <c r="G49" s="1190">
        <f>'7.2.2 Turnover Parts'!G15</f>
        <v>0.5</v>
      </c>
      <c r="H49" s="1190"/>
      <c r="I49" s="1190">
        <f>'7.2.2 Turnover Parts'!I15</f>
        <v>0.5</v>
      </c>
      <c r="J49" s="1190"/>
      <c r="K49" s="1191">
        <f>'7.2.2 Turnover Parts'!K15</f>
        <v>0.5</v>
      </c>
    </row>
    <row r="50" spans="1:11" x14ac:dyDescent="0.35">
      <c r="C50" s="1206"/>
      <c r="D50" s="1190"/>
      <c r="E50" s="1190"/>
      <c r="F50" s="1190"/>
      <c r="G50" s="1190"/>
      <c r="H50" s="1190"/>
      <c r="I50" s="1190"/>
      <c r="J50" s="1190"/>
      <c r="K50" s="1191"/>
    </row>
    <row r="51" spans="1:11" x14ac:dyDescent="0.35">
      <c r="A51" s="135" t="s">
        <v>354</v>
      </c>
      <c r="C51" s="1206">
        <f>'7.2.3 Turnover Service &amp; Body'!C60</f>
        <v>0.39</v>
      </c>
      <c r="D51" s="1190"/>
      <c r="E51" s="1190">
        <f>'7.2.3 Turnover Service &amp; Body'!E60</f>
        <v>0.44999999999999996</v>
      </c>
      <c r="F51" s="1190"/>
      <c r="G51" s="1190">
        <f>'7.2.3 Turnover Service &amp; Body'!G60</f>
        <v>0.44999999999999996</v>
      </c>
      <c r="H51" s="1190"/>
      <c r="I51" s="1190">
        <f>'7.2.3 Turnover Service &amp; Body'!I60</f>
        <v>0.44999999999999996</v>
      </c>
      <c r="J51" s="1190"/>
      <c r="K51" s="1191">
        <f>'7.2.3 Turnover Service &amp; Body'!K60</f>
        <v>0.44999999999999996</v>
      </c>
    </row>
    <row r="52" spans="1:11" x14ac:dyDescent="0.35">
      <c r="C52" s="948"/>
      <c r="D52" s="1200"/>
      <c r="E52" s="1200"/>
      <c r="F52" s="1200"/>
      <c r="G52" s="1200"/>
      <c r="H52" s="1200"/>
      <c r="I52" s="1200"/>
      <c r="J52" s="1200"/>
      <c r="K52" s="1201"/>
    </row>
    <row r="53" spans="1:11" x14ac:dyDescent="0.35">
      <c r="A53" s="148"/>
      <c r="B53" s="148"/>
      <c r="C53" s="271"/>
      <c r="D53" s="271"/>
      <c r="E53" s="271"/>
      <c r="F53" s="271"/>
      <c r="G53" s="271"/>
      <c r="H53" s="271"/>
      <c r="I53" s="271"/>
      <c r="J53" s="271"/>
      <c r="K53" s="271"/>
    </row>
    <row r="54" spans="1:11" x14ac:dyDescent="0.35">
      <c r="A54" s="146"/>
      <c r="B54" s="146"/>
      <c r="C54" s="733"/>
      <c r="D54" s="733"/>
      <c r="E54" s="733"/>
      <c r="F54" s="733"/>
      <c r="G54" s="733"/>
      <c r="H54" s="733"/>
      <c r="I54" s="733"/>
      <c r="J54" s="733"/>
      <c r="K54" s="733"/>
    </row>
    <row r="55" spans="1:11" ht="22.2" x14ac:dyDescent="0.45">
      <c r="A55" s="1182" t="s">
        <v>351</v>
      </c>
      <c r="B55" s="1164"/>
      <c r="C55" s="1106"/>
      <c r="D55" s="1106"/>
      <c r="E55" s="1106"/>
      <c r="F55" s="1106"/>
      <c r="G55" s="1183"/>
      <c r="H55" s="1106"/>
      <c r="I55" s="1106"/>
      <c r="J55" s="1106"/>
      <c r="K55" s="1184"/>
    </row>
    <row r="56" spans="1:11" x14ac:dyDescent="0.35">
      <c r="A56" s="147"/>
      <c r="B56" s="148"/>
      <c r="C56" s="937"/>
      <c r="D56" s="1013"/>
      <c r="E56" s="1013"/>
      <c r="F56" s="1013"/>
      <c r="G56" s="1013"/>
      <c r="H56" s="1013"/>
      <c r="I56" s="1013"/>
      <c r="J56" s="1013"/>
      <c r="K56" s="1170"/>
    </row>
    <row r="57" spans="1:11" x14ac:dyDescent="0.35">
      <c r="A57" s="263" t="s">
        <v>455</v>
      </c>
      <c r="B57" s="164"/>
      <c r="C57" s="952">
        <f>'7.6.1 Activity contribution'!I32</f>
        <v>297805.84692378226</v>
      </c>
      <c r="D57" s="1155"/>
      <c r="E57" s="970">
        <f ca="1">'7.6.1 Activity contribution'!I109</f>
        <v>746498.56907085516</v>
      </c>
      <c r="F57" s="1155"/>
      <c r="G57" s="970">
        <f ca="1">'7.6.1 Activity contribution'!I186</f>
        <v>1216772.2830297835</v>
      </c>
      <c r="H57" s="1155"/>
      <c r="I57" s="970">
        <f ca="1">'7.6.1 Activity contribution'!I263</f>
        <v>1558895.7310359925</v>
      </c>
      <c r="J57" s="1155"/>
      <c r="K57" s="969">
        <f ca="1">'7.6.1 Activity contribution'!I340</f>
        <v>1903981.8628961761</v>
      </c>
    </row>
    <row r="58" spans="1:11" x14ac:dyDescent="0.35">
      <c r="A58" s="135" t="s">
        <v>456</v>
      </c>
      <c r="C58" s="945">
        <f>'7.6.1 Activity contribution'!B32+'7.6.1 Activity contribution'!C32+'7.6.1 Activity contribution'!D32</f>
        <v>227808.84000000008</v>
      </c>
      <c r="D58" s="1015"/>
      <c r="E58" s="1180">
        <f>'7.6.1 Activity contribution'!B109+'7.6.1 Activity contribution'!C109+'7.6.1 Activity contribution'!D109</f>
        <v>573810.70500000007</v>
      </c>
      <c r="F58" s="1015"/>
      <c r="G58" s="1180">
        <f>'7.6.1 Activity contribution'!B186+'7.6.1 Activity contribution'!C186+'7.6.1 Activity contribution'!D186</f>
        <v>982988.38499999978</v>
      </c>
      <c r="H58" s="1015"/>
      <c r="I58" s="1180">
        <f>'7.6.1 Activity contribution'!B263+'7.6.1 Activity contribution'!C263+'7.6.1 Activity contribution'!D263</f>
        <v>1235440.1466000006</v>
      </c>
      <c r="J58" s="1015"/>
      <c r="K58" s="981">
        <f>'7.6.1 Activity contribution'!B340+'7.6.1 Activity contribution'!C340+'7.6.1 Activity contribution'!D340</f>
        <v>1476126.9405000005</v>
      </c>
    </row>
    <row r="59" spans="1:11" x14ac:dyDescent="0.35">
      <c r="A59" s="135" t="s">
        <v>259</v>
      </c>
      <c r="C59" s="945">
        <f>IF('7.2.3 Turnover Service &amp; Body'!C61=0,0,('7.2.2 Turnover Parts'!C28+'7.2.3 Turnover Service &amp; Body'!C39+'7.2.3 Turnover Service &amp; Body'!C40)-('7.3 Cost of sales'!C78+'7.3 Cost of sales'!C79)-(('7.4.1 Salaries &amp; Wages'!C78/'7.2.3 Turnover Service &amp; Body'!C61)*'7.2.3 Turnover Service &amp; Body'!C26))</f>
        <v>29</v>
      </c>
      <c r="D59" s="1015"/>
      <c r="E59" s="1180">
        <f>IF('7.2.3 Turnover Service &amp; Body'!E61=0,0,('7.2.2 Turnover Parts'!E28+'7.2.3 Turnover Service &amp; Body'!E39+'7.2.3 Turnover Service &amp; Body'!E40)-('7.3 Cost of sales'!E78+'7.3 Cost of sales'!E79)-(('7.4.1 Salaries &amp; Wages'!E78/'7.2.3 Turnover Service &amp; Body'!E61)*'7.2.3 Turnover Service &amp; Body'!E26))</f>
        <v>73</v>
      </c>
      <c r="F59" s="1015"/>
      <c r="G59" s="1180">
        <f>IF('7.2.3 Turnover Service &amp; Body'!G61=0,0,('7.2.2 Turnover Parts'!G28+'7.2.3 Turnover Service &amp; Body'!G39+'7.2.3 Turnover Service &amp; Body'!G40)-('7.3 Cost of sales'!G78+'7.3 Cost of sales'!G79)-(('7.4.1 Salaries &amp; Wages'!G78/'7.2.3 Turnover Service &amp; Body'!G61)*'7.2.3 Turnover Service &amp; Body'!G26))</f>
        <v>125</v>
      </c>
      <c r="H59" s="1015"/>
      <c r="I59" s="1180">
        <f>IF('7.2.3 Turnover Service &amp; Body'!I61=0,0,('7.2.2 Turnover Parts'!I28+'7.2.3 Turnover Service &amp; Body'!I39+'7.2.3 Turnover Service &amp; Body'!I40)-('7.3 Cost of sales'!I78+'7.3 Cost of sales'!I79)-(('7.4.1 Salaries &amp; Wages'!I78/'7.2.3 Turnover Service &amp; Body'!I61)*'7.2.3 Turnover Service &amp; Body'!I26))</f>
        <v>154</v>
      </c>
      <c r="J59" s="1015"/>
      <c r="K59" s="1197">
        <f>IF('7.2.3 Turnover Service &amp; Body'!K61=0,0,('7.2.2 Turnover Parts'!K28+'7.2.3 Turnover Service &amp; Body'!K39+'7.2.3 Turnover Service &amp; Body'!K40)-('7.3 Cost of sales'!K78+'7.3 Cost of sales'!K79)-(('7.4.1 Salaries &amp; Wages'!K78/'7.2.3 Turnover Service &amp; Body'!K61)*'7.2.3 Turnover Service &amp; Body'!K26))</f>
        <v>184</v>
      </c>
    </row>
    <row r="60" spans="1:11" x14ac:dyDescent="0.35">
      <c r="A60" s="263" t="s">
        <v>355</v>
      </c>
      <c r="B60" s="164"/>
      <c r="C60" s="1198">
        <f>C57-C58-C59</f>
        <v>69968.006923782174</v>
      </c>
      <c r="D60" s="1155"/>
      <c r="E60" s="1198">
        <f ca="1">E57-E58-E59</f>
        <v>172614.86407085508</v>
      </c>
      <c r="F60" s="1155"/>
      <c r="G60" s="1198">
        <f ca="1">G57-G58-G59</f>
        <v>233658.89802978374</v>
      </c>
      <c r="H60" s="1155"/>
      <c r="I60" s="1198">
        <f ca="1">I57-I58-I59</f>
        <v>323301.58443599194</v>
      </c>
      <c r="J60" s="1155"/>
      <c r="K60" s="1198">
        <f ca="1">K57-K58-K59</f>
        <v>427670.92239617556</v>
      </c>
    </row>
    <row r="61" spans="1:11" x14ac:dyDescent="0.35">
      <c r="C61" s="945"/>
      <c r="D61" s="1015"/>
      <c r="E61" s="1180"/>
      <c r="F61" s="1015"/>
      <c r="G61" s="1180"/>
      <c r="H61" s="1015"/>
      <c r="I61" s="1180"/>
      <c r="J61" s="1015"/>
      <c r="K61" s="981"/>
    </row>
    <row r="62" spans="1:11" x14ac:dyDescent="0.35">
      <c r="A62" s="263" t="s">
        <v>664</v>
      </c>
      <c r="C62" s="945">
        <f>'7.6.1 Activity contribution'!I35</f>
        <v>62455.212500000001</v>
      </c>
      <c r="D62" s="1015"/>
      <c r="E62" s="1180">
        <f>'7.6.1 Activity contribution'!I112</f>
        <v>86180.362500000003</v>
      </c>
      <c r="F62" s="1015"/>
      <c r="G62" s="1180">
        <f>'7.6.1 Activity contribution'!I189</f>
        <v>129582.8125</v>
      </c>
      <c r="H62" s="1015"/>
      <c r="I62" s="1180">
        <f>'7.6.1 Activity contribution'!I266</f>
        <v>160038.02499999999</v>
      </c>
      <c r="J62" s="1015"/>
      <c r="K62" s="981">
        <f>'7.6.1 Activity contribution'!I343</f>
        <v>192577.9</v>
      </c>
    </row>
    <row r="63" spans="1:11" x14ac:dyDescent="0.35">
      <c r="C63" s="945"/>
      <c r="D63" s="1015"/>
      <c r="E63" s="1180"/>
      <c r="F63" s="1015"/>
      <c r="G63" s="1180"/>
      <c r="H63" s="1015"/>
      <c r="I63" s="1180"/>
      <c r="J63" s="1015"/>
      <c r="K63" s="981"/>
    </row>
    <row r="64" spans="1:11" x14ac:dyDescent="0.35">
      <c r="A64" s="135" t="s">
        <v>209</v>
      </c>
      <c r="C64" s="945">
        <f>'7.6.1 Activity contribution'!H37</f>
        <v>111972.01749989702</v>
      </c>
      <c r="D64" s="1015"/>
      <c r="E64" s="1180">
        <f>'7.6.1 Activity contribution'!H114</f>
        <v>176589.27694993804</v>
      </c>
      <c r="F64" s="1015"/>
      <c r="G64" s="1180">
        <f>'7.6.1 Activity contribution'!H191</f>
        <v>201298.52148296166</v>
      </c>
      <c r="H64" s="1015"/>
      <c r="I64" s="1180">
        <f>'7.6.1 Activity contribution'!H268</f>
        <v>221834.11132162763</v>
      </c>
      <c r="J64" s="1015"/>
      <c r="K64" s="981">
        <f>'7.6.1 Activity contribution'!H345</f>
        <v>235144.15800093094</v>
      </c>
    </row>
    <row r="65" spans="1:11" x14ac:dyDescent="0.35">
      <c r="A65" s="135" t="s">
        <v>658</v>
      </c>
      <c r="C65" s="945">
        <f>'7.6.1 Activity contribution'!H58</f>
        <v>161150</v>
      </c>
      <c r="D65" s="1015"/>
      <c r="E65" s="1180">
        <f>'7.6.1 Activity contribution'!H135</f>
        <v>335176</v>
      </c>
      <c r="F65" s="1015"/>
      <c r="G65" s="1180">
        <f>'7.6.1 Activity contribution'!H212</f>
        <v>373251</v>
      </c>
      <c r="H65" s="1015"/>
      <c r="I65" s="1180">
        <f>'7.6.1 Activity contribution'!H289</f>
        <v>408828.5</v>
      </c>
      <c r="J65" s="1015"/>
      <c r="K65" s="981">
        <f>'7.6.1 Activity contribution'!H366</f>
        <v>445264.45</v>
      </c>
    </row>
    <row r="66" spans="1:11" x14ac:dyDescent="0.35">
      <c r="A66" s="135" t="s">
        <v>795</v>
      </c>
      <c r="C66" s="945">
        <f>'7.6.1 Activity contribution'!H60</f>
        <v>52815</v>
      </c>
      <c r="D66" s="1015"/>
      <c r="E66" s="1180">
        <f>'7.6.1 Activity contribution'!H137</f>
        <v>114486.00000000001</v>
      </c>
      <c r="F66" s="1015"/>
      <c r="G66" s="1180">
        <f>'7.6.1 Activity contribution'!H214</f>
        <v>103733.33333333334</v>
      </c>
      <c r="H66" s="1015"/>
      <c r="I66" s="1180">
        <f>'7.6.1 Activity contribution'!H291</f>
        <v>90400</v>
      </c>
      <c r="J66" s="1015"/>
      <c r="K66" s="981">
        <f>'7.6.1 Activity contribution'!H368</f>
        <v>50400</v>
      </c>
    </row>
    <row r="67" spans="1:11" x14ac:dyDescent="0.35">
      <c r="A67" s="263" t="s">
        <v>260</v>
      </c>
      <c r="B67" s="164"/>
      <c r="C67" s="952">
        <f>SUM(C62:C66)</f>
        <v>388392.22999989701</v>
      </c>
      <c r="D67" s="1155"/>
      <c r="E67" s="970">
        <f>SUM(E62:E66)</f>
        <v>712431.63944993797</v>
      </c>
      <c r="F67" s="1155"/>
      <c r="G67" s="970">
        <f>SUM(G62:G66)</f>
        <v>807865.66731629509</v>
      </c>
      <c r="H67" s="1155"/>
      <c r="I67" s="970">
        <f>SUM(I62:I66)</f>
        <v>881100.63632162765</v>
      </c>
      <c r="J67" s="1155"/>
      <c r="K67" s="969">
        <f>SUM(K62:K66)</f>
        <v>923386.508000931</v>
      </c>
    </row>
    <row r="68" spans="1:11" x14ac:dyDescent="0.35">
      <c r="C68" s="941"/>
      <c r="D68" s="1015"/>
      <c r="E68" s="1015"/>
      <c r="F68" s="1015"/>
      <c r="G68" s="1015"/>
      <c r="H68" s="1015"/>
      <c r="I68" s="1015"/>
      <c r="J68" s="1015"/>
      <c r="K68" s="1174"/>
    </row>
    <row r="69" spans="1:11" x14ac:dyDescent="0.35">
      <c r="A69" s="263" t="s">
        <v>808</v>
      </c>
      <c r="B69" s="164"/>
      <c r="C69" s="1198">
        <f>C67-C62</f>
        <v>325937.01749989699</v>
      </c>
      <c r="D69" s="1155"/>
      <c r="E69" s="1198">
        <f>E67-E62</f>
        <v>626251.27694993792</v>
      </c>
      <c r="F69" s="1155"/>
      <c r="G69" s="1198">
        <f>G67-G62</f>
        <v>678282.85481629509</v>
      </c>
      <c r="H69" s="1155"/>
      <c r="I69" s="1198">
        <f>I67-I62</f>
        <v>721062.61132162763</v>
      </c>
      <c r="J69" s="1155"/>
      <c r="K69" s="1198">
        <f>K67-K62</f>
        <v>730808.60800093098</v>
      </c>
    </row>
    <row r="70" spans="1:11" x14ac:dyDescent="0.35">
      <c r="A70" s="263"/>
      <c r="B70" s="164"/>
      <c r="C70" s="952"/>
      <c r="D70" s="1155"/>
      <c r="E70" s="970"/>
      <c r="F70" s="1155"/>
      <c r="G70" s="970"/>
      <c r="H70" s="1155"/>
      <c r="I70" s="970"/>
      <c r="J70" s="1155"/>
      <c r="K70" s="969"/>
    </row>
    <row r="71" spans="1:11" x14ac:dyDescent="0.35">
      <c r="A71" s="263" t="s">
        <v>457</v>
      </c>
      <c r="B71" s="164"/>
      <c r="C71" s="952">
        <f>'7.6.1 Activity contribution'!B69+'7.6.1 Activity contribution'!C69+'7.6.1 Activity contribution'!D69</f>
        <v>13572.026333333331</v>
      </c>
      <c r="D71" s="1155"/>
      <c r="E71" s="970">
        <f>'7.6.1 Activity contribution'!B146+'7.6.1 Activity contribution'!C146+'7.6.1 Activity contribution'!D146</f>
        <v>34148.548291666666</v>
      </c>
      <c r="F71" s="1155"/>
      <c r="G71" s="970">
        <f>'7.6.1 Activity contribution'!B223+'7.6.1 Activity contribution'!C223+'7.6.1 Activity contribution'!D223</f>
        <v>58454.800958333333</v>
      </c>
      <c r="H71" s="1155"/>
      <c r="I71" s="970">
        <f ca="1">'7.6.1 Activity contribution'!B300+'7.6.1 Activity contribution'!C300+'7.6.1 Activity contribution'!D300</f>
        <v>73449.105611666673</v>
      </c>
      <c r="J71" s="1155"/>
      <c r="K71" s="969">
        <f>'7.6.1 Activity contribution'!B377+'7.6.1 Activity contribution'!C377+'7.6.1 Activity contribution'!D377</f>
        <v>87756.657579166655</v>
      </c>
    </row>
    <row r="72" spans="1:11" x14ac:dyDescent="0.35">
      <c r="A72" s="263"/>
      <c r="B72" s="164"/>
      <c r="C72" s="952"/>
      <c r="D72" s="1155"/>
      <c r="E72" s="970"/>
      <c r="F72" s="1155"/>
      <c r="G72" s="970"/>
      <c r="H72" s="1155"/>
      <c r="I72" s="970"/>
      <c r="J72" s="1155"/>
      <c r="K72" s="969"/>
    </row>
    <row r="73" spans="1:11" ht="16.2" x14ac:dyDescent="0.35">
      <c r="A73" s="263" t="s">
        <v>1222</v>
      </c>
      <c r="B73" s="139"/>
      <c r="C73" s="1209">
        <f>IF(C69=0,0,C60/C69)</f>
        <v>0.21466726136378261</v>
      </c>
      <c r="D73" s="1199"/>
      <c r="E73" s="1199">
        <f t="shared" ref="E73:K73" ca="1" si="0">IF(E69=0,0,E60/E69)</f>
        <v>0.27563195545332803</v>
      </c>
      <c r="F73" s="1199"/>
      <c r="G73" s="1199">
        <f t="shared" ca="1" si="0"/>
        <v>0.34448592702976033</v>
      </c>
      <c r="H73" s="1199"/>
      <c r="I73" s="1199">
        <f t="shared" ca="1" si="0"/>
        <v>0.44836825451733808</v>
      </c>
      <c r="J73" s="1199"/>
      <c r="K73" s="1589">
        <f t="shared" ca="1" si="0"/>
        <v>0.58520236039095852</v>
      </c>
    </row>
    <row r="74" spans="1:11" ht="16.2" x14ac:dyDescent="0.35">
      <c r="A74" s="263" t="s">
        <v>1223</v>
      </c>
      <c r="B74" s="139"/>
      <c r="C74" s="1209">
        <f>IF((C69+C71)=0,0,C60/(C69+C71))</f>
        <v>0.20608584128955057</v>
      </c>
      <c r="D74" s="1199"/>
      <c r="E74" s="1199">
        <f ca="1">IF((E69+E71)=0,0,E60/(E69+E71))</f>
        <v>0.26137933032872113</v>
      </c>
      <c r="F74" s="1199"/>
      <c r="G74" s="1199">
        <f ca="1">IF((G69+G71)=0,0,G60/(G69+G71))</f>
        <v>0.3171534618847569</v>
      </c>
      <c r="H74" s="1199"/>
      <c r="I74" s="1199">
        <f ca="1">IF((I69+I71)=0,0,I60/(I69+I71))</f>
        <v>0.40691858602651132</v>
      </c>
      <c r="J74" s="1199"/>
      <c r="K74" s="1589">
        <f ca="1">IF((K69+K71)=0,0,K60/(K69+K71))</f>
        <v>0.5224640482308951</v>
      </c>
    </row>
    <row r="75" spans="1:11" x14ac:dyDescent="0.35">
      <c r="A75" s="145"/>
      <c r="B75" s="146"/>
      <c r="C75" s="949"/>
      <c r="D75" s="1200"/>
      <c r="E75" s="1200"/>
      <c r="F75" s="1200"/>
      <c r="G75" s="1200"/>
      <c r="H75" s="1200"/>
      <c r="I75" s="1200"/>
      <c r="J75" s="1200"/>
      <c r="K75" s="1201"/>
    </row>
  </sheetData>
  <sheetProtection password="813F" sheet="1" objects="1" scenarios="1" selectLockedCells="1"/>
  <customSheetViews>
    <customSheetView guid="{51165254-F18A-4CD1-9981-8F2DE14CC76C}" scale="90" showGridLines="0" fitToPage="1" hiddenRows="1" hiddenColumns="1" showRuler="0">
      <pane ySplit="6" topLeftCell="A46" activePane="bottomLeft" state="frozen"/>
      <selection pane="bottomLeft" activeCell="K75" sqref="K75"/>
      <pageMargins left="0.78740157480314965" right="0.78740157480314965" top="0.98425196850393704" bottom="0.98425196850393704" header="0.51181102362204722" footer="0.51181102362204722"/>
      <printOptions horizontalCentered="1" verticalCentered="1"/>
      <pageSetup paperSize="9" scale="52"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49"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3">
    <tabColor indexed="22"/>
    <pageSetUpPr fitToPage="1"/>
  </sheetPr>
  <dimension ref="A1:L60"/>
  <sheetViews>
    <sheetView showGridLines="0" zoomScaleNormal="90" workbookViewId="0">
      <pane ySplit="5" topLeftCell="A23" activePane="bottomLeft" state="frozen"/>
      <selection activeCell="C21" sqref="C21"/>
      <selection pane="bottomLeft" activeCell="K37" sqref="K37"/>
    </sheetView>
  </sheetViews>
  <sheetFormatPr baseColWidth="10" defaultColWidth="0" defaultRowHeight="14.4" zeroHeight="1" x14ac:dyDescent="0.35"/>
  <cols>
    <col min="1" max="1" width="21.44140625" style="441" customWidth="1"/>
    <col min="2" max="2" width="44.44140625" style="441" customWidth="1"/>
    <col min="3" max="3" width="17.6640625" style="441" customWidth="1"/>
    <col min="4" max="4" width="8.44140625" style="441" customWidth="1"/>
    <col min="5" max="5" width="17.6640625" style="441" customWidth="1"/>
    <col min="6" max="6" width="7.44140625" style="441" customWidth="1"/>
    <col min="7" max="7" width="17.6640625" style="441" customWidth="1"/>
    <col min="8" max="8" width="8.6640625" style="441" customWidth="1"/>
    <col min="9" max="9" width="17.6640625" style="441" customWidth="1"/>
    <col min="10" max="10" width="10.44140625" style="441" customWidth="1"/>
    <col min="11" max="11" width="17.6640625" style="441" customWidth="1"/>
    <col min="12" max="12" width="2.109375" style="441" customWidth="1"/>
    <col min="13" max="16384" width="9.109375" style="441" hidden="1"/>
  </cols>
  <sheetData>
    <row r="1" spans="1:11" ht="28.8" x14ac:dyDescent="0.55000000000000004">
      <c r="A1" s="1108" t="s">
        <v>1173</v>
      </c>
      <c r="B1" s="1109"/>
      <c r="C1" s="1109"/>
      <c r="D1" s="1109"/>
      <c r="E1" s="1109"/>
      <c r="F1" s="1109"/>
      <c r="G1" s="1109"/>
      <c r="H1" s="1109"/>
      <c r="I1" s="1109"/>
      <c r="J1" s="1109"/>
      <c r="K1" s="1110" t="s">
        <v>941</v>
      </c>
    </row>
    <row r="2" spans="1:11" x14ac:dyDescent="0.35">
      <c r="A2" s="442"/>
      <c r="B2" s="443"/>
      <c r="C2" s="443"/>
      <c r="D2" s="443"/>
      <c r="E2" s="444"/>
      <c r="F2" s="443"/>
      <c r="G2" s="443"/>
      <c r="H2" s="443"/>
      <c r="I2" s="443"/>
      <c r="J2" s="443"/>
      <c r="K2" s="445"/>
    </row>
    <row r="3" spans="1:11" ht="16.2" x14ac:dyDescent="0.35">
      <c r="A3" s="447" t="s">
        <v>1035</v>
      </c>
      <c r="B3" s="1335" t="str">
        <f>'Reference sheet'!C12</f>
        <v>TRUCK INTERNATIONAL MOBILITY SA</v>
      </c>
      <c r="C3" s="449"/>
      <c r="D3" s="443"/>
      <c r="E3" s="450" t="s">
        <v>1036</v>
      </c>
      <c r="F3" s="451">
        <f>'Reference sheet'!C15</f>
        <v>2</v>
      </c>
      <c r="G3" s="452" t="s">
        <v>1037</v>
      </c>
      <c r="H3" s="453" t="str">
        <f>'Reference sheet'!C17</f>
        <v>October</v>
      </c>
      <c r="I3" s="454"/>
      <c r="J3" s="454" t="s">
        <v>1175</v>
      </c>
      <c r="K3" s="455" t="str">
        <f>'Reference sheet'!C21</f>
        <v>EUR</v>
      </c>
    </row>
    <row r="4" spans="1:11" x14ac:dyDescent="0.35">
      <c r="A4" s="442"/>
      <c r="B4" s="456"/>
      <c r="C4" s="1638" t="s">
        <v>116</v>
      </c>
      <c r="D4" s="1638"/>
      <c r="E4" s="443"/>
      <c r="F4" s="443"/>
      <c r="G4" s="457"/>
      <c r="H4" s="443"/>
      <c r="I4" s="443"/>
      <c r="J4" s="443"/>
      <c r="K4" s="458"/>
    </row>
    <row r="5" spans="1:11" x14ac:dyDescent="0.35">
      <c r="A5" s="442"/>
      <c r="B5" s="456"/>
      <c r="C5" s="1639">
        <f>+'7.1 Dealer area'!C5</f>
        <v>2019</v>
      </c>
      <c r="D5" s="463"/>
      <c r="E5" s="1112">
        <f>+'7.1 Dealer area'!E5</f>
        <v>2020</v>
      </c>
      <c r="F5" s="462"/>
      <c r="G5" s="1112">
        <f>+'7.1 Dealer area'!G5</f>
        <v>2021</v>
      </c>
      <c r="H5" s="463"/>
      <c r="I5" s="1112">
        <f>+'7.1 Dealer area'!I5</f>
        <v>2022</v>
      </c>
      <c r="J5" s="463"/>
      <c r="K5" s="1112">
        <f>+'7.1 Dealer area'!K5</f>
        <v>2023</v>
      </c>
    </row>
    <row r="6" spans="1:11" s="1643" customFormat="1" ht="18" x14ac:dyDescent="0.35">
      <c r="A6" s="1058" t="s">
        <v>820</v>
      </c>
      <c r="B6" s="1300"/>
      <c r="C6" s="1640"/>
      <c r="D6" s="1065"/>
      <c r="E6" s="1641"/>
      <c r="F6" s="1641"/>
      <c r="G6" s="1641"/>
      <c r="H6" s="1641"/>
      <c r="I6" s="1641"/>
      <c r="J6" s="1641"/>
      <c r="K6" s="1642"/>
    </row>
    <row r="7" spans="1:11" x14ac:dyDescent="0.35">
      <c r="A7" s="442"/>
      <c r="B7" s="467"/>
      <c r="C7" s="1644"/>
      <c r="D7" s="128"/>
      <c r="E7" s="1645"/>
      <c r="F7" s="1645"/>
      <c r="G7" s="1645"/>
      <c r="H7" s="1645"/>
      <c r="I7" s="1645"/>
      <c r="J7" s="1645"/>
      <c r="K7" s="1646"/>
    </row>
    <row r="8" spans="1:11" x14ac:dyDescent="0.35">
      <c r="A8" s="490" t="s">
        <v>622</v>
      </c>
      <c r="B8" s="467"/>
      <c r="C8" s="1644"/>
      <c r="D8" s="128"/>
      <c r="E8" s="128"/>
      <c r="F8" s="128"/>
      <c r="G8" s="128"/>
      <c r="H8" s="128"/>
      <c r="I8" s="128"/>
      <c r="J8" s="128"/>
      <c r="K8" s="129"/>
    </row>
    <row r="9" spans="1:11" x14ac:dyDescent="0.35">
      <c r="A9" s="442" t="s">
        <v>459</v>
      </c>
      <c r="B9" s="467"/>
      <c r="C9" s="1647">
        <f ca="1">'7.7 P&amp;L'!C42</f>
        <v>-107521.75880994098</v>
      </c>
      <c r="D9" s="128"/>
      <c r="E9" s="1648">
        <f ca="1">'7.7 P&amp;L'!E42</f>
        <v>-33362.626470077521</v>
      </c>
      <c r="F9" s="128"/>
      <c r="G9" s="1648">
        <f ca="1">'7.7 P&amp;L'!G42</f>
        <v>254363.18660152805</v>
      </c>
      <c r="H9" s="128"/>
      <c r="I9" s="1648">
        <f ca="1">'7.7 P&amp;L'!I42</f>
        <v>465406.20309131581</v>
      </c>
      <c r="J9" s="128"/>
      <c r="K9" s="1649">
        <f ca="1">'7.7 P&amp;L'!K42</f>
        <v>717586.23303064296</v>
      </c>
    </row>
    <row r="10" spans="1:11" x14ac:dyDescent="0.35">
      <c r="A10" s="442" t="s">
        <v>261</v>
      </c>
      <c r="B10" s="467"/>
      <c r="C10" s="1647">
        <f>'7.4.3 Inv. &amp; Depr.'!D121+'7.4.3 Inv. &amp; Depr.'!D131</f>
        <v>52815</v>
      </c>
      <c r="D10" s="128"/>
      <c r="E10" s="1648">
        <f>'7.4.3 Inv. &amp; Depr.'!F121+'7.4.3 Inv. &amp; Depr.'!F131</f>
        <v>114486.00000000001</v>
      </c>
      <c r="F10" s="1648"/>
      <c r="G10" s="1648">
        <f>'7.4.3 Inv. &amp; Depr.'!H121+'7.4.3 Inv. &amp; Depr.'!H131</f>
        <v>103733.33333333334</v>
      </c>
      <c r="H10" s="1648"/>
      <c r="I10" s="1648">
        <f>'7.4.3 Inv. &amp; Depr.'!J121+'7.4.3 Inv. &amp; Depr.'!J131</f>
        <v>90400</v>
      </c>
      <c r="J10" s="1648"/>
      <c r="K10" s="1649">
        <f>'7.4.3 Inv. &amp; Depr.'!L121+'7.4.3 Inv. &amp; Depr.'!L131</f>
        <v>50400</v>
      </c>
    </row>
    <row r="11" spans="1:11" s="1643" customFormat="1" x14ac:dyDescent="0.35">
      <c r="A11" s="490" t="s">
        <v>623</v>
      </c>
      <c r="B11" s="1650"/>
      <c r="C11" s="1651">
        <f ca="1">SUM(C9:C10)</f>
        <v>-54706.758809940977</v>
      </c>
      <c r="D11" s="1534"/>
      <c r="E11" s="1537">
        <f ca="1">SUM(E9:E10)</f>
        <v>81123.373529922494</v>
      </c>
      <c r="F11" s="1534"/>
      <c r="G11" s="1537">
        <f ca="1">SUM(G9:G10)</f>
        <v>358096.5199348614</v>
      </c>
      <c r="H11" s="1534"/>
      <c r="I11" s="1537">
        <f ca="1">SUM(I9:I10)</f>
        <v>555806.20309131581</v>
      </c>
      <c r="J11" s="1534"/>
      <c r="K11" s="1535">
        <f ca="1">SUM(K9:K10)</f>
        <v>767986.23303064296</v>
      </c>
    </row>
    <row r="12" spans="1:11" x14ac:dyDescent="0.35">
      <c r="A12" s="490"/>
      <c r="B12" s="467"/>
      <c r="C12" s="1644"/>
      <c r="D12" s="128"/>
      <c r="E12" s="128"/>
      <c r="F12" s="128"/>
      <c r="G12" s="128"/>
      <c r="H12" s="128"/>
      <c r="I12" s="128"/>
      <c r="J12" s="128"/>
      <c r="K12" s="129"/>
    </row>
    <row r="13" spans="1:11" x14ac:dyDescent="0.35">
      <c r="A13" s="490" t="s">
        <v>930</v>
      </c>
      <c r="B13" s="467"/>
      <c r="C13" s="1647">
        <f>'7.4.3 Inv. &amp; Depr.'!D132-'7.4.3 Inv. &amp; Depr.'!B132</f>
        <v>0</v>
      </c>
      <c r="D13" s="1647"/>
      <c r="E13" s="1648">
        <f>'7.4.3 Inv. &amp; Depr.'!F132-'7.4.3 Inv. &amp; Depr.'!D132</f>
        <v>0</v>
      </c>
      <c r="F13" s="1648"/>
      <c r="G13" s="1648">
        <f>'7.4.3 Inv. &amp; Depr.'!H132-'7.4.3 Inv. &amp; Depr.'!F132</f>
        <v>0</v>
      </c>
      <c r="H13" s="1648"/>
      <c r="I13" s="1648">
        <f>'7.4.3 Inv. &amp; Depr.'!J132-'7.4.3 Inv. &amp; Depr.'!H132</f>
        <v>0</v>
      </c>
      <c r="J13" s="1648"/>
      <c r="K13" s="1649">
        <f>'7.4.3 Inv. &amp; Depr.'!L132-'7.4.3 Inv. &amp; Depr.'!J132</f>
        <v>0</v>
      </c>
    </row>
    <row r="14" spans="1:11" x14ac:dyDescent="0.35">
      <c r="A14" s="490"/>
      <c r="B14" s="467"/>
      <c r="C14" s="1644"/>
      <c r="D14" s="128"/>
      <c r="E14" s="128"/>
      <c r="F14" s="128"/>
      <c r="G14" s="128"/>
      <c r="H14" s="128"/>
      <c r="I14" s="128"/>
      <c r="J14" s="128"/>
      <c r="K14" s="129"/>
    </row>
    <row r="15" spans="1:11" x14ac:dyDescent="0.35">
      <c r="A15" s="492" t="s">
        <v>625</v>
      </c>
      <c r="B15" s="1652"/>
      <c r="C15" s="1644"/>
      <c r="D15" s="128"/>
      <c r="E15" s="128"/>
      <c r="F15" s="128"/>
      <c r="G15" s="128"/>
      <c r="H15" s="128"/>
      <c r="I15" s="128"/>
      <c r="J15" s="128"/>
      <c r="K15" s="129"/>
    </row>
    <row r="16" spans="1:11" x14ac:dyDescent="0.35">
      <c r="A16" s="501" t="s">
        <v>262</v>
      </c>
      <c r="B16" s="1652"/>
      <c r="C16" s="1644"/>
      <c r="D16" s="128"/>
      <c r="E16" s="128"/>
      <c r="F16" s="128"/>
      <c r="G16" s="128"/>
      <c r="H16" s="128"/>
      <c r="I16" s="128"/>
      <c r="J16" s="128"/>
      <c r="K16" s="129"/>
    </row>
    <row r="17" spans="1:11" x14ac:dyDescent="0.35">
      <c r="A17" s="501" t="s">
        <v>460</v>
      </c>
      <c r="B17" s="1652"/>
      <c r="C17" s="1647">
        <f>('7.9.1 Balance Assets'!C38-'7.9.1 Balance Assets'!B38)*-1</f>
        <v>-758524.76328720863</v>
      </c>
      <c r="D17" s="1648"/>
      <c r="E17" s="1648">
        <f ca="1">('7.9.1 Balance Assets'!E38-'7.9.1 Balance Assets'!C38)*-1</f>
        <v>-1143291.6217458365</v>
      </c>
      <c r="F17" s="1648"/>
      <c r="G17" s="1648">
        <f ca="1">('7.9.1 Balance Assets'!G38-'7.9.1 Balance Assets'!E38)*-1</f>
        <v>-1327254.8796122493</v>
      </c>
      <c r="H17" s="1648"/>
      <c r="I17" s="1648">
        <f ca="1">('7.9.1 Balance Assets'!I38-'7.9.1 Balance Assets'!G38)*-1</f>
        <v>-823682.03833470773</v>
      </c>
      <c r="J17" s="1648"/>
      <c r="K17" s="1649">
        <f ca="1">('7.9.1 Balance Assets'!K38-'7.9.1 Balance Assets'!I38)*-1</f>
        <v>-783490.59497044049</v>
      </c>
    </row>
    <row r="18" spans="1:11" x14ac:dyDescent="0.35">
      <c r="A18" s="501" t="s">
        <v>461</v>
      </c>
      <c r="B18" s="1652"/>
      <c r="C18" s="1647">
        <f>('7.9.1 Balance Assets'!C36-'7.9.1 Balance Assets'!B36)*-1</f>
        <v>-600276.01739535702</v>
      </c>
      <c r="D18" s="1648"/>
      <c r="E18" s="1648">
        <f ca="1">('7.9.1 Balance Assets'!E36-'7.9.1 Balance Assets'!C36)*-1</f>
        <v>-967126.23582043371</v>
      </c>
      <c r="F18" s="1648"/>
      <c r="G18" s="1648">
        <f ca="1">('7.9.1 Balance Assets'!G36-'7.9.1 Balance Assets'!E36)*-1</f>
        <v>-1047374.8372957809</v>
      </c>
      <c r="H18" s="1648"/>
      <c r="I18" s="1648">
        <f ca="1">('7.9.1 Balance Assets'!I36-'7.9.1 Balance Assets'!G36)*-1</f>
        <v>-706255.24663312081</v>
      </c>
      <c r="J18" s="1648"/>
      <c r="K18" s="1649">
        <f ca="1">('7.9.1 Balance Assets'!K36-'7.9.1 Balance Assets'!I36)*-1</f>
        <v>-704454.95929815108</v>
      </c>
    </row>
    <row r="19" spans="1:11" x14ac:dyDescent="0.35">
      <c r="A19" s="501" t="s">
        <v>463</v>
      </c>
      <c r="B19" s="1652"/>
      <c r="C19" s="1653">
        <f>('7.9.1 Balance Assets'!C40-'7.9.1 Balance Assets'!B40)*-1</f>
        <v>0</v>
      </c>
      <c r="D19" s="1648"/>
      <c r="E19" s="1539">
        <f ca="1">('7.9.1 Balance Assets'!E40-'7.9.1 Balance Assets'!C40)*-1</f>
        <v>0</v>
      </c>
      <c r="F19" s="128"/>
      <c r="G19" s="1539">
        <f ca="1">('7.9.1 Balance Assets'!G40-'7.9.1 Balance Assets'!E40)*-1</f>
        <v>0</v>
      </c>
      <c r="H19" s="128"/>
      <c r="I19" s="1539">
        <f ca="1">('7.9.1 Balance Assets'!I40-'7.9.1 Balance Assets'!G40)*-1</f>
        <v>0</v>
      </c>
      <c r="J19" s="128"/>
      <c r="K19" s="1538">
        <f ca="1">('7.9.1 Balance Assets'!K40-'7.9.1 Balance Assets'!I40)*-1</f>
        <v>0</v>
      </c>
    </row>
    <row r="20" spans="1:11" x14ac:dyDescent="0.35">
      <c r="A20" s="501" t="s">
        <v>263</v>
      </c>
      <c r="B20" s="1652"/>
      <c r="C20" s="1647">
        <f>SUM(C17:C19)</f>
        <v>-1358800.7806825656</v>
      </c>
      <c r="D20" s="1648"/>
      <c r="E20" s="1648">
        <f ca="1">SUM(E17:E19)</f>
        <v>-2110417.85756627</v>
      </c>
      <c r="F20" s="128"/>
      <c r="G20" s="1648">
        <f ca="1">SUM(G17:G19)</f>
        <v>-2374629.7169080302</v>
      </c>
      <c r="H20" s="128"/>
      <c r="I20" s="1648">
        <f ca="1">SUM(I17:I19)</f>
        <v>-1529937.2849678285</v>
      </c>
      <c r="J20" s="128"/>
      <c r="K20" s="1649">
        <f ca="1">SUM(K17:K19)</f>
        <v>-1487945.5542685916</v>
      </c>
    </row>
    <row r="21" spans="1:11" x14ac:dyDescent="0.35">
      <c r="A21" s="501"/>
      <c r="B21" s="1652"/>
      <c r="C21" s="1647"/>
      <c r="D21" s="1648"/>
      <c r="E21" s="1648"/>
      <c r="F21" s="128"/>
      <c r="G21" s="1648"/>
      <c r="H21" s="128"/>
      <c r="I21" s="1648"/>
      <c r="J21" s="128"/>
      <c r="K21" s="1649"/>
    </row>
    <row r="22" spans="1:11" x14ac:dyDescent="0.35">
      <c r="A22" s="501" t="s">
        <v>264</v>
      </c>
      <c r="B22" s="1652"/>
      <c r="C22" s="1647"/>
      <c r="D22" s="1648"/>
      <c r="E22" s="1648"/>
      <c r="F22" s="128"/>
      <c r="G22" s="1648"/>
      <c r="H22" s="128"/>
      <c r="I22" s="1648"/>
      <c r="J22" s="128"/>
      <c r="K22" s="1649"/>
    </row>
    <row r="23" spans="1:11" x14ac:dyDescent="0.35">
      <c r="A23" s="501" t="s">
        <v>465</v>
      </c>
      <c r="B23" s="1652"/>
      <c r="C23" s="1647">
        <f>'7.9.2 Balance Liabilities'!C44-'7.9.2 Balance Liabilities'!B44</f>
        <v>990419.07660847588</v>
      </c>
      <c r="D23" s="1648"/>
      <c r="E23" s="1648">
        <f ca="1">'7.9.2 Balance Liabilities'!E44-'7.9.2 Balance Liabilities'!C44</f>
        <v>1506329.1628374956</v>
      </c>
      <c r="F23" s="128"/>
      <c r="G23" s="1648">
        <f ca="1">'7.9.2 Balance Liabilities'!G44-'7.9.2 Balance Liabilities'!E44</f>
        <v>1737574.9006086094</v>
      </c>
      <c r="H23" s="128"/>
      <c r="I23" s="1648">
        <f ca="1">'7.9.2 Balance Liabilities'!I44-'7.9.2 Balance Liabilities'!G44</f>
        <v>1094107.0055617178</v>
      </c>
      <c r="J23" s="128"/>
      <c r="K23" s="1649">
        <f ca="1">'7.9.2 Balance Liabilities'!K44-'7.9.2 Balance Liabilities'!I44</f>
        <v>1049261.7800096236</v>
      </c>
    </row>
    <row r="24" spans="1:11" x14ac:dyDescent="0.35">
      <c r="A24" s="501" t="s">
        <v>464</v>
      </c>
      <c r="B24" s="1652"/>
      <c r="C24" s="1653">
        <f>'7.9.2 Balance Liabilities'!C46-'7.9.2 Balance Liabilities'!B46</f>
        <v>478.84840291193905</v>
      </c>
      <c r="D24" s="1648"/>
      <c r="E24" s="1539">
        <f ca="1">'7.9.2 Balance Liabilities'!E46-'7.9.2 Balance Liabilities'!C46</f>
        <v>390.65637939984663</v>
      </c>
      <c r="F24" s="128"/>
      <c r="G24" s="1539">
        <f ca="1">'7.9.2 Balance Liabilities'!G46-'7.9.2 Balance Liabilities'!E46</f>
        <v>8044.0017887149443</v>
      </c>
      <c r="H24" s="128"/>
      <c r="I24" s="1539">
        <f ca="1">'7.9.2 Balance Liabilities'!I46-'7.9.2 Balance Liabilities'!G46</f>
        <v>2903.315693676901</v>
      </c>
      <c r="J24" s="128"/>
      <c r="K24" s="1538">
        <f ca="1">'7.9.2 Balance Liabilities'!K46-'7.9.2 Balance Liabilities'!I46</f>
        <v>2952.4814676947717</v>
      </c>
    </row>
    <row r="25" spans="1:11" x14ac:dyDescent="0.35">
      <c r="A25" s="501" t="s">
        <v>265</v>
      </c>
      <c r="B25" s="1652"/>
      <c r="C25" s="1647">
        <f>SUM(C23:C24)</f>
        <v>990897.92501138779</v>
      </c>
      <c r="D25" s="1648"/>
      <c r="E25" s="1648">
        <f ca="1">SUM(E23:E24)</f>
        <v>1506719.8192168954</v>
      </c>
      <c r="F25" s="128"/>
      <c r="G25" s="1648">
        <f ca="1">SUM(G23:G24)</f>
        <v>1745618.9023973243</v>
      </c>
      <c r="H25" s="128"/>
      <c r="I25" s="1648">
        <f ca="1">SUM(I23:I24)</f>
        <v>1097010.3212553947</v>
      </c>
      <c r="J25" s="128"/>
      <c r="K25" s="1649">
        <f ca="1">SUM(K23:K24)</f>
        <v>1052214.2614773184</v>
      </c>
    </row>
    <row r="26" spans="1:11" x14ac:dyDescent="0.35">
      <c r="A26" s="492"/>
      <c r="B26" s="1652"/>
      <c r="C26" s="1647"/>
      <c r="D26" s="1648"/>
      <c r="E26" s="1648"/>
      <c r="F26" s="128"/>
      <c r="G26" s="1648"/>
      <c r="H26" s="128"/>
      <c r="I26" s="1648"/>
      <c r="J26" s="128"/>
      <c r="K26" s="1649"/>
    </row>
    <row r="27" spans="1:11" s="1643" customFormat="1" x14ac:dyDescent="0.35">
      <c r="A27" s="1654" t="s">
        <v>803</v>
      </c>
      <c r="B27" s="1655"/>
      <c r="C27" s="1656">
        <f>C25+C20</f>
        <v>-367902.85567117785</v>
      </c>
      <c r="D27" s="1657"/>
      <c r="E27" s="1657">
        <f ca="1">E25+E20</f>
        <v>-603698.03834937466</v>
      </c>
      <c r="F27" s="1658"/>
      <c r="G27" s="1657">
        <f ca="1">G25+G20</f>
        <v>-629010.81451070588</v>
      </c>
      <c r="H27" s="1658"/>
      <c r="I27" s="1657">
        <f ca="1">I25+I20</f>
        <v>-432926.96371243382</v>
      </c>
      <c r="J27" s="1658"/>
      <c r="K27" s="1659">
        <f ca="1">K25+K20</f>
        <v>-435731.29279127321</v>
      </c>
    </row>
    <row r="28" spans="1:11" s="1643" customFormat="1" x14ac:dyDescent="0.35">
      <c r="A28" s="1660"/>
      <c r="B28" s="1661"/>
      <c r="C28" s="1662"/>
      <c r="D28" s="1663"/>
      <c r="E28" s="1663"/>
      <c r="F28" s="1664"/>
      <c r="G28" s="1663"/>
      <c r="H28" s="1664"/>
      <c r="I28" s="1663"/>
      <c r="J28" s="1664"/>
      <c r="K28" s="1665"/>
    </row>
    <row r="29" spans="1:11" x14ac:dyDescent="0.35">
      <c r="A29" s="1307"/>
      <c r="B29" s="1299"/>
      <c r="C29" s="1666"/>
      <c r="D29" s="1296"/>
      <c r="E29" s="1296"/>
      <c r="F29" s="1296"/>
      <c r="G29" s="1296"/>
      <c r="H29" s="1296"/>
      <c r="I29" s="1296"/>
      <c r="J29" s="1296"/>
      <c r="K29" s="1299"/>
    </row>
    <row r="30" spans="1:11" s="1643" customFormat="1" x14ac:dyDescent="0.35">
      <c r="A30" s="1308" t="s">
        <v>624</v>
      </c>
      <c r="B30" s="1667"/>
      <c r="C30" s="1651">
        <f ca="1">C11+C13+C27</f>
        <v>-422609.61448111886</v>
      </c>
      <c r="D30" s="1537"/>
      <c r="E30" s="1537">
        <f ca="1">E11+E13+E27</f>
        <v>-522574.66481945215</v>
      </c>
      <c r="F30" s="1534"/>
      <c r="G30" s="1537">
        <f ca="1">G11+G13+G27</f>
        <v>-270914.29457584448</v>
      </c>
      <c r="H30" s="1534"/>
      <c r="I30" s="1537">
        <f ca="1">I11+I13+I27</f>
        <v>122879.23937888199</v>
      </c>
      <c r="J30" s="1534"/>
      <c r="K30" s="1535">
        <f ca="1">K11+K13+K27</f>
        <v>332254.94023936975</v>
      </c>
    </row>
    <row r="31" spans="1:11" x14ac:dyDescent="0.35">
      <c r="A31" s="1668"/>
      <c r="B31" s="132"/>
      <c r="C31" s="1669"/>
      <c r="D31" s="131"/>
      <c r="E31" s="131"/>
      <c r="F31" s="131"/>
      <c r="G31" s="131"/>
      <c r="H31" s="131"/>
      <c r="I31" s="131"/>
      <c r="J31" s="131"/>
      <c r="K31" s="132"/>
    </row>
    <row r="32" spans="1:11" x14ac:dyDescent="0.35">
      <c r="A32" s="460"/>
      <c r="B32" s="443"/>
      <c r="C32" s="1670"/>
      <c r="D32" s="443"/>
      <c r="E32" s="443"/>
      <c r="F32" s="443"/>
      <c r="G32" s="443"/>
      <c r="H32" s="443"/>
      <c r="I32" s="443"/>
      <c r="J32" s="443"/>
      <c r="K32" s="443"/>
    </row>
    <row r="33" spans="1:11" x14ac:dyDescent="0.35">
      <c r="A33" s="460"/>
      <c r="B33" s="443"/>
      <c r="C33" s="1670"/>
      <c r="D33" s="443"/>
      <c r="E33" s="443"/>
      <c r="F33" s="443"/>
      <c r="G33" s="443"/>
      <c r="H33" s="443"/>
      <c r="I33" s="443"/>
      <c r="J33" s="443"/>
      <c r="K33" s="443"/>
    </row>
    <row r="34" spans="1:11" ht="18" x14ac:dyDescent="0.35">
      <c r="A34" s="1058" t="s">
        <v>817</v>
      </c>
      <c r="B34" s="1061"/>
      <c r="C34" s="1671"/>
      <c r="D34" s="1060"/>
      <c r="E34" s="1060"/>
      <c r="F34" s="1060"/>
      <c r="G34" s="1060"/>
      <c r="H34" s="1060"/>
      <c r="I34" s="1060"/>
      <c r="J34" s="1060"/>
      <c r="K34" s="1061"/>
    </row>
    <row r="35" spans="1:11" x14ac:dyDescent="0.35">
      <c r="A35" s="501"/>
      <c r="B35" s="1652"/>
      <c r="C35" s="1644"/>
      <c r="D35" s="128"/>
      <c r="E35" s="128"/>
      <c r="F35" s="128"/>
      <c r="G35" s="128"/>
      <c r="H35" s="128"/>
      <c r="I35" s="128"/>
      <c r="J35" s="128"/>
      <c r="K35" s="1299"/>
    </row>
    <row r="36" spans="1:11" x14ac:dyDescent="0.35">
      <c r="A36" s="501" t="s">
        <v>266</v>
      </c>
      <c r="B36" s="1652"/>
      <c r="C36" s="1647">
        <f>IF('7.5.2 Fin. Income &amp; Expenses '!D18=0,0,'7.9.1 Balance Assets'!C9-'7.9.1 Balance Assets'!B9+'7.4.3 Inv. &amp; Depr.'!D105)</f>
        <v>0</v>
      </c>
      <c r="D36" s="1648"/>
      <c r="E36" s="1648">
        <f>-'7.4.3 Inv. &amp; Depr.'!F105+('7.9.1 Balance Assets'!E9-'7.9.1 Balance Assets'!C9)*-1</f>
        <v>0</v>
      </c>
      <c r="F36" s="1672"/>
      <c r="G36" s="1648">
        <f>-'7.4.3 Inv. &amp; Depr.'!H105+('7.9.1 Balance Assets'!G9-'7.9.1 Balance Assets'!E9)*-1</f>
        <v>0</v>
      </c>
      <c r="H36" s="1672"/>
      <c r="I36" s="1648">
        <f>-'7.4.3 Inv. &amp; Depr.'!J105+('7.9.1 Balance Assets'!I9-'7.9.1 Balance Assets'!G9)*-1</f>
        <v>0</v>
      </c>
      <c r="J36" s="1672"/>
      <c r="K36" s="1649">
        <f>-'7.4.3 Inv. &amp; Depr.'!L105+('7.9.1 Balance Assets'!K9-'7.9.1 Balance Assets'!I9)*-1</f>
        <v>0</v>
      </c>
    </row>
    <row r="37" spans="1:11" x14ac:dyDescent="0.35">
      <c r="A37" s="501" t="s">
        <v>267</v>
      </c>
      <c r="B37" s="1652"/>
      <c r="C37" s="1647">
        <f>-'7.4.3 Inv. &amp; Depr.'!D116+-'7.4.3 Inv. &amp; Depr.'!D131+('7.9.1 Balance Assets'!C20-'7.9.1 Balance Assets'!B20)*-1</f>
        <v>-179129</v>
      </c>
      <c r="D37" s="1648"/>
      <c r="E37" s="1648">
        <f>-'7.4.3 Inv. &amp; Depr.'!F116+-'7.4.3 Inv. &amp; Depr.'!F131+('7.9.1 Balance Assets'!E20-'7.9.1 Balance Assets'!C20)*-1</f>
        <v>-489000</v>
      </c>
      <c r="F37" s="1672"/>
      <c r="G37" s="1648">
        <f>-'7.4.3 Inv. &amp; Depr.'!H116+-'7.4.3 Inv. &amp; Depr.'!H131+('7.9.1 Balance Assets'!G20-'7.9.1 Balance Assets'!E20)*-1</f>
        <v>0</v>
      </c>
      <c r="H37" s="1672"/>
      <c r="I37" s="1648">
        <f>-'7.4.3 Inv. &amp; Depr.'!J116+-'7.4.3 Inv. &amp; Depr.'!J131+('7.9.1 Balance Assets'!I20-'7.9.1 Balance Assets'!G20)*-1</f>
        <v>0</v>
      </c>
      <c r="J37" s="1672"/>
      <c r="K37" s="1649">
        <f>-'7.4.3 Inv. &amp; Depr.'!L116+-'7.4.3 Inv. &amp; Depr.'!L131+('7.9.1 Balance Assets'!K20-'7.9.1 Balance Assets'!I20)*-1</f>
        <v>0</v>
      </c>
    </row>
    <row r="38" spans="1:11" x14ac:dyDescent="0.35">
      <c r="A38" s="501" t="s">
        <v>268</v>
      </c>
      <c r="B38" s="1652"/>
      <c r="C38" s="1653">
        <f>-'7.4.3 Inv. &amp; Depr.'!D118+'7.9.1 Balance Assets'!C22-'7.9.1 Balance Assets'!B22</f>
        <v>0</v>
      </c>
      <c r="D38" s="1648"/>
      <c r="E38" s="1539">
        <f>-'7.4.3 Inv. &amp; Depr.'!F118+'7.9.1 Balance Assets'!E22-'7.9.1 Balance Assets'!C22</f>
        <v>0</v>
      </c>
      <c r="F38" s="1672"/>
      <c r="G38" s="1539">
        <f>-'7.4.3 Inv. &amp; Depr.'!H118+'7.9.1 Balance Assets'!G22-'7.9.1 Balance Assets'!E22</f>
        <v>0</v>
      </c>
      <c r="H38" s="1672"/>
      <c r="I38" s="1539">
        <f>-'7.4.3 Inv. &amp; Depr.'!J118+'7.9.1 Balance Assets'!I22-'7.9.1 Balance Assets'!G22</f>
        <v>0</v>
      </c>
      <c r="J38" s="1672"/>
      <c r="K38" s="1538">
        <f>-'7.4.3 Inv. &amp; Depr.'!L118+'7.9.1 Balance Assets'!K22-'7.9.1 Balance Assets'!I22</f>
        <v>0</v>
      </c>
    </row>
    <row r="39" spans="1:11" x14ac:dyDescent="0.35">
      <c r="A39" s="501"/>
      <c r="B39" s="1652"/>
      <c r="C39" s="1647"/>
      <c r="D39" s="1648"/>
      <c r="E39" s="1648"/>
      <c r="F39" s="1672"/>
      <c r="G39" s="1648"/>
      <c r="H39" s="1672"/>
      <c r="I39" s="1648"/>
      <c r="J39" s="1672"/>
      <c r="K39" s="1649"/>
    </row>
    <row r="40" spans="1:11" s="1643" customFormat="1" x14ac:dyDescent="0.35">
      <c r="A40" s="1654" t="s">
        <v>802</v>
      </c>
      <c r="B40" s="1655"/>
      <c r="C40" s="1656">
        <f>SUM(C36:C38)</f>
        <v>-179129</v>
      </c>
      <c r="D40" s="1657"/>
      <c r="E40" s="1657">
        <f>SUM(E36:E38)</f>
        <v>-489000</v>
      </c>
      <c r="F40" s="1673"/>
      <c r="G40" s="1657">
        <f>SUM(G36:G38)</f>
        <v>0</v>
      </c>
      <c r="H40" s="1673"/>
      <c r="I40" s="1657">
        <f>SUM(I36:I38)</f>
        <v>0</v>
      </c>
      <c r="J40" s="1673"/>
      <c r="K40" s="1659">
        <f>SUM(K36:K38)</f>
        <v>0</v>
      </c>
    </row>
    <row r="41" spans="1:11" x14ac:dyDescent="0.35">
      <c r="A41" s="460"/>
      <c r="B41" s="443"/>
      <c r="C41" s="1670"/>
      <c r="D41" s="443"/>
      <c r="E41" s="443"/>
      <c r="F41" s="443"/>
      <c r="G41" s="443"/>
      <c r="H41" s="443"/>
      <c r="I41" s="443"/>
      <c r="J41" s="443"/>
      <c r="K41" s="443"/>
    </row>
    <row r="42" spans="1:11" ht="18" x14ac:dyDescent="0.35">
      <c r="A42" s="1058" t="s">
        <v>818</v>
      </c>
      <c r="B42" s="1061"/>
      <c r="C42" s="1671"/>
      <c r="D42" s="1060"/>
      <c r="E42" s="1060"/>
      <c r="F42" s="1060"/>
      <c r="G42" s="1060"/>
      <c r="H42" s="1060"/>
      <c r="I42" s="1060"/>
      <c r="J42" s="1060"/>
      <c r="K42" s="1061"/>
    </row>
    <row r="43" spans="1:11" x14ac:dyDescent="0.35">
      <c r="A43" s="490"/>
      <c r="B43" s="467"/>
      <c r="C43" s="1644"/>
      <c r="D43" s="128"/>
      <c r="E43" s="128"/>
      <c r="F43" s="128"/>
      <c r="G43" s="128"/>
      <c r="H43" s="128"/>
      <c r="I43" s="128"/>
      <c r="J43" s="128"/>
      <c r="K43" s="129"/>
    </row>
    <row r="44" spans="1:11" x14ac:dyDescent="0.35">
      <c r="A44" s="442" t="s">
        <v>269</v>
      </c>
      <c r="B44" s="467"/>
      <c r="C44" s="1647">
        <f>'7.9.2 Balance Liabilities'!C9+'7.9.2 Balance Liabilities'!C11+'7.9.2 Balance Liabilities'!C13-'7.9.2 Balance Liabilities'!B9-'7.9.2 Balance Liabilities'!B11-'7.9.2 Balance Liabilities'!B13+'7.9.2 Balance Liabilities'!C15-'7.9.2 Balance Liabilities'!B15+'7.9.2 Balance Liabilities'!C17-'7.9.2 Balance Liabilities'!B17</f>
        <v>500000</v>
      </c>
      <c r="D44" s="1648"/>
      <c r="E44" s="1648">
        <f>'7.9.2 Balance Liabilities'!E9+'7.9.2 Balance Liabilities'!E11+'7.9.2 Balance Liabilities'!E13-'7.9.2 Balance Liabilities'!C9-'7.9.2 Balance Liabilities'!C11-'7.9.2 Balance Liabilities'!C13</f>
        <v>500000</v>
      </c>
      <c r="F44" s="128"/>
      <c r="G44" s="1648">
        <f>'7.9.2 Balance Liabilities'!G9+'7.9.2 Balance Liabilities'!G11+'7.9.2 Balance Liabilities'!G13-'7.9.2 Balance Liabilities'!E9-'7.9.2 Balance Liabilities'!E11-'7.9.2 Balance Liabilities'!E13</f>
        <v>250000</v>
      </c>
      <c r="H44" s="128"/>
      <c r="I44" s="1648">
        <f>'7.9.2 Balance Liabilities'!I9+'7.9.2 Balance Liabilities'!I11+'7.9.2 Balance Liabilities'!I13-'7.9.2 Balance Liabilities'!G9-'7.9.2 Balance Liabilities'!G11-'7.9.2 Balance Liabilities'!G13</f>
        <v>0</v>
      </c>
      <c r="J44" s="128"/>
      <c r="K44" s="1649">
        <f>'7.9.2 Balance Liabilities'!K9+'7.9.2 Balance Liabilities'!K11+'7.9.2 Balance Liabilities'!K13-'7.9.2 Balance Liabilities'!I9-'7.9.2 Balance Liabilities'!I11-'7.9.2 Balance Liabilities'!I13</f>
        <v>0</v>
      </c>
    </row>
    <row r="45" spans="1:11" x14ac:dyDescent="0.35">
      <c r="A45" s="442" t="s">
        <v>270</v>
      </c>
      <c r="B45" s="467"/>
      <c r="C45" s="1647">
        <f>'7.9.2 Balance Liabilities'!C35-'7.9.2 Balance Liabilities'!B35-C13</f>
        <v>257142.85714285716</v>
      </c>
      <c r="D45" s="1648"/>
      <c r="E45" s="1648">
        <f>'7.9.2 Balance Liabilities'!E35-'7.9.2 Balance Liabilities'!C35-E13</f>
        <v>-42857.142857142841</v>
      </c>
      <c r="F45" s="128"/>
      <c r="G45" s="1648">
        <f>'7.9.2 Balance Liabilities'!G35-'7.9.2 Balance Liabilities'!E35-G13</f>
        <v>-42857.142857142841</v>
      </c>
      <c r="H45" s="128"/>
      <c r="I45" s="1648">
        <f>'7.9.2 Balance Liabilities'!I35-'7.9.2 Balance Liabilities'!G35-I13</f>
        <v>-42857.142857142855</v>
      </c>
      <c r="J45" s="128"/>
      <c r="K45" s="1649">
        <f>'7.9.2 Balance Liabilities'!K35-'7.9.2 Balance Liabilities'!I35-K13</f>
        <v>-42857.142857142855</v>
      </c>
    </row>
    <row r="46" spans="1:11" x14ac:dyDescent="0.35">
      <c r="A46" s="501" t="s">
        <v>358</v>
      </c>
      <c r="B46" s="1652"/>
      <c r="C46" s="1653">
        <f>'7.9.2 Balance Liabilities'!C48-'7.9.2 Balance Liabilities'!B48</f>
        <v>135720.26333333331</v>
      </c>
      <c r="D46" s="1648"/>
      <c r="E46" s="1539">
        <f>'7.9.2 Balance Liabilities'!E48-'7.9.2 Balance Liabilities'!C48-E13</f>
        <v>205765.21958333335</v>
      </c>
      <c r="F46" s="1672"/>
      <c r="G46" s="1539">
        <f>'7.9.2 Balance Liabilities'!G48-'7.9.2 Balance Liabilities'!E48</f>
        <v>243062.52666666661</v>
      </c>
      <c r="H46" s="1672"/>
      <c r="I46" s="1539">
        <f>'7.9.2 Balance Liabilities'!I48-'7.9.2 Balance Liabilities'!G48</f>
        <v>149943.04653333337</v>
      </c>
      <c r="J46" s="1672"/>
      <c r="K46" s="1538">
        <f>'7.9.2 Balance Liabilities'!K48-'7.9.2 Balance Liabilities'!I48</f>
        <v>143075.51967499987</v>
      </c>
    </row>
    <row r="47" spans="1:11" x14ac:dyDescent="0.35">
      <c r="A47" s="501"/>
      <c r="B47" s="1652"/>
      <c r="C47" s="1647"/>
      <c r="D47" s="1648"/>
      <c r="E47" s="1648"/>
      <c r="F47" s="128"/>
      <c r="G47" s="1648"/>
      <c r="H47" s="128"/>
      <c r="I47" s="1648"/>
      <c r="J47" s="128"/>
      <c r="K47" s="1649"/>
    </row>
    <row r="48" spans="1:11" s="1643" customFormat="1" x14ac:dyDescent="0.35">
      <c r="A48" s="1654" t="s">
        <v>819</v>
      </c>
      <c r="B48" s="1655"/>
      <c r="C48" s="1656">
        <f>SUM(C44:C46)</f>
        <v>892863.12047619047</v>
      </c>
      <c r="D48" s="1657"/>
      <c r="E48" s="1657">
        <f>SUM(E44:E46)</f>
        <v>662908.07672619051</v>
      </c>
      <c r="F48" s="1658"/>
      <c r="G48" s="1657">
        <f>SUM(G44:G46)</f>
        <v>450205.38380952377</v>
      </c>
      <c r="H48" s="1658"/>
      <c r="I48" s="1657">
        <f>SUM(I44:I46)</f>
        <v>107085.90367619052</v>
      </c>
      <c r="J48" s="1658"/>
      <c r="K48" s="1659">
        <f>SUM(K44:K46)</f>
        <v>100218.37681785702</v>
      </c>
    </row>
    <row r="49" spans="1:11" x14ac:dyDescent="0.35">
      <c r="A49" s="460"/>
      <c r="B49" s="443"/>
      <c r="C49" s="1670"/>
      <c r="D49" s="443"/>
      <c r="E49" s="443"/>
      <c r="F49" s="443"/>
      <c r="G49" s="443"/>
      <c r="H49" s="443"/>
      <c r="I49" s="443"/>
      <c r="J49" s="443"/>
      <c r="K49" s="443"/>
    </row>
    <row r="50" spans="1:11" x14ac:dyDescent="0.35">
      <c r="A50" s="1295"/>
      <c r="B50" s="1299"/>
      <c r="C50" s="1666"/>
      <c r="D50" s="1296"/>
      <c r="E50" s="1296"/>
      <c r="F50" s="1296"/>
      <c r="G50" s="1296"/>
      <c r="H50" s="1296"/>
      <c r="I50" s="1296"/>
      <c r="J50" s="1296"/>
      <c r="K50" s="1299"/>
    </row>
    <row r="51" spans="1:11" ht="18" x14ac:dyDescent="0.35">
      <c r="A51" s="1674" t="s">
        <v>804</v>
      </c>
      <c r="B51" s="129"/>
      <c r="C51" s="1647">
        <f ca="1">C30+C40+C48</f>
        <v>291124.50599507161</v>
      </c>
      <c r="D51" s="1648"/>
      <c r="E51" s="1648">
        <f ca="1">E30+E40+E48</f>
        <v>-348666.5880932617</v>
      </c>
      <c r="F51" s="1648"/>
      <c r="G51" s="1648">
        <f ca="1">G30+G40+G48</f>
        <v>179291.08923367929</v>
      </c>
      <c r="H51" s="1648"/>
      <c r="I51" s="1648">
        <f ca="1">I30+I40+I48</f>
        <v>229965.14305507252</v>
      </c>
      <c r="J51" s="1648"/>
      <c r="K51" s="1649">
        <f ca="1">K30+K40+K48</f>
        <v>432473.31705722678</v>
      </c>
    </row>
    <row r="52" spans="1:11" x14ac:dyDescent="0.35">
      <c r="A52" s="130"/>
      <c r="B52" s="132"/>
      <c r="C52" s="1669"/>
      <c r="D52" s="131"/>
      <c r="E52" s="131"/>
      <c r="F52" s="131"/>
      <c r="G52" s="131"/>
      <c r="H52" s="131"/>
      <c r="I52" s="131"/>
      <c r="J52" s="131"/>
      <c r="K52" s="132"/>
    </row>
    <row r="53" spans="1:11" x14ac:dyDescent="0.35">
      <c r="A53" s="446"/>
      <c r="B53" s="446"/>
      <c r="C53" s="1675"/>
    </row>
    <row r="54" spans="1:11" x14ac:dyDescent="0.35">
      <c r="A54" s="1295"/>
      <c r="B54" s="1299"/>
      <c r="C54" s="1666"/>
      <c r="D54" s="1296"/>
      <c r="E54" s="1296"/>
      <c r="F54" s="1296"/>
      <c r="G54" s="1296"/>
      <c r="H54" s="1296"/>
      <c r="I54" s="1296"/>
      <c r="J54" s="1296"/>
      <c r="K54" s="1299"/>
    </row>
    <row r="55" spans="1:11" ht="18" x14ac:dyDescent="0.35">
      <c r="A55" s="1674" t="s">
        <v>805</v>
      </c>
      <c r="B55" s="129"/>
      <c r="C55" s="1647">
        <f ca="1">C51+'7.9.1 Balance Assets'!B42-'7.9.2 Balance Liabilities'!B50</f>
        <v>291124.50599507161</v>
      </c>
      <c r="D55" s="1648"/>
      <c r="E55" s="1648">
        <f ca="1">'7.9.1 Balance Assets'!C42+'7.11 Cash Flow Analysis'!E51-'7.9.2 Balance Liabilities'!C50</f>
        <v>-89800.082098190149</v>
      </c>
      <c r="F55" s="128"/>
      <c r="G55" s="1648">
        <f ca="1">'7.9.1 Balance Assets'!E42+'7.11 Cash Flow Analysis'!G51-'7.9.2 Balance Liabilities'!E50</f>
        <v>89491.007135489432</v>
      </c>
      <c r="H55" s="128"/>
      <c r="I55" s="1648">
        <f ca="1">'7.9.1 Balance Assets'!G42+'7.11 Cash Flow Analysis'!I51-'7.9.2 Balance Liabilities'!G50</f>
        <v>319456.15019056201</v>
      </c>
      <c r="J55" s="128"/>
      <c r="K55" s="1649">
        <f ca="1">'7.9.1 Balance Assets'!I42+'7.11 Cash Flow Analysis'!K51-'7.9.2 Balance Liabilities'!I50</f>
        <v>751929.46724778856</v>
      </c>
    </row>
    <row r="56" spans="1:11" x14ac:dyDescent="0.35">
      <c r="A56" s="130"/>
      <c r="B56" s="132"/>
      <c r="C56" s="1669"/>
      <c r="D56" s="131"/>
      <c r="E56" s="131"/>
      <c r="F56" s="131"/>
      <c r="G56" s="131"/>
      <c r="H56" s="131"/>
      <c r="I56" s="131"/>
      <c r="J56" s="131"/>
      <c r="K56" s="132"/>
    </row>
    <row r="57" spans="1:11" hidden="1" x14ac:dyDescent="0.35">
      <c r="C57" s="1676"/>
      <c r="D57" s="1677"/>
      <c r="E57" s="1677"/>
      <c r="G57" s="1678"/>
      <c r="H57" s="1678"/>
      <c r="I57" s="1678"/>
      <c r="J57" s="1678"/>
      <c r="K57" s="1678"/>
    </row>
    <row r="58" spans="1:11" hidden="1" x14ac:dyDescent="0.35">
      <c r="C58" s="1675"/>
    </row>
    <row r="59" spans="1:11" x14ac:dyDescent="0.35"/>
    <row r="60" spans="1:11" x14ac:dyDescent="0.35"/>
  </sheetData>
  <sheetProtection password="813F" sheet="1" objects="1" scenarios="1" selectLockedCells="1"/>
  <customSheetViews>
    <customSheetView guid="{51165254-F18A-4CD1-9981-8F2DE14CC76C}" scale="80" showGridLines="0" fitToPage="1" hiddenRows="1" hiddenColumns="1" showRuler="0">
      <pane ySplit="5" topLeftCell="A24" activePane="bottomLeft" state="frozen"/>
      <selection pane="bottomLeft" activeCell="H45" sqref="H45"/>
      <pageMargins left="0.78740157480314965" right="0.78740157480314965" top="0.98425196850393704" bottom="0.98425196850393704" header="0.51181102362204722" footer="0.51181102362204722"/>
      <printOptions horizontalCentered="1" verticalCentered="1"/>
      <pageSetup paperSize="9" scale="48"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45"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4">
    <tabColor indexed="22"/>
    <pageSetUpPr fitToPage="1"/>
  </sheetPr>
  <dimension ref="A1:L54"/>
  <sheetViews>
    <sheetView showGridLines="0" topLeftCell="A4" zoomScale="150" zoomScaleNormal="110" workbookViewId="0">
      <selection activeCell="G23" sqref="G23"/>
    </sheetView>
  </sheetViews>
  <sheetFormatPr baseColWidth="10" defaultColWidth="0" defaultRowHeight="14.4" zeroHeight="1" x14ac:dyDescent="0.35"/>
  <cols>
    <col min="1" max="8" width="15" style="45" customWidth="1"/>
    <col min="9" max="9" width="9.109375" style="45" customWidth="1"/>
    <col min="10" max="10" width="11.6640625" style="45" customWidth="1"/>
    <col min="11" max="11" width="14.109375" style="45" customWidth="1"/>
    <col min="12" max="12" width="1.6640625" style="44" customWidth="1"/>
    <col min="13" max="16384" width="9.109375" style="45" hidden="1"/>
  </cols>
  <sheetData>
    <row r="1" spans="1:11" ht="28.8" x14ac:dyDescent="0.55000000000000004">
      <c r="A1" s="200" t="s">
        <v>1173</v>
      </c>
      <c r="B1" s="201"/>
      <c r="C1" s="201"/>
      <c r="D1" s="201"/>
      <c r="E1" s="201"/>
      <c r="F1" s="201"/>
      <c r="G1" s="201"/>
      <c r="H1" s="201"/>
      <c r="I1" s="201"/>
      <c r="J1" s="201"/>
      <c r="K1" s="202" t="s">
        <v>942</v>
      </c>
    </row>
    <row r="2" spans="1:11" x14ac:dyDescent="0.35">
      <c r="A2" s="135"/>
      <c r="B2" s="136"/>
      <c r="C2" s="136"/>
      <c r="D2" s="136"/>
      <c r="E2" s="280"/>
      <c r="F2" s="136"/>
      <c r="G2" s="136"/>
      <c r="H2" s="136"/>
      <c r="I2" s="136"/>
      <c r="J2" s="136"/>
      <c r="K2" s="137"/>
    </row>
    <row r="3" spans="1:11" ht="16.2" x14ac:dyDescent="0.35">
      <c r="A3" s="138" t="s">
        <v>1035</v>
      </c>
      <c r="B3" s="239" t="str">
        <f>'Reference sheet'!C12</f>
        <v>TRUCK INTERNATIONAL MOBILITY SA</v>
      </c>
      <c r="D3" s="136"/>
      <c r="E3" s="242" t="s">
        <v>1036</v>
      </c>
      <c r="F3" s="282">
        <f>'Reference sheet'!C15</f>
        <v>2</v>
      </c>
      <c r="G3" s="283" t="s">
        <v>1037</v>
      </c>
      <c r="H3" s="992" t="str">
        <f>'Reference sheet'!C17</f>
        <v>October</v>
      </c>
      <c r="I3" s="982">
        <f>'Reference sheet'!D17</f>
        <v>2018</v>
      </c>
      <c r="J3" s="143" t="s">
        <v>1175</v>
      </c>
      <c r="K3" s="284" t="str">
        <f>'Reference sheet'!C21</f>
        <v>EUR</v>
      </c>
    </row>
    <row r="4" spans="1:11" x14ac:dyDescent="0.35">
      <c r="A4" s="145"/>
      <c r="B4" s="178"/>
      <c r="C4" s="146"/>
      <c r="D4" s="146"/>
      <c r="E4" s="146"/>
      <c r="F4" s="146"/>
      <c r="G4" s="179"/>
      <c r="H4" s="146"/>
      <c r="I4" s="146"/>
      <c r="J4" s="146"/>
      <c r="K4" s="180"/>
    </row>
    <row r="5" spans="1:11" x14ac:dyDescent="0.35">
      <c r="K5" s="184"/>
    </row>
    <row r="6" spans="1:11" x14ac:dyDescent="0.35">
      <c r="A6" s="832" t="s">
        <v>680</v>
      </c>
      <c r="B6" s="833"/>
      <c r="C6" s="833"/>
      <c r="D6" s="833"/>
      <c r="E6" s="833"/>
      <c r="F6" s="833"/>
      <c r="G6" s="833"/>
      <c r="H6" s="833"/>
      <c r="I6" s="833"/>
      <c r="J6" s="833"/>
      <c r="K6" s="834"/>
    </row>
    <row r="7" spans="1:11" ht="13.2" customHeight="1" x14ac:dyDescent="0.35">
      <c r="A7" s="1037"/>
      <c r="B7" s="1038"/>
      <c r="C7" s="1038"/>
      <c r="D7" s="1038"/>
      <c r="E7" s="1038"/>
      <c r="F7" s="1038"/>
      <c r="G7" s="1038"/>
      <c r="H7" s="1038"/>
      <c r="I7" s="1038"/>
      <c r="J7" s="1038"/>
      <c r="K7" s="1039"/>
    </row>
    <row r="8" spans="1:11" ht="13.2" customHeight="1" x14ac:dyDescent="0.35">
      <c r="A8" s="986"/>
      <c r="B8" s="987"/>
      <c r="C8" s="987"/>
      <c r="D8" s="987"/>
      <c r="E8" s="987"/>
      <c r="F8" s="987"/>
      <c r="G8" s="987"/>
      <c r="H8" s="987"/>
      <c r="I8" s="987"/>
      <c r="J8" s="987"/>
      <c r="K8" s="988"/>
    </row>
    <row r="9" spans="1:11" x14ac:dyDescent="0.35">
      <c r="A9" s="986"/>
      <c r="B9" s="987"/>
      <c r="C9" s="987"/>
      <c r="D9" s="987"/>
      <c r="E9" s="987"/>
      <c r="F9" s="987"/>
      <c r="G9" s="987"/>
      <c r="H9" s="987"/>
      <c r="I9" s="987"/>
      <c r="J9" s="987"/>
      <c r="K9" s="988"/>
    </row>
    <row r="10" spans="1:11" x14ac:dyDescent="0.35">
      <c r="A10" s="986"/>
      <c r="B10" s="987"/>
      <c r="C10" s="987"/>
      <c r="D10" s="987"/>
      <c r="E10" s="987"/>
      <c r="F10" s="987"/>
      <c r="G10" s="987"/>
      <c r="H10" s="987"/>
      <c r="I10" s="987"/>
      <c r="J10" s="987"/>
      <c r="K10" s="988"/>
    </row>
    <row r="11" spans="1:11" x14ac:dyDescent="0.35">
      <c r="A11" s="986"/>
      <c r="B11" s="987"/>
      <c r="C11" s="987"/>
      <c r="D11" s="987"/>
      <c r="E11" s="987"/>
      <c r="F11" s="987"/>
      <c r="G11" s="987"/>
      <c r="H11" s="987"/>
      <c r="I11" s="987"/>
      <c r="J11" s="987"/>
      <c r="K11" s="988"/>
    </row>
    <row r="12" spans="1:11" x14ac:dyDescent="0.35">
      <c r="A12" s="986"/>
      <c r="B12" s="987"/>
      <c r="C12" s="987"/>
      <c r="D12" s="987"/>
      <c r="E12" s="987"/>
      <c r="F12" s="987"/>
      <c r="G12" s="987"/>
      <c r="H12" s="987"/>
      <c r="I12" s="987"/>
      <c r="J12" s="987"/>
      <c r="K12" s="988"/>
    </row>
    <row r="13" spans="1:11" x14ac:dyDescent="0.35">
      <c r="A13" s="986"/>
      <c r="B13" s="987"/>
      <c r="C13" s="987"/>
      <c r="D13" s="987"/>
      <c r="E13" s="987"/>
      <c r="F13" s="987"/>
      <c r="G13" s="987"/>
      <c r="H13" s="987"/>
      <c r="I13" s="987"/>
      <c r="J13" s="987"/>
      <c r="K13" s="988"/>
    </row>
    <row r="14" spans="1:11" x14ac:dyDescent="0.35">
      <c r="A14" s="986"/>
      <c r="B14" s="987"/>
      <c r="C14" s="987"/>
      <c r="D14" s="987"/>
      <c r="E14" s="987"/>
      <c r="F14" s="987"/>
      <c r="G14" s="987"/>
      <c r="H14" s="987"/>
      <c r="I14" s="987"/>
      <c r="J14" s="987"/>
      <c r="K14" s="988"/>
    </row>
    <row r="15" spans="1:11" x14ac:dyDescent="0.35">
      <c r="A15" s="986"/>
      <c r="B15" s="987"/>
      <c r="C15" s="987"/>
      <c r="D15" s="987"/>
      <c r="E15" s="987"/>
      <c r="F15" s="987"/>
      <c r="G15" s="987"/>
      <c r="H15" s="987"/>
      <c r="I15" s="987"/>
      <c r="J15" s="987"/>
      <c r="K15" s="988"/>
    </row>
    <row r="16" spans="1:11" x14ac:dyDescent="0.35">
      <c r="A16" s="986"/>
      <c r="B16" s="987"/>
      <c r="C16" s="987"/>
      <c r="D16" s="987"/>
      <c r="E16" s="987"/>
      <c r="F16" s="987"/>
      <c r="G16" s="987"/>
      <c r="H16" s="987"/>
      <c r="I16" s="987"/>
      <c r="J16" s="987"/>
      <c r="K16" s="988"/>
    </row>
    <row r="17" spans="1:11" x14ac:dyDescent="0.35">
      <c r="A17" s="986"/>
      <c r="B17" s="987"/>
      <c r="C17" s="987"/>
      <c r="D17" s="987"/>
      <c r="E17" s="987"/>
      <c r="F17" s="987"/>
      <c r="G17" s="987"/>
      <c r="H17" s="987"/>
      <c r="I17" s="987"/>
      <c r="J17" s="987"/>
      <c r="K17" s="988"/>
    </row>
    <row r="18" spans="1:11" x14ac:dyDescent="0.35">
      <c r="A18" s="986"/>
      <c r="B18" s="987"/>
      <c r="C18" s="987"/>
      <c r="D18" s="987"/>
      <c r="E18" s="987"/>
      <c r="F18" s="987"/>
      <c r="G18" s="987"/>
      <c r="H18" s="987"/>
      <c r="I18" s="987"/>
      <c r="J18" s="987"/>
      <c r="K18" s="988"/>
    </row>
    <row r="19" spans="1:11" x14ac:dyDescent="0.35">
      <c r="A19" s="986"/>
      <c r="B19" s="987"/>
      <c r="C19" s="987"/>
      <c r="D19" s="987"/>
      <c r="E19" s="987"/>
      <c r="F19" s="987"/>
      <c r="G19" s="987"/>
      <c r="H19" s="987"/>
      <c r="I19" s="987"/>
      <c r="J19" s="987"/>
      <c r="K19" s="988"/>
    </row>
    <row r="20" spans="1:11" x14ac:dyDescent="0.35">
      <c r="A20" s="986"/>
      <c r="B20" s="987"/>
      <c r="C20" s="987"/>
      <c r="D20" s="987"/>
      <c r="E20" s="987"/>
      <c r="F20" s="987"/>
      <c r="G20" s="987"/>
      <c r="H20" s="987"/>
      <c r="I20" s="987"/>
      <c r="J20" s="987"/>
      <c r="K20" s="988"/>
    </row>
    <row r="21" spans="1:11" x14ac:dyDescent="0.35">
      <c r="A21" s="986"/>
      <c r="B21" s="987"/>
      <c r="C21" s="987"/>
      <c r="D21" s="987"/>
      <c r="E21" s="987"/>
      <c r="F21" s="987"/>
      <c r="G21" s="987"/>
      <c r="H21" s="987"/>
      <c r="I21" s="987"/>
      <c r="J21" s="987"/>
      <c r="K21" s="988"/>
    </row>
    <row r="22" spans="1:11" x14ac:dyDescent="0.35">
      <c r="A22" s="986"/>
      <c r="B22" s="987"/>
      <c r="C22" s="987"/>
      <c r="D22" s="987"/>
      <c r="E22" s="987"/>
      <c r="F22" s="987"/>
      <c r="G22" s="987"/>
      <c r="H22" s="987"/>
      <c r="I22" s="987"/>
      <c r="J22" s="987"/>
      <c r="K22" s="988"/>
    </row>
    <row r="23" spans="1:11" x14ac:dyDescent="0.35">
      <c r="A23" s="986"/>
      <c r="B23" s="987"/>
      <c r="C23" s="987"/>
      <c r="D23" s="987"/>
      <c r="E23" s="987"/>
      <c r="F23" s="987"/>
      <c r="G23" s="987"/>
      <c r="H23" s="987"/>
      <c r="I23" s="987"/>
      <c r="J23" s="987"/>
      <c r="K23" s="988"/>
    </row>
    <row r="24" spans="1:11" x14ac:dyDescent="0.35">
      <c r="A24" s="986"/>
      <c r="B24" s="987"/>
      <c r="C24" s="987"/>
      <c r="D24" s="987"/>
      <c r="E24" s="987"/>
      <c r="F24" s="987"/>
      <c r="G24" s="987"/>
      <c r="H24" s="987"/>
      <c r="I24" s="987"/>
      <c r="J24" s="987"/>
      <c r="K24" s="988"/>
    </row>
    <row r="25" spans="1:11" x14ac:dyDescent="0.35">
      <c r="A25" s="986"/>
      <c r="B25" s="987"/>
      <c r="C25" s="987"/>
      <c r="D25" s="987"/>
      <c r="E25" s="987"/>
      <c r="F25" s="987"/>
      <c r="G25" s="987"/>
      <c r="H25" s="987"/>
      <c r="I25" s="987"/>
      <c r="J25" s="987"/>
      <c r="K25" s="988"/>
    </row>
    <row r="26" spans="1:11" x14ac:dyDescent="0.35">
      <c r="A26" s="986"/>
      <c r="B26" s="987"/>
      <c r="C26" s="987"/>
      <c r="D26" s="987"/>
      <c r="E26" s="987"/>
      <c r="F26" s="987"/>
      <c r="G26" s="987"/>
      <c r="H26" s="987"/>
      <c r="I26" s="987"/>
      <c r="J26" s="987"/>
      <c r="K26" s="988"/>
    </row>
    <row r="27" spans="1:11" x14ac:dyDescent="0.35">
      <c r="A27" s="986"/>
      <c r="B27" s="987"/>
      <c r="C27" s="987"/>
      <c r="D27" s="987"/>
      <c r="E27" s="987"/>
      <c r="F27" s="987"/>
      <c r="G27" s="987"/>
      <c r="H27" s="987"/>
      <c r="I27" s="987"/>
      <c r="J27" s="987"/>
      <c r="K27" s="988"/>
    </row>
    <row r="28" spans="1:11" x14ac:dyDescent="0.35">
      <c r="A28" s="986"/>
      <c r="B28" s="987"/>
      <c r="C28" s="987"/>
      <c r="D28" s="987"/>
      <c r="E28" s="987"/>
      <c r="F28" s="987"/>
      <c r="G28" s="987"/>
      <c r="H28" s="987"/>
      <c r="I28" s="987"/>
      <c r="J28" s="987"/>
      <c r="K28" s="988"/>
    </row>
    <row r="29" spans="1:11" x14ac:dyDescent="0.35">
      <c r="A29" s="989"/>
      <c r="B29" s="990"/>
      <c r="C29" s="990"/>
      <c r="D29" s="990"/>
      <c r="E29" s="990"/>
      <c r="F29" s="990"/>
      <c r="G29" s="990"/>
      <c r="H29" s="990"/>
      <c r="I29" s="990"/>
      <c r="J29" s="990"/>
      <c r="K29" s="991"/>
    </row>
    <row r="30" spans="1:11" x14ac:dyDescent="0.35">
      <c r="A30" s="795"/>
      <c r="B30" s="795"/>
      <c r="C30" s="795"/>
      <c r="D30" s="795"/>
      <c r="E30" s="795"/>
      <c r="F30" s="795"/>
      <c r="G30" s="795"/>
      <c r="H30" s="795"/>
      <c r="I30" s="795"/>
      <c r="J30" s="795"/>
      <c r="K30" s="795"/>
    </row>
    <row r="31" spans="1:11" x14ac:dyDescent="0.35">
      <c r="A31" s="832" t="s">
        <v>681</v>
      </c>
      <c r="B31" s="833"/>
      <c r="C31" s="833"/>
      <c r="D31" s="833"/>
      <c r="E31" s="833"/>
      <c r="F31" s="833"/>
      <c r="G31" s="833"/>
      <c r="H31" s="833"/>
      <c r="I31" s="833"/>
      <c r="J31" s="833"/>
      <c r="K31" s="834"/>
    </row>
    <row r="32" spans="1:11" x14ac:dyDescent="0.35">
      <c r="A32" s="983"/>
      <c r="B32" s="984"/>
      <c r="C32" s="984"/>
      <c r="D32" s="984"/>
      <c r="E32" s="984"/>
      <c r="F32" s="984"/>
      <c r="G32" s="984"/>
      <c r="H32" s="984"/>
      <c r="I32" s="984"/>
      <c r="J32" s="984"/>
      <c r="K32" s="985"/>
    </row>
    <row r="33" spans="1:11" x14ac:dyDescent="0.35">
      <c r="A33" s="986"/>
      <c r="B33" s="987"/>
      <c r="C33" s="987"/>
      <c r="D33" s="987"/>
      <c r="E33" s="987"/>
      <c r="F33" s="987"/>
      <c r="G33" s="987"/>
      <c r="H33" s="987"/>
      <c r="I33" s="987"/>
      <c r="J33" s="987"/>
      <c r="K33" s="988"/>
    </row>
    <row r="34" spans="1:11" x14ac:dyDescent="0.35">
      <c r="A34" s="986"/>
      <c r="B34" s="987"/>
      <c r="C34" s="987"/>
      <c r="D34" s="987"/>
      <c r="E34" s="987"/>
      <c r="F34" s="987"/>
      <c r="G34" s="987"/>
      <c r="H34" s="987"/>
      <c r="I34" s="987"/>
      <c r="J34" s="987"/>
      <c r="K34" s="988"/>
    </row>
    <row r="35" spans="1:11" x14ac:dyDescent="0.35">
      <c r="A35" s="986"/>
      <c r="B35" s="987"/>
      <c r="C35" s="987"/>
      <c r="D35" s="987"/>
      <c r="E35" s="987"/>
      <c r="F35" s="987"/>
      <c r="G35" s="987"/>
      <c r="H35" s="987"/>
      <c r="I35" s="987"/>
      <c r="J35" s="987"/>
      <c r="K35" s="988"/>
    </row>
    <row r="36" spans="1:11" x14ac:dyDescent="0.35">
      <c r="A36" s="986"/>
      <c r="B36" s="987"/>
      <c r="C36" s="987"/>
      <c r="D36" s="987"/>
      <c r="E36" s="987"/>
      <c r="F36" s="987"/>
      <c r="G36" s="987"/>
      <c r="H36" s="987"/>
      <c r="I36" s="987"/>
      <c r="J36" s="987"/>
      <c r="K36" s="988"/>
    </row>
    <row r="37" spans="1:11" x14ac:dyDescent="0.35">
      <c r="A37" s="986"/>
      <c r="B37" s="987"/>
      <c r="C37" s="987"/>
      <c r="D37" s="987"/>
      <c r="E37" s="987"/>
      <c r="F37" s="987"/>
      <c r="G37" s="987"/>
      <c r="H37" s="987"/>
      <c r="I37" s="987"/>
      <c r="J37" s="987"/>
      <c r="K37" s="988"/>
    </row>
    <row r="38" spans="1:11" x14ac:dyDescent="0.35">
      <c r="A38" s="986"/>
      <c r="B38" s="987"/>
      <c r="C38" s="987"/>
      <c r="D38" s="987"/>
      <c r="E38" s="987"/>
      <c r="F38" s="987"/>
      <c r="G38" s="987"/>
      <c r="H38" s="987"/>
      <c r="I38" s="987"/>
      <c r="J38" s="987"/>
      <c r="K38" s="988"/>
    </row>
    <row r="39" spans="1:11" x14ac:dyDescent="0.35">
      <c r="A39" s="986"/>
      <c r="B39" s="987"/>
      <c r="C39" s="987"/>
      <c r="D39" s="987"/>
      <c r="E39" s="987"/>
      <c r="F39" s="987"/>
      <c r="G39" s="987"/>
      <c r="H39" s="987"/>
      <c r="I39" s="987"/>
      <c r="J39" s="987"/>
      <c r="K39" s="988"/>
    </row>
    <row r="40" spans="1:11" x14ac:dyDescent="0.35">
      <c r="A40" s="986"/>
      <c r="B40" s="987"/>
      <c r="C40" s="987"/>
      <c r="D40" s="987"/>
      <c r="E40" s="987"/>
      <c r="F40" s="987"/>
      <c r="G40" s="987"/>
      <c r="H40" s="987"/>
      <c r="I40" s="987"/>
      <c r="J40" s="987"/>
      <c r="K40" s="988"/>
    </row>
    <row r="41" spans="1:11" x14ac:dyDescent="0.35">
      <c r="A41" s="986"/>
      <c r="B41" s="987"/>
      <c r="C41" s="987"/>
      <c r="D41" s="987"/>
      <c r="E41" s="987"/>
      <c r="F41" s="987"/>
      <c r="G41" s="987"/>
      <c r="H41" s="987"/>
      <c r="I41" s="987"/>
      <c r="J41" s="987"/>
      <c r="K41" s="988"/>
    </row>
    <row r="42" spans="1:11" x14ac:dyDescent="0.35">
      <c r="A42" s="986"/>
      <c r="B42" s="987"/>
      <c r="C42" s="987"/>
      <c r="D42" s="987"/>
      <c r="E42" s="987"/>
      <c r="F42" s="987"/>
      <c r="G42" s="987"/>
      <c r="H42" s="987"/>
      <c r="I42" s="987"/>
      <c r="J42" s="987"/>
      <c r="K42" s="988"/>
    </row>
    <row r="43" spans="1:11" x14ac:dyDescent="0.35">
      <c r="A43" s="986"/>
      <c r="B43" s="987"/>
      <c r="C43" s="987"/>
      <c r="D43" s="987"/>
      <c r="E43" s="987"/>
      <c r="F43" s="987"/>
      <c r="G43" s="987"/>
      <c r="H43" s="987"/>
      <c r="I43" s="987"/>
      <c r="J43" s="987"/>
      <c r="K43" s="988"/>
    </row>
    <row r="44" spans="1:11" x14ac:dyDescent="0.35">
      <c r="A44" s="986"/>
      <c r="B44" s="987"/>
      <c r="C44" s="987"/>
      <c r="D44" s="987"/>
      <c r="E44" s="987"/>
      <c r="F44" s="987"/>
      <c r="G44" s="987"/>
      <c r="H44" s="987"/>
      <c r="I44" s="987"/>
      <c r="J44" s="987"/>
      <c r="K44" s="988"/>
    </row>
    <row r="45" spans="1:11" x14ac:dyDescent="0.35">
      <c r="A45" s="986"/>
      <c r="B45" s="987"/>
      <c r="C45" s="987"/>
      <c r="D45" s="987"/>
      <c r="E45" s="987"/>
      <c r="F45" s="987"/>
      <c r="G45" s="987"/>
      <c r="H45" s="987"/>
      <c r="I45" s="987"/>
      <c r="J45" s="987"/>
      <c r="K45" s="988"/>
    </row>
    <row r="46" spans="1:11" x14ac:dyDescent="0.35">
      <c r="A46" s="986"/>
      <c r="B46" s="987"/>
      <c r="C46" s="987"/>
      <c r="D46" s="987"/>
      <c r="E46" s="987"/>
      <c r="F46" s="987"/>
      <c r="G46" s="987"/>
      <c r="H46" s="987"/>
      <c r="I46" s="987"/>
      <c r="J46" s="987"/>
      <c r="K46" s="988"/>
    </row>
    <row r="47" spans="1:11" x14ac:dyDescent="0.35">
      <c r="A47" s="986"/>
      <c r="B47" s="987"/>
      <c r="C47" s="987"/>
      <c r="D47" s="987"/>
      <c r="E47" s="987"/>
      <c r="F47" s="987"/>
      <c r="G47" s="987"/>
      <c r="H47" s="987"/>
      <c r="I47" s="987"/>
      <c r="J47" s="987"/>
      <c r="K47" s="988"/>
    </row>
    <row r="48" spans="1:11" x14ac:dyDescent="0.35">
      <c r="A48" s="986"/>
      <c r="B48" s="987"/>
      <c r="C48" s="987"/>
      <c r="D48" s="987"/>
      <c r="E48" s="987"/>
      <c r="F48" s="987"/>
      <c r="G48" s="987"/>
      <c r="H48" s="987"/>
      <c r="I48" s="987"/>
      <c r="J48" s="987"/>
      <c r="K48" s="988"/>
    </row>
    <row r="49" spans="1:11" x14ac:dyDescent="0.35">
      <c r="A49" s="986"/>
      <c r="B49" s="987"/>
      <c r="C49" s="987"/>
      <c r="D49" s="987"/>
      <c r="E49" s="987"/>
      <c r="F49" s="987"/>
      <c r="G49" s="987"/>
      <c r="H49" s="987"/>
      <c r="I49" s="987"/>
      <c r="J49" s="987"/>
      <c r="K49" s="988"/>
    </row>
    <row r="50" spans="1:11" x14ac:dyDescent="0.35">
      <c r="A50" s="986"/>
      <c r="B50" s="987"/>
      <c r="C50" s="987"/>
      <c r="D50" s="987"/>
      <c r="E50" s="987"/>
      <c r="F50" s="987"/>
      <c r="G50" s="987"/>
      <c r="H50" s="987"/>
      <c r="I50" s="987"/>
      <c r="J50" s="987"/>
      <c r="K50" s="988"/>
    </row>
    <row r="51" spans="1:11" x14ac:dyDescent="0.35">
      <c r="A51" s="986"/>
      <c r="B51" s="987"/>
      <c r="C51" s="987"/>
      <c r="D51" s="987"/>
      <c r="E51" s="987"/>
      <c r="F51" s="987"/>
      <c r="G51" s="987"/>
      <c r="H51" s="987"/>
      <c r="I51" s="987"/>
      <c r="J51" s="987"/>
      <c r="K51" s="988"/>
    </row>
    <row r="52" spans="1:11" x14ac:dyDescent="0.35">
      <c r="A52" s="986"/>
      <c r="B52" s="987"/>
      <c r="C52" s="987"/>
      <c r="D52" s="987"/>
      <c r="E52" s="987"/>
      <c r="F52" s="987"/>
      <c r="G52" s="987"/>
      <c r="H52" s="987"/>
      <c r="I52" s="987"/>
      <c r="J52" s="987"/>
      <c r="K52" s="988"/>
    </row>
    <row r="53" spans="1:11" x14ac:dyDescent="0.35">
      <c r="A53" s="986"/>
      <c r="B53" s="987"/>
      <c r="C53" s="987"/>
      <c r="D53" s="987"/>
      <c r="E53" s="987"/>
      <c r="F53" s="987"/>
      <c r="G53" s="987"/>
      <c r="H53" s="987"/>
      <c r="I53" s="987"/>
      <c r="J53" s="987"/>
      <c r="K53" s="988"/>
    </row>
    <row r="54" spans="1:11" x14ac:dyDescent="0.35">
      <c r="A54" s="989"/>
      <c r="B54" s="990"/>
      <c r="C54" s="990"/>
      <c r="D54" s="990"/>
      <c r="E54" s="990"/>
      <c r="F54" s="990"/>
      <c r="G54" s="990"/>
      <c r="H54" s="990"/>
      <c r="I54" s="990"/>
      <c r="J54" s="990"/>
      <c r="K54" s="991"/>
    </row>
  </sheetData>
  <sheetProtection password="813F" sheet="1" objects="1" scenarios="1" selectLockedCells="1"/>
  <customSheetViews>
    <customSheetView guid="{51165254-F18A-4CD1-9981-8F2DE14CC76C}" showGridLines="0" fitToPage="1" hiddenRows="1" hiddenColumns="1" showRuler="0">
      <selection activeCell="H45" sqref="H45"/>
      <pageMargins left="0.78740157480314965" right="0.78740157480314965" top="0.98425196850393704" bottom="0.98425196850393704" header="0.51181102362204722" footer="0.51181102362204722"/>
      <printOptions horizontalCentered="1" verticalCentered="1"/>
      <pageSetup paperSize="9" scale="56"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6"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4">
    <tabColor indexed="48"/>
    <pageSetUpPr fitToPage="1"/>
  </sheetPr>
  <dimension ref="A1:L34"/>
  <sheetViews>
    <sheetView showGridLines="0" workbookViewId="0"/>
  </sheetViews>
  <sheetFormatPr baseColWidth="10" defaultColWidth="0" defaultRowHeight="14.4" zeroHeight="1" x14ac:dyDescent="0.35"/>
  <cols>
    <col min="1" max="1" width="14.6640625" style="135" customWidth="1"/>
    <col min="2" max="10" width="14.6640625" style="136" customWidth="1"/>
    <col min="11" max="11" width="14.6640625" style="79" customWidth="1"/>
    <col min="12" max="12" width="1.44140625" style="45" customWidth="1"/>
    <col min="13" max="16384" width="9.109375" style="45" hidden="1"/>
  </cols>
  <sheetData>
    <row r="1" spans="1:11" ht="28.8" x14ac:dyDescent="0.55000000000000004">
      <c r="A1" s="200" t="s">
        <v>538</v>
      </c>
      <c r="B1" s="201"/>
      <c r="C1" s="201"/>
      <c r="D1" s="201"/>
      <c r="E1" s="201"/>
      <c r="F1" s="201"/>
      <c r="G1" s="201"/>
      <c r="H1" s="201"/>
      <c r="I1" s="201"/>
      <c r="J1" s="201"/>
      <c r="K1" s="202" t="s">
        <v>1228</v>
      </c>
    </row>
    <row r="2" spans="1:11" x14ac:dyDescent="0.35">
      <c r="E2" s="280"/>
      <c r="K2" s="137"/>
    </row>
    <row r="3" spans="1:11" ht="16.2" x14ac:dyDescent="0.35">
      <c r="A3" s="138" t="s">
        <v>1035</v>
      </c>
      <c r="B3" s="239" t="str">
        <f>'Reference sheet'!C12</f>
        <v>TRUCK INTERNATIONAL MOBILITY SA</v>
      </c>
      <c r="E3" s="242" t="s">
        <v>1036</v>
      </c>
      <c r="F3" s="282">
        <f>'Reference sheet'!C15</f>
        <v>2</v>
      </c>
      <c r="G3" s="283" t="s">
        <v>1037</v>
      </c>
      <c r="H3" s="992" t="str">
        <f>'Reference sheet'!C17</f>
        <v>October</v>
      </c>
      <c r="I3" s="982">
        <f>'Reference sheet'!D17</f>
        <v>2018</v>
      </c>
      <c r="J3" s="143" t="s">
        <v>1175</v>
      </c>
      <c r="K3" s="284" t="str">
        <f>'Reference sheet'!C21</f>
        <v>EUR</v>
      </c>
    </row>
    <row r="4" spans="1:11" x14ac:dyDescent="0.35">
      <c r="A4" s="145"/>
      <c r="B4" s="178"/>
      <c r="C4" s="146"/>
      <c r="D4" s="146"/>
      <c r="E4" s="146"/>
      <c r="F4" s="146"/>
      <c r="G4" s="179"/>
      <c r="H4" s="146"/>
      <c r="I4" s="146"/>
      <c r="J4" s="146"/>
      <c r="K4" s="180"/>
    </row>
    <row r="5" spans="1:11" x14ac:dyDescent="0.35"/>
    <row r="6" spans="1:11" x14ac:dyDescent="0.35">
      <c r="A6" s="135" t="s">
        <v>1229</v>
      </c>
      <c r="B6" s="136" t="s">
        <v>240</v>
      </c>
    </row>
    <row r="7" spans="1:11" x14ac:dyDescent="0.35">
      <c r="A7" s="135" t="s">
        <v>1230</v>
      </c>
      <c r="B7" s="136" t="s">
        <v>771</v>
      </c>
    </row>
    <row r="8" spans="1:11" x14ac:dyDescent="0.35">
      <c r="A8" s="135" t="s">
        <v>1231</v>
      </c>
      <c r="B8" s="136" t="s">
        <v>617</v>
      </c>
    </row>
    <row r="9" spans="1:11" x14ac:dyDescent="0.35"/>
    <row r="10" spans="1:11" x14ac:dyDescent="0.35"/>
    <row r="11" spans="1:11" x14ac:dyDescent="0.35"/>
    <row r="12" spans="1:11" x14ac:dyDescent="0.35"/>
    <row r="13" spans="1:11" x14ac:dyDescent="0.35"/>
    <row r="14" spans="1:11" x14ac:dyDescent="0.35"/>
    <row r="15" spans="1:11" x14ac:dyDescent="0.35"/>
    <row r="16" spans="1:11"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spans="1:11" x14ac:dyDescent="0.35">
      <c r="A33" s="145"/>
      <c r="B33" s="146"/>
      <c r="C33" s="146"/>
      <c r="D33" s="146"/>
      <c r="E33" s="146"/>
      <c r="F33" s="146"/>
      <c r="G33" s="146"/>
      <c r="H33" s="146"/>
      <c r="I33" s="146"/>
      <c r="J33" s="146"/>
      <c r="K33" s="85"/>
    </row>
    <row r="34" spans="1:11" ht="12.75" hidden="1" customHeight="1" x14ac:dyDescent="0.35"/>
  </sheetData>
  <sheetProtection password="813F" sheet="1" objects="1" scenarios="1" selectLockedCells="1"/>
  <customSheetViews>
    <customSheetView guid="{51165254-F18A-4CD1-9981-8F2DE14CC76C}" showGridLines="0" fitToPage="1" hiddenRows="1" hiddenColumns="1" showRuler="0">
      <selection activeCell="D16" sqref="D16"/>
      <pageMargins left="0.78740157480314965" right="0.78740157480314965" top="0.98425196850393704" bottom="0.98425196850393704" header="0.51181102362204722" footer="0.51181102362204722"/>
      <printOptions horizontalCentered="1" verticalCentered="1"/>
      <pageSetup paperSize="9" scale="53"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3"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7">
    <tabColor indexed="43"/>
    <pageSetUpPr fitToPage="1"/>
  </sheetPr>
  <dimension ref="A1:AB105"/>
  <sheetViews>
    <sheetView showGridLines="0" zoomScale="125" zoomScaleNormal="80" workbookViewId="0">
      <selection activeCell="D10" sqref="D10"/>
    </sheetView>
  </sheetViews>
  <sheetFormatPr baseColWidth="10" defaultColWidth="0" defaultRowHeight="14.4" zeroHeight="1" x14ac:dyDescent="0.35"/>
  <cols>
    <col min="1" max="3" width="12.33203125" style="45" customWidth="1"/>
    <col min="4" max="10" width="14.33203125" style="45" customWidth="1"/>
    <col min="11" max="11" width="9.109375" style="45" customWidth="1"/>
    <col min="12" max="12" width="2.109375" style="44" customWidth="1"/>
    <col min="13" max="28" width="9.109375" style="168" hidden="1" customWidth="1"/>
    <col min="29" max="16384" width="9.109375" style="45" hidden="1"/>
  </cols>
  <sheetData>
    <row r="1" spans="1:14" ht="28.5" customHeight="1" x14ac:dyDescent="0.55000000000000004">
      <c r="A1" s="205" t="s">
        <v>674</v>
      </c>
      <c r="B1" s="206"/>
      <c r="C1" s="206"/>
      <c r="D1" s="206"/>
      <c r="E1" s="206"/>
      <c r="F1" s="206"/>
      <c r="G1" s="206"/>
      <c r="H1" s="206"/>
      <c r="I1" s="206"/>
      <c r="J1" s="206"/>
      <c r="K1" s="207" t="s">
        <v>785</v>
      </c>
    </row>
    <row r="2" spans="1:14" ht="19.5" customHeight="1" x14ac:dyDescent="0.35">
      <c r="A2" s="135"/>
      <c r="B2" s="169"/>
      <c r="C2" s="170"/>
      <c r="D2" s="171"/>
      <c r="E2" s="172"/>
      <c r="F2" s="136"/>
      <c r="G2" s="136"/>
      <c r="H2" s="173"/>
      <c r="I2" s="171"/>
      <c r="J2" s="171"/>
      <c r="K2" s="174"/>
      <c r="N2" s="168" t="s">
        <v>646</v>
      </c>
    </row>
    <row r="3" spans="1:14" ht="13.2" customHeight="1" x14ac:dyDescent="0.35">
      <c r="A3" s="135" t="s">
        <v>1049</v>
      </c>
      <c r="B3" s="169"/>
      <c r="C3" s="136"/>
      <c r="D3" s="164" t="str">
        <f>'Reference sheet'!C12</f>
        <v>TRUCK INTERNATIONAL MOBILITY SA</v>
      </c>
      <c r="E3" s="172"/>
      <c r="F3" s="136"/>
      <c r="G3" s="175" t="s">
        <v>1037</v>
      </c>
      <c r="H3" s="863" t="str">
        <f>'Reference sheet'!C17</f>
        <v>October</v>
      </c>
      <c r="I3" s="863">
        <f>'Reference sheet'!D17</f>
        <v>2018</v>
      </c>
      <c r="J3" s="175" t="s">
        <v>1036</v>
      </c>
      <c r="K3" s="177">
        <f>'Reference sheet'!C15</f>
        <v>2</v>
      </c>
      <c r="N3" s="168" t="s">
        <v>647</v>
      </c>
    </row>
    <row r="4" spans="1:14" ht="13.2" customHeight="1" x14ac:dyDescent="0.35">
      <c r="A4" s="145"/>
      <c r="B4" s="178"/>
      <c r="C4" s="146"/>
      <c r="D4" s="146"/>
      <c r="E4" s="146"/>
      <c r="F4" s="146"/>
      <c r="G4" s="179"/>
      <c r="H4" s="146"/>
      <c r="I4" s="146"/>
      <c r="J4" s="146"/>
      <c r="K4" s="180"/>
    </row>
    <row r="5" spans="1:14" x14ac:dyDescent="0.35">
      <c r="A5" s="136"/>
      <c r="B5" s="181"/>
      <c r="C5" s="136"/>
      <c r="D5" s="136"/>
      <c r="E5" s="136"/>
      <c r="F5" s="136"/>
      <c r="G5" s="182"/>
      <c r="H5" s="136"/>
      <c r="I5" s="136"/>
      <c r="J5" s="136"/>
      <c r="K5" s="181"/>
    </row>
    <row r="6" spans="1:14" ht="18.75" customHeight="1" x14ac:dyDescent="0.35">
      <c r="A6" s="993" t="s">
        <v>709</v>
      </c>
      <c r="B6" s="268"/>
      <c r="C6" s="880"/>
      <c r="D6" s="874" t="s">
        <v>1257</v>
      </c>
      <c r="E6" s="874"/>
      <c r="F6" s="874"/>
      <c r="G6" s="874"/>
      <c r="H6" s="874"/>
      <c r="I6" s="874"/>
      <c r="J6" s="874"/>
      <c r="K6" s="875"/>
    </row>
    <row r="7" spans="1:14" ht="18.75" customHeight="1" x14ac:dyDescent="0.35">
      <c r="A7" s="410" t="s">
        <v>515</v>
      </c>
      <c r="B7" s="171"/>
      <c r="C7" s="335"/>
      <c r="D7" s="874" t="s">
        <v>1259</v>
      </c>
      <c r="E7" s="874"/>
      <c r="F7" s="874"/>
      <c r="G7" s="874"/>
      <c r="H7" s="874"/>
      <c r="I7" s="874"/>
      <c r="J7" s="874"/>
      <c r="K7" s="875"/>
    </row>
    <row r="8" spans="1:14" ht="18.75" customHeight="1" x14ac:dyDescent="0.35">
      <c r="A8" s="410" t="s">
        <v>786</v>
      </c>
      <c r="B8" s="171"/>
      <c r="C8" s="335"/>
      <c r="D8" s="874" t="s">
        <v>1376</v>
      </c>
      <c r="E8" s="874"/>
      <c r="F8" s="874"/>
      <c r="G8" s="874"/>
      <c r="H8" s="874"/>
      <c r="I8" s="874"/>
      <c r="J8" s="874"/>
      <c r="K8" s="875"/>
    </row>
    <row r="9" spans="1:14" ht="18.75" customHeight="1" x14ac:dyDescent="0.35">
      <c r="A9" s="410" t="s">
        <v>516</v>
      </c>
      <c r="B9" s="171"/>
      <c r="C9" s="335"/>
      <c r="D9" s="874"/>
      <c r="E9" s="874"/>
      <c r="F9" s="874"/>
      <c r="G9" s="874"/>
      <c r="H9" s="874"/>
      <c r="I9" s="874"/>
      <c r="J9" s="874"/>
      <c r="K9" s="875"/>
    </row>
    <row r="10" spans="1:14" ht="18.75" customHeight="1" x14ac:dyDescent="0.35">
      <c r="A10" s="410" t="s">
        <v>517</v>
      </c>
      <c r="B10" s="171"/>
      <c r="C10" s="335"/>
      <c r="D10" s="874" t="s">
        <v>1374</v>
      </c>
      <c r="E10" s="874"/>
      <c r="F10" s="874"/>
      <c r="G10" s="874"/>
      <c r="H10" s="874"/>
      <c r="I10" s="874"/>
      <c r="J10" s="874"/>
      <c r="K10" s="875"/>
    </row>
    <row r="11" spans="1:14" ht="18.75" customHeight="1" x14ac:dyDescent="0.35">
      <c r="A11" s="410" t="s">
        <v>1030</v>
      </c>
      <c r="B11" s="171"/>
      <c r="C11" s="335"/>
      <c r="D11" s="874" t="s">
        <v>1255</v>
      </c>
      <c r="E11" s="874"/>
      <c r="F11" s="874"/>
      <c r="G11" s="874"/>
      <c r="H11" s="874"/>
      <c r="I11" s="874"/>
      <c r="J11" s="874"/>
      <c r="K11" s="875"/>
    </row>
    <row r="12" spans="1:14" ht="18.75" customHeight="1" x14ac:dyDescent="0.35">
      <c r="A12" s="410" t="s">
        <v>518</v>
      </c>
      <c r="B12" s="171"/>
      <c r="C12" s="335"/>
      <c r="D12" s="874">
        <v>21671453466</v>
      </c>
      <c r="E12" s="874"/>
      <c r="F12" s="874"/>
      <c r="G12" s="874"/>
      <c r="H12" s="874"/>
      <c r="I12" s="874"/>
      <c r="J12" s="874"/>
      <c r="K12" s="875"/>
    </row>
    <row r="13" spans="1:14" ht="18.75" customHeight="1" x14ac:dyDescent="0.35">
      <c r="A13" s="410" t="s">
        <v>890</v>
      </c>
      <c r="B13" s="171"/>
      <c r="C13" s="335"/>
      <c r="D13" s="874">
        <v>21671451155</v>
      </c>
      <c r="E13" s="874"/>
      <c r="F13" s="874"/>
      <c r="G13" s="874"/>
      <c r="H13" s="874"/>
      <c r="I13" s="874"/>
      <c r="J13" s="874"/>
      <c r="K13" s="875"/>
    </row>
    <row r="14" spans="1:14" ht="18.75" customHeight="1" x14ac:dyDescent="0.35">
      <c r="A14" s="410" t="s">
        <v>787</v>
      </c>
      <c r="B14" s="171"/>
      <c r="C14" s="335"/>
      <c r="D14" s="874" t="s">
        <v>1258</v>
      </c>
      <c r="E14" s="874"/>
      <c r="F14" s="874"/>
      <c r="G14" s="874"/>
      <c r="H14" s="874"/>
      <c r="I14" s="874"/>
      <c r="J14" s="874"/>
      <c r="K14" s="875"/>
    </row>
    <row r="15" spans="1:14" ht="18.75" customHeight="1" x14ac:dyDescent="0.35">
      <c r="A15" s="410" t="s">
        <v>519</v>
      </c>
      <c r="B15" s="171"/>
      <c r="C15" s="335"/>
      <c r="D15" s="854"/>
      <c r="E15" s="854"/>
      <c r="F15" s="854"/>
      <c r="G15" s="854"/>
      <c r="H15" s="874"/>
      <c r="I15" s="874"/>
      <c r="J15" s="874"/>
      <c r="K15" s="875"/>
    </row>
    <row r="16" spans="1:14" ht="18.75" customHeight="1" x14ac:dyDescent="0.35">
      <c r="A16" s="410" t="s">
        <v>520</v>
      </c>
      <c r="B16" s="171"/>
      <c r="C16" s="335"/>
      <c r="D16" s="874"/>
      <c r="E16" s="874"/>
      <c r="F16" s="874"/>
      <c r="G16" s="875"/>
      <c r="H16" s="1591" t="s">
        <v>540</v>
      </c>
      <c r="I16" s="1591"/>
      <c r="J16" s="2069"/>
      <c r="K16" s="2070"/>
    </row>
    <row r="17" spans="1:11" ht="18.75" customHeight="1" x14ac:dyDescent="0.35">
      <c r="A17" s="410" t="s">
        <v>710</v>
      </c>
      <c r="B17" s="171"/>
      <c r="C17" s="335"/>
      <c r="D17" s="859"/>
      <c r="E17" s="859"/>
      <c r="F17" s="859"/>
      <c r="G17" s="859"/>
      <c r="H17" s="874"/>
      <c r="I17" s="874"/>
      <c r="J17" s="874"/>
      <c r="K17" s="875"/>
    </row>
    <row r="18" spans="1:11" ht="18.75" customHeight="1" x14ac:dyDescent="0.35">
      <c r="A18" s="410" t="s">
        <v>521</v>
      </c>
      <c r="B18" s="171"/>
      <c r="C18" s="335"/>
      <c r="D18" s="874"/>
      <c r="E18" s="874"/>
      <c r="F18" s="874"/>
      <c r="G18" s="1590"/>
      <c r="H18" s="874"/>
      <c r="I18" s="874"/>
      <c r="J18" s="874"/>
      <c r="K18" s="875"/>
    </row>
    <row r="19" spans="1:11" ht="18.75" customHeight="1" x14ac:dyDescent="0.35">
      <c r="A19" s="410" t="s">
        <v>309</v>
      </c>
      <c r="B19" s="171"/>
      <c r="C19" s="335"/>
      <c r="D19" s="874"/>
      <c r="E19" s="874"/>
      <c r="F19" s="874"/>
      <c r="G19" s="1851" t="s">
        <v>1256</v>
      </c>
      <c r="H19" s="874"/>
      <c r="I19" s="874"/>
      <c r="J19" s="874"/>
      <c r="K19" s="875"/>
    </row>
    <row r="20" spans="1:11" ht="18.75" customHeight="1" x14ac:dyDescent="0.35">
      <c r="A20" s="410" t="s">
        <v>331</v>
      </c>
      <c r="B20" s="171"/>
      <c r="C20" s="335"/>
      <c r="D20" s="874"/>
      <c r="E20" s="874"/>
      <c r="F20" s="875"/>
      <c r="G20" s="1555" t="s">
        <v>754</v>
      </c>
      <c r="H20" s="218"/>
      <c r="I20" s="1332"/>
      <c r="J20" s="874"/>
      <c r="K20" s="875"/>
    </row>
    <row r="21" spans="1:11" ht="18.75" customHeight="1" x14ac:dyDescent="0.35">
      <c r="A21" s="410" t="s">
        <v>332</v>
      </c>
      <c r="B21" s="171"/>
      <c r="C21" s="335"/>
      <c r="D21" s="874"/>
      <c r="E21" s="874"/>
      <c r="F21" s="875"/>
      <c r="G21" s="1555" t="s">
        <v>754</v>
      </c>
      <c r="H21" s="218"/>
      <c r="I21" s="1332"/>
      <c r="J21" s="874"/>
      <c r="K21" s="875"/>
    </row>
    <row r="22" spans="1:11" ht="18.75" customHeight="1" x14ac:dyDescent="0.35">
      <c r="A22" s="410" t="s">
        <v>765</v>
      </c>
      <c r="B22" s="171"/>
      <c r="C22" s="335"/>
      <c r="D22" s="854"/>
      <c r="E22" s="854"/>
      <c r="F22" s="854"/>
      <c r="G22" s="854"/>
      <c r="H22" s="854"/>
      <c r="I22" s="854"/>
      <c r="J22" s="854"/>
      <c r="K22" s="855"/>
    </row>
    <row r="23" spans="1:11" ht="18.75" customHeight="1" x14ac:dyDescent="0.35">
      <c r="A23" s="410" t="s">
        <v>616</v>
      </c>
      <c r="B23" s="171"/>
      <c r="C23" s="335"/>
      <c r="D23" s="874"/>
      <c r="E23" s="874"/>
      <c r="F23" s="874"/>
      <c r="G23" s="874"/>
      <c r="H23" s="874"/>
      <c r="I23" s="874"/>
      <c r="J23" s="874"/>
      <c r="K23" s="875"/>
    </row>
    <row r="24" spans="1:11" ht="18.75" customHeight="1" x14ac:dyDescent="0.35">
      <c r="A24" s="415" t="s">
        <v>333</v>
      </c>
      <c r="B24" s="224"/>
      <c r="C24" s="266"/>
      <c r="D24" s="874"/>
      <c r="E24" s="874"/>
      <c r="F24" s="874"/>
      <c r="G24" s="874"/>
      <c r="H24" s="874"/>
      <c r="I24" s="874"/>
      <c r="J24" s="874"/>
      <c r="K24" s="875"/>
    </row>
    <row r="25" spans="1:11" ht="8.25" customHeight="1" x14ac:dyDescent="0.35"/>
    <row r="26" spans="1:11" ht="18.75" hidden="1" customHeight="1" x14ac:dyDescent="0.35"/>
    <row r="27" spans="1:11" ht="18.75" hidden="1" customHeight="1" x14ac:dyDescent="0.35"/>
    <row r="28" spans="1:11" ht="18.75" hidden="1" customHeight="1" x14ac:dyDescent="0.35"/>
    <row r="29" spans="1:11" ht="18.75" hidden="1" customHeight="1" x14ac:dyDescent="0.35"/>
    <row r="30" spans="1:11" ht="18.75" hidden="1" customHeight="1" x14ac:dyDescent="0.35"/>
    <row r="31" spans="1:11" ht="18.75" hidden="1" customHeight="1" x14ac:dyDescent="0.35"/>
    <row r="32" spans="1:11" ht="18.75" hidden="1" customHeight="1" x14ac:dyDescent="0.35"/>
    <row r="33" ht="18.75" hidden="1" customHeight="1" x14ac:dyDescent="0.35"/>
    <row r="34" ht="18.75" hidden="1" customHeight="1" x14ac:dyDescent="0.35"/>
    <row r="35" ht="18.75" hidden="1" customHeight="1" x14ac:dyDescent="0.35"/>
    <row r="36" ht="18.75" hidden="1" customHeight="1" x14ac:dyDescent="0.35"/>
    <row r="37" ht="18.75" hidden="1" customHeight="1" x14ac:dyDescent="0.35"/>
    <row r="38" ht="18.75" hidden="1" customHeight="1" x14ac:dyDescent="0.35"/>
    <row r="39" ht="18.75" hidden="1" customHeight="1" x14ac:dyDescent="0.35"/>
    <row r="40" ht="18.75" hidden="1" customHeight="1" x14ac:dyDescent="0.35"/>
    <row r="41" ht="18.75" hidden="1" customHeight="1" x14ac:dyDescent="0.35"/>
    <row r="42" ht="18.75" hidden="1" customHeight="1" x14ac:dyDescent="0.35"/>
    <row r="43" ht="18.75" hidden="1" customHeight="1" x14ac:dyDescent="0.35"/>
    <row r="44" ht="18.75" hidden="1" customHeight="1" x14ac:dyDescent="0.35"/>
    <row r="45" ht="18.75" hidden="1" customHeight="1" x14ac:dyDescent="0.35"/>
    <row r="46" ht="18.75" hidden="1" customHeight="1" x14ac:dyDescent="0.35"/>
    <row r="47" ht="18.75" hidden="1" customHeight="1" x14ac:dyDescent="0.35"/>
    <row r="48" ht="18.75" hidden="1" customHeight="1" x14ac:dyDescent="0.35"/>
    <row r="49" ht="18.75" hidden="1" customHeight="1" x14ac:dyDescent="0.35"/>
    <row r="50" ht="18.75" hidden="1" customHeight="1" x14ac:dyDescent="0.35"/>
    <row r="51" ht="18.75" hidden="1" customHeight="1" x14ac:dyDescent="0.35"/>
    <row r="52" ht="18.75" hidden="1" customHeight="1" x14ac:dyDescent="0.35"/>
    <row r="53" ht="18.75" hidden="1" customHeight="1" x14ac:dyDescent="0.35"/>
    <row r="54" ht="18.75" hidden="1" customHeight="1" x14ac:dyDescent="0.35"/>
    <row r="55" ht="18.75" hidden="1" customHeight="1" x14ac:dyDescent="0.35"/>
    <row r="56" ht="18.75" hidden="1" customHeight="1" x14ac:dyDescent="0.35"/>
    <row r="57" ht="18.75" hidden="1" customHeight="1" x14ac:dyDescent="0.35"/>
    <row r="58" ht="18.75" hidden="1" customHeight="1" x14ac:dyDescent="0.35"/>
    <row r="59" ht="18.75" hidden="1" customHeight="1" x14ac:dyDescent="0.35"/>
    <row r="60" ht="18.75" hidden="1" customHeight="1" x14ac:dyDescent="0.35"/>
    <row r="61" ht="18.75" hidden="1" customHeight="1" x14ac:dyDescent="0.35"/>
    <row r="62" ht="18.75" hidden="1" customHeight="1" x14ac:dyDescent="0.35"/>
    <row r="63" ht="18.75" hidden="1" customHeight="1" x14ac:dyDescent="0.35"/>
    <row r="64" ht="18.75" hidden="1" customHeight="1" x14ac:dyDescent="0.35"/>
    <row r="65" ht="18.75" hidden="1" customHeight="1" x14ac:dyDescent="0.35"/>
    <row r="66" ht="18.75" hidden="1" customHeight="1" x14ac:dyDescent="0.35"/>
    <row r="67" hidden="1" x14ac:dyDescent="0.35"/>
    <row r="68" hidden="1" x14ac:dyDescent="0.35"/>
    <row r="69" hidden="1" x14ac:dyDescent="0.35"/>
    <row r="70" hidden="1" x14ac:dyDescent="0.35"/>
    <row r="71" hidden="1" x14ac:dyDescent="0.35"/>
    <row r="72" hidden="1" x14ac:dyDescent="0.35"/>
    <row r="73" hidden="1" x14ac:dyDescent="0.35"/>
    <row r="74" hidden="1" x14ac:dyDescent="0.35"/>
    <row r="75" hidden="1" x14ac:dyDescent="0.35"/>
    <row r="76" hidden="1" x14ac:dyDescent="0.35"/>
    <row r="77" hidden="1" x14ac:dyDescent="0.35"/>
    <row r="78" hidden="1" x14ac:dyDescent="0.35"/>
    <row r="79" hidden="1" x14ac:dyDescent="0.35"/>
    <row r="80" hidden="1" x14ac:dyDescent="0.35"/>
    <row r="81" hidden="1" x14ac:dyDescent="0.35"/>
    <row r="82" hidden="1" x14ac:dyDescent="0.35"/>
    <row r="83" hidden="1" x14ac:dyDescent="0.35"/>
    <row r="84" hidden="1" x14ac:dyDescent="0.35"/>
    <row r="85" hidden="1" x14ac:dyDescent="0.35"/>
    <row r="86" hidden="1" x14ac:dyDescent="0.35"/>
    <row r="87" hidden="1" x14ac:dyDescent="0.35"/>
    <row r="88" hidden="1" x14ac:dyDescent="0.35"/>
    <row r="89" hidden="1" x14ac:dyDescent="0.35"/>
    <row r="90" hidden="1" x14ac:dyDescent="0.35"/>
    <row r="91" hidden="1" x14ac:dyDescent="0.35"/>
    <row r="92" hidden="1" x14ac:dyDescent="0.35"/>
    <row r="93" hidden="1" x14ac:dyDescent="0.35"/>
    <row r="94" hidden="1" x14ac:dyDescent="0.35"/>
    <row r="95" hidden="1" x14ac:dyDescent="0.35"/>
    <row r="96" hidden="1" x14ac:dyDescent="0.35"/>
    <row r="97" hidden="1" x14ac:dyDescent="0.35"/>
    <row r="98" hidden="1" x14ac:dyDescent="0.35"/>
    <row r="99" hidden="1" x14ac:dyDescent="0.35"/>
    <row r="100" hidden="1" x14ac:dyDescent="0.35"/>
    <row r="101" hidden="1" x14ac:dyDescent="0.35"/>
    <row r="102" hidden="1" x14ac:dyDescent="0.35"/>
    <row r="103" hidden="1" x14ac:dyDescent="0.35"/>
    <row r="104" hidden="1" x14ac:dyDescent="0.35"/>
    <row r="105" hidden="1" x14ac:dyDescent="0.35"/>
  </sheetData>
  <sheetProtection password="813F" sheet="1" objects="1" scenarios="1" selectLockedCells="1"/>
  <customSheetViews>
    <customSheetView guid="{51165254-F18A-4CD1-9981-8F2DE14CC76C}" showGridLines="0" fitToPage="1" hiddenRows="1" hiddenColumns="1" showRuler="0">
      <selection activeCell="D12" sqref="D12"/>
      <pageMargins left="0.78740157480314965" right="0.78740157480314965" top="0.98425196850393704" bottom="0.98425196850393704" header="0.51181102362204722" footer="0.51181102362204722"/>
      <printOptions horizontalCentered="1" verticalCentered="1"/>
      <pageSetup paperSize="9" scale="65" orientation="portrait" r:id="rId1"/>
      <headerFooter alignWithMargins="0">
        <oddHeader>&amp;L&amp;F</oddHeader>
        <oddFooter xml:space="preserve">&amp;LDAF Dealer Business Plan&amp;CPrint date: &amp;D&amp;R&amp;P/&amp;N | DAF Trucks NV    </oddFooter>
      </headerFooter>
    </customSheetView>
  </customSheetViews>
  <mergeCells count="1">
    <mergeCell ref="J16:K16"/>
  </mergeCells>
  <phoneticPr fontId="11" type="noConversion"/>
  <dataValidations count="1">
    <dataValidation type="list" allowBlank="1" showInputMessage="1" showErrorMessage="1" sqref="J16:K16">
      <formula1>$N$1:$N$3</formula1>
    </dataValidation>
  </dataValidations>
  <printOptions horizontalCentered="1" verticalCentered="1"/>
  <pageMargins left="0.78740157480314965" right="0.78740157480314965" top="0.98425196850393704" bottom="0.98425196850393704" header="0.51181102362204722" footer="0.51181102362204722"/>
  <pageSetup paperSize="9" scale="59"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2">
    <tabColor indexed="48"/>
    <pageSetUpPr fitToPage="1"/>
  </sheetPr>
  <dimension ref="A1:L146"/>
  <sheetViews>
    <sheetView showGridLines="0" workbookViewId="0">
      <pane ySplit="17" topLeftCell="A18" activePane="bottomLeft" state="frozen"/>
      <selection pane="bottomLeft" activeCell="D12" sqref="D12"/>
    </sheetView>
  </sheetViews>
  <sheetFormatPr baseColWidth="10" defaultColWidth="0" defaultRowHeight="14.4" zeroHeight="1" x14ac:dyDescent="0.35"/>
  <cols>
    <col min="1" max="1" width="20.6640625" style="45" customWidth="1"/>
    <col min="2" max="2" width="12.33203125" style="45" customWidth="1"/>
    <col min="3" max="3" width="13.109375" style="45" customWidth="1"/>
    <col min="4" max="4" width="9.109375" style="45" customWidth="1"/>
    <col min="5" max="5" width="13.109375" style="45" customWidth="1"/>
    <col min="6" max="6" width="9.109375" style="45" customWidth="1"/>
    <col min="7" max="7" width="13.109375" style="45" customWidth="1"/>
    <col min="8" max="8" width="13" style="45" customWidth="1"/>
    <col min="9" max="9" width="13.109375" style="45" customWidth="1"/>
    <col min="10" max="10" width="11.6640625" style="45" customWidth="1"/>
    <col min="11" max="11" width="14.109375" style="45" customWidth="1"/>
    <col min="12" max="12" width="1.6640625" style="44" customWidth="1"/>
    <col min="13" max="16384" width="9.109375" style="45" hidden="1"/>
  </cols>
  <sheetData>
    <row r="1" spans="1:11" ht="28.8" x14ac:dyDescent="0.55000000000000004">
      <c r="A1" s="200" t="str">
        <f>'7.12 Assumptions &amp; Remarks'!A1</f>
        <v>Financial Business Plan</v>
      </c>
      <c r="B1" s="201"/>
      <c r="C1" s="201"/>
      <c r="D1" s="201"/>
      <c r="E1" s="201"/>
      <c r="F1" s="201"/>
      <c r="G1" s="201"/>
      <c r="H1" s="201"/>
      <c r="I1" s="201"/>
      <c r="J1" s="201"/>
      <c r="K1" s="202" t="s">
        <v>1232</v>
      </c>
    </row>
    <row r="2" spans="1:11" x14ac:dyDescent="0.35">
      <c r="A2" s="135"/>
      <c r="B2" s="136"/>
      <c r="C2" s="136"/>
      <c r="D2" s="136"/>
      <c r="E2" s="280"/>
      <c r="F2" s="136"/>
      <c r="G2" s="136"/>
      <c r="H2" s="136"/>
      <c r="I2" s="136"/>
      <c r="J2" s="136"/>
      <c r="K2" s="137"/>
    </row>
    <row r="3" spans="1:11" ht="16.2" x14ac:dyDescent="0.35">
      <c r="A3" s="138" t="s">
        <v>1035</v>
      </c>
      <c r="B3" s="239" t="str">
        <f>'Reference sheet'!C12</f>
        <v>TRUCK INTERNATIONAL MOBILITY SA</v>
      </c>
      <c r="D3" s="136"/>
      <c r="E3" s="242" t="s">
        <v>1036</v>
      </c>
      <c r="F3" s="282">
        <f>'Reference sheet'!C15</f>
        <v>2</v>
      </c>
      <c r="G3" s="283" t="s">
        <v>1037</v>
      </c>
      <c r="H3" s="243" t="str">
        <f>'Reference sheet'!C17</f>
        <v>October</v>
      </c>
      <c r="I3" s="143"/>
      <c r="J3" s="143" t="s">
        <v>1175</v>
      </c>
      <c r="K3" s="284" t="str">
        <f>'Reference sheet'!C21</f>
        <v>EUR</v>
      </c>
    </row>
    <row r="4" spans="1:11" x14ac:dyDescent="0.35">
      <c r="A4" s="145"/>
      <c r="B4" s="178"/>
      <c r="C4" s="146"/>
      <c r="D4" s="146"/>
      <c r="E4" s="146"/>
      <c r="F4" s="146"/>
      <c r="G4" s="179"/>
      <c r="H4" s="146"/>
      <c r="I4" s="146"/>
      <c r="J4" s="146"/>
      <c r="K4" s="180"/>
    </row>
    <row r="5" spans="1:11" x14ac:dyDescent="0.35"/>
    <row r="6" spans="1:11" x14ac:dyDescent="0.35">
      <c r="A6" s="45" t="s">
        <v>727</v>
      </c>
    </row>
    <row r="7" spans="1:11" x14ac:dyDescent="0.35"/>
    <row r="8" spans="1:11" x14ac:dyDescent="0.35">
      <c r="A8" s="796" t="s">
        <v>796</v>
      </c>
    </row>
    <row r="9" spans="1:11" x14ac:dyDescent="0.35">
      <c r="A9" s="45" t="s">
        <v>744</v>
      </c>
      <c r="D9" s="1828">
        <v>1</v>
      </c>
    </row>
    <row r="10" spans="1:11" x14ac:dyDescent="0.35">
      <c r="A10" s="45" t="s">
        <v>745</v>
      </c>
      <c r="D10" s="1828">
        <v>1</v>
      </c>
    </row>
    <row r="11" spans="1:11" x14ac:dyDescent="0.35">
      <c r="A11" s="45" t="s">
        <v>746</v>
      </c>
      <c r="D11" s="1828">
        <v>1</v>
      </c>
    </row>
    <row r="12" spans="1:11" x14ac:dyDescent="0.35">
      <c r="A12" s="45" t="s">
        <v>747</v>
      </c>
      <c r="D12" s="1828">
        <v>1</v>
      </c>
    </row>
    <row r="13" spans="1:11" x14ac:dyDescent="0.35">
      <c r="A13" s="45" t="s">
        <v>748</v>
      </c>
      <c r="D13" s="1828">
        <v>1</v>
      </c>
    </row>
    <row r="14" spans="1:11" x14ac:dyDescent="0.35">
      <c r="A14" s="45" t="s">
        <v>749</v>
      </c>
      <c r="D14" s="1828">
        <v>1</v>
      </c>
    </row>
    <row r="15" spans="1:11" x14ac:dyDescent="0.35">
      <c r="A15" s="45" t="s">
        <v>752</v>
      </c>
      <c r="D15" s="1828">
        <v>1</v>
      </c>
    </row>
    <row r="16" spans="1:11" x14ac:dyDescent="0.35">
      <c r="A16" s="45" t="s">
        <v>400</v>
      </c>
      <c r="D16" s="1828">
        <v>1</v>
      </c>
    </row>
    <row r="17" spans="1:11" x14ac:dyDescent="0.35"/>
    <row r="18" spans="1:11" hidden="1" x14ac:dyDescent="0.35"/>
    <row r="19" spans="1:11" ht="18" hidden="1" x14ac:dyDescent="0.35">
      <c r="A19" s="579" t="s">
        <v>944</v>
      </c>
      <c r="B19" s="181"/>
      <c r="C19" s="797">
        <f>+'7.1 Dealer area'!C5</f>
        <v>2019</v>
      </c>
      <c r="D19" s="798"/>
      <c r="E19" s="797">
        <f>+'7.1 Dealer area'!E5</f>
        <v>2020</v>
      </c>
      <c r="F19" s="799"/>
      <c r="G19" s="800">
        <f>+'7.1 Dealer area'!G5</f>
        <v>2021</v>
      </c>
      <c r="H19" s="798"/>
      <c r="I19" s="800">
        <f>+'7.1 Dealer area'!I5</f>
        <v>2022</v>
      </c>
      <c r="J19" s="798"/>
      <c r="K19" s="800">
        <f>+'7.1 Dealer area'!K5</f>
        <v>2023</v>
      </c>
    </row>
    <row r="20" spans="1:11" hidden="1" x14ac:dyDescent="0.35">
      <c r="A20" s="1211" t="s">
        <v>797</v>
      </c>
      <c r="B20" s="836"/>
      <c r="C20" s="1211"/>
      <c r="D20" s="835"/>
      <c r="E20" s="1212"/>
      <c r="F20" s="1212"/>
      <c r="G20" s="1212"/>
      <c r="H20" s="1212"/>
      <c r="I20" s="1212"/>
      <c r="J20" s="1212"/>
      <c r="K20" s="1213"/>
    </row>
    <row r="21" spans="1:11" hidden="1" x14ac:dyDescent="0.35">
      <c r="A21" s="276"/>
      <c r="B21" s="277"/>
      <c r="C21" s="886"/>
      <c r="D21" s="840"/>
      <c r="E21" s="1248"/>
      <c r="F21" s="1248"/>
      <c r="G21" s="1248"/>
      <c r="H21" s="1248"/>
      <c r="I21" s="1248"/>
      <c r="J21" s="1248"/>
      <c r="K21" s="1249"/>
    </row>
    <row r="22" spans="1:11" hidden="1" x14ac:dyDescent="0.35">
      <c r="A22" s="263" t="s">
        <v>200</v>
      </c>
      <c r="B22" s="164"/>
      <c r="C22" s="1252">
        <f>'7.6.1 Activity contribution'!H16</f>
        <v>2091426.6048094556</v>
      </c>
      <c r="D22" s="1178"/>
      <c r="E22" s="1178">
        <f ca="1">'7.6.1 Activity contribution'!H93</f>
        <v>5221371.6089377711</v>
      </c>
      <c r="F22" s="1178"/>
      <c r="G22" s="1178">
        <f ca="1">'7.6.1 Activity contribution'!H170</f>
        <v>8757981.3230290413</v>
      </c>
      <c r="H22" s="1178"/>
      <c r="I22" s="1178">
        <f ca="1">'7.6.1 Activity contribution'!H247</f>
        <v>11107178.192433998</v>
      </c>
      <c r="J22" s="1178"/>
      <c r="K22" s="1177">
        <f ca="1">'7.6.1 Activity contribution'!H324</f>
        <v>13431373.112078246</v>
      </c>
    </row>
    <row r="23" spans="1:11" hidden="1" x14ac:dyDescent="0.35">
      <c r="A23" s="263"/>
      <c r="B23" s="164"/>
      <c r="C23" s="1252"/>
      <c r="D23" s="1178"/>
      <c r="E23" s="1178"/>
      <c r="F23" s="1178"/>
      <c r="G23" s="1178"/>
      <c r="H23" s="1178"/>
      <c r="I23" s="1178"/>
      <c r="J23" s="1178"/>
      <c r="K23" s="1177"/>
    </row>
    <row r="24" spans="1:11" hidden="1" x14ac:dyDescent="0.35">
      <c r="A24" s="263" t="s">
        <v>775</v>
      </c>
      <c r="B24" s="164"/>
      <c r="C24" s="1252">
        <f>'7.7 P&amp;L'!C13</f>
        <v>297805.84692378226</v>
      </c>
      <c r="D24" s="1178"/>
      <c r="E24" s="1178">
        <f ca="1">'7.7 P&amp;L'!E13</f>
        <v>746498.56907085516</v>
      </c>
      <c r="F24" s="1178"/>
      <c r="G24" s="1178">
        <f ca="1">'7.7 P&amp;L'!G13</f>
        <v>1216772.2830297835</v>
      </c>
      <c r="H24" s="1178"/>
      <c r="I24" s="1178">
        <f ca="1">'7.7 P&amp;L'!I13</f>
        <v>1558895.7310359925</v>
      </c>
      <c r="J24" s="1178"/>
      <c r="K24" s="1177">
        <f ca="1">'7.7 P&amp;L'!K13</f>
        <v>1903981.8628961761</v>
      </c>
    </row>
    <row r="25" spans="1:11" hidden="1" x14ac:dyDescent="0.35">
      <c r="A25" s="263"/>
      <c r="B25" s="164"/>
      <c r="C25" s="1252"/>
      <c r="D25" s="1178"/>
      <c r="E25" s="1178"/>
      <c r="F25" s="1178"/>
      <c r="G25" s="1178"/>
      <c r="H25" s="1178"/>
      <c r="I25" s="1178"/>
      <c r="J25" s="1178"/>
      <c r="K25" s="1177"/>
    </row>
    <row r="26" spans="1:11" hidden="1" x14ac:dyDescent="0.35">
      <c r="A26" s="263" t="s">
        <v>798</v>
      </c>
      <c r="B26" s="164"/>
      <c r="C26" s="1252">
        <f>'7.7 P&amp;L'!C22</f>
        <v>-90586.383076114813</v>
      </c>
      <c r="D26" s="1178"/>
      <c r="E26" s="1178">
        <f ca="1">'7.7 P&amp;L'!E22</f>
        <v>34066.929620917188</v>
      </c>
      <c r="F26" s="1178"/>
      <c r="G26" s="1178">
        <f ca="1">'7.7 P&amp;L'!G22</f>
        <v>408906.61571348843</v>
      </c>
      <c r="H26" s="1178"/>
      <c r="I26" s="1178">
        <f ca="1">'7.7 P&amp;L'!I22</f>
        <v>677795.09471436485</v>
      </c>
      <c r="J26" s="1178"/>
      <c r="K26" s="1177">
        <f ca="1">'7.7 P&amp;L'!K22</f>
        <v>980595.35489524505</v>
      </c>
    </row>
    <row r="27" spans="1:11" hidden="1" x14ac:dyDescent="0.35">
      <c r="A27" s="263"/>
      <c r="B27" s="164"/>
      <c r="C27" s="1252"/>
      <c r="D27" s="1178"/>
      <c r="E27" s="1178"/>
      <c r="F27" s="1178"/>
      <c r="G27" s="1178"/>
      <c r="H27" s="1178"/>
      <c r="I27" s="1178"/>
      <c r="J27" s="1178"/>
      <c r="K27" s="1177"/>
    </row>
    <row r="28" spans="1:11" hidden="1" x14ac:dyDescent="0.35">
      <c r="A28" s="263" t="s">
        <v>772</v>
      </c>
      <c r="B28" s="164"/>
      <c r="C28" s="1252">
        <f ca="1">'7.7 P&amp;L'!C42</f>
        <v>-107521.75880994098</v>
      </c>
      <c r="D28" s="1178"/>
      <c r="E28" s="1178">
        <f ca="1">'7.7 P&amp;L'!E42</f>
        <v>-33362.626470077521</v>
      </c>
      <c r="F28" s="1178"/>
      <c r="G28" s="1178">
        <f ca="1">'7.7 P&amp;L'!G42</f>
        <v>254363.18660152805</v>
      </c>
      <c r="H28" s="1178"/>
      <c r="I28" s="1178">
        <f ca="1">'7.7 P&amp;L'!I42</f>
        <v>465406.20309131581</v>
      </c>
      <c r="J28" s="1178"/>
      <c r="K28" s="1177">
        <f ca="1">'7.7 P&amp;L'!K42</f>
        <v>717586.23303064296</v>
      </c>
    </row>
    <row r="29" spans="1:11" hidden="1" x14ac:dyDescent="0.35">
      <c r="A29" s="263"/>
      <c r="B29" s="164"/>
      <c r="C29" s="1252"/>
      <c r="D29" s="1178"/>
      <c r="E29" s="1178"/>
      <c r="F29" s="1178"/>
      <c r="G29" s="1178"/>
      <c r="H29" s="1178"/>
      <c r="I29" s="1178"/>
      <c r="J29" s="1178"/>
      <c r="K29" s="1177"/>
    </row>
    <row r="30" spans="1:11" hidden="1" x14ac:dyDescent="0.35">
      <c r="A30" s="263" t="s">
        <v>773</v>
      </c>
      <c r="B30" s="164"/>
      <c r="C30" s="1252">
        <f ca="1">'7.10 Ratio''s balance'!C27</f>
        <v>491049.09833291592</v>
      </c>
      <c r="D30" s="1178"/>
      <c r="E30" s="1178">
        <f ca="1">'7.10 Ratio''s balance'!E27</f>
        <v>540315.32900569635</v>
      </c>
      <c r="F30" s="1178"/>
      <c r="G30" s="1178">
        <f ca="1">'7.10 Ratio''s balance'!G27</f>
        <v>1105554.7060834141</v>
      </c>
      <c r="H30" s="1178"/>
      <c r="I30" s="1178">
        <f ca="1">'7.10 Ratio''s balance'!I27</f>
        <v>1618503.7663175873</v>
      </c>
      <c r="J30" s="1178"/>
      <c r="K30" s="1177">
        <f ca="1">'7.10 Ratio''s balance'!K27</f>
        <v>2343632.8564910898</v>
      </c>
    </row>
    <row r="31" spans="1:11" hidden="1" x14ac:dyDescent="0.35">
      <c r="A31" s="263"/>
      <c r="B31" s="164"/>
      <c r="C31" s="848"/>
      <c r="D31" s="839"/>
      <c r="E31" s="839"/>
      <c r="F31" s="839"/>
      <c r="G31" s="839"/>
      <c r="H31" s="839"/>
      <c r="I31" s="839"/>
      <c r="J31" s="839"/>
      <c r="K31" s="843"/>
    </row>
    <row r="32" spans="1:11" hidden="1" x14ac:dyDescent="0.35">
      <c r="A32" s="263" t="s">
        <v>774</v>
      </c>
      <c r="B32" s="164"/>
      <c r="C32" s="1253">
        <f ca="1">'7.10 Ratio''s balance'!C37</f>
        <v>0.22096022992722394</v>
      </c>
      <c r="D32" s="1188"/>
      <c r="E32" s="1188">
        <f ca="1">'7.10 Ratio''s balance'!E37</f>
        <v>0.2146552280177948</v>
      </c>
      <c r="F32" s="1188"/>
      <c r="G32" s="1188">
        <f ca="1">'7.10 Ratio''s balance'!G37</f>
        <v>0.21429275456297445</v>
      </c>
      <c r="H32" s="1188"/>
      <c r="I32" s="1188">
        <f ca="1">'7.10 Ratio''s balance'!I37</f>
        <v>0.22769431370316004</v>
      </c>
      <c r="J32" s="1188"/>
      <c r="K32" s="1187">
        <f ca="1">'7.10 Ratio''s balance'!K37</f>
        <v>0.25716182362621881</v>
      </c>
    </row>
    <row r="33" spans="1:11" hidden="1" x14ac:dyDescent="0.35">
      <c r="A33" s="263"/>
      <c r="B33" s="164"/>
      <c r="C33" s="1253"/>
      <c r="D33" s="1188"/>
      <c r="E33" s="1188"/>
      <c r="F33" s="1188"/>
      <c r="G33" s="1188"/>
      <c r="H33" s="1188"/>
      <c r="I33" s="1188"/>
      <c r="J33" s="1188"/>
      <c r="K33" s="1187"/>
    </row>
    <row r="34" spans="1:11" hidden="1" x14ac:dyDescent="0.35">
      <c r="A34" s="263" t="s">
        <v>587</v>
      </c>
      <c r="B34" s="164"/>
      <c r="C34" s="1253">
        <f>'7.10 Ratio''s balance'!C73</f>
        <v>0.21466726136378261</v>
      </c>
      <c r="D34" s="1188"/>
      <c r="E34" s="1188">
        <f ca="1">'7.10 Ratio''s balance'!E73</f>
        <v>0.27563195545332803</v>
      </c>
      <c r="F34" s="1188"/>
      <c r="G34" s="1188">
        <f ca="1">'7.10 Ratio''s balance'!G73</f>
        <v>0.34448592702976033</v>
      </c>
      <c r="H34" s="1188"/>
      <c r="I34" s="1188">
        <f ca="1">'7.10 Ratio''s balance'!I73</f>
        <v>0.44836825451733808</v>
      </c>
      <c r="J34" s="1188"/>
      <c r="K34" s="1187">
        <f ca="1">'7.10 Ratio''s balance'!K73</f>
        <v>0.58520236039095852</v>
      </c>
    </row>
    <row r="35" spans="1:11" hidden="1" x14ac:dyDescent="0.35">
      <c r="A35" s="264"/>
      <c r="B35" s="342"/>
      <c r="C35" s="849"/>
      <c r="D35" s="850"/>
      <c r="E35" s="850"/>
      <c r="F35" s="850"/>
      <c r="G35" s="850"/>
      <c r="H35" s="850"/>
      <c r="I35" s="850"/>
      <c r="J35" s="850"/>
      <c r="K35" s="851"/>
    </row>
    <row r="36" spans="1:11" hidden="1" x14ac:dyDescent="0.35"/>
    <row r="37" spans="1:11" ht="18" hidden="1" x14ac:dyDescent="0.35">
      <c r="A37" s="622" t="s">
        <v>943</v>
      </c>
      <c r="B37" s="178"/>
      <c r="C37" s="341">
        <f>'7.8 Dealer Benchmark'!C6</f>
        <v>2019</v>
      </c>
      <c r="D37" s="342"/>
      <c r="E37" s="288">
        <f>'7.8 Dealer Benchmark'!E6</f>
        <v>2020</v>
      </c>
      <c r="F37" s="343"/>
      <c r="G37" s="288">
        <f>'7.8 Dealer Benchmark'!G6</f>
        <v>2021</v>
      </c>
      <c r="H37" s="344"/>
      <c r="I37" s="288">
        <f>'7.8 Dealer Benchmark'!I6</f>
        <v>2022</v>
      </c>
      <c r="J37" s="344"/>
      <c r="K37" s="288">
        <f>'7.8 Dealer Benchmark'!K6</f>
        <v>2023</v>
      </c>
    </row>
    <row r="38" spans="1:11" ht="22.2" hidden="1" x14ac:dyDescent="0.45">
      <c r="A38" s="1181" t="str">
        <f>'7.8 Dealer Benchmark'!A7</f>
        <v>1. General</v>
      </c>
      <c r="B38" s="1210"/>
      <c r="C38" s="1078"/>
      <c r="D38" s="833"/>
      <c r="E38" s="833"/>
      <c r="F38" s="833"/>
      <c r="G38" s="1102"/>
      <c r="H38" s="833"/>
      <c r="I38" s="833"/>
      <c r="J38" s="833"/>
      <c r="K38" s="1103"/>
    </row>
    <row r="39" spans="1:11" hidden="1" x14ac:dyDescent="0.35">
      <c r="A39" s="135"/>
      <c r="B39" s="564"/>
      <c r="C39" s="1202"/>
      <c r="D39" s="839"/>
      <c r="E39" s="839"/>
      <c r="F39" s="839"/>
      <c r="G39" s="1185"/>
      <c r="H39" s="839"/>
      <c r="I39" s="839"/>
      <c r="J39" s="839"/>
      <c r="K39" s="1186"/>
    </row>
    <row r="40" spans="1:11" hidden="1" x14ac:dyDescent="0.35">
      <c r="A40" s="221" t="str">
        <f>'7.8 Dealer Benchmark'!A9</f>
        <v>Sales</v>
      </c>
      <c r="B40" s="136"/>
      <c r="C40" s="945">
        <f>'7.8 Dealer Benchmark'!C9</f>
        <v>2091426.6048094556</v>
      </c>
      <c r="D40" s="1180"/>
      <c r="E40" s="1180">
        <f ca="1">'7.8 Dealer Benchmark'!E9</f>
        <v>5221371.6089377711</v>
      </c>
      <c r="F40" s="1180"/>
      <c r="G40" s="1180">
        <f ca="1">'7.8 Dealer Benchmark'!G9</f>
        <v>8757981.3230290413</v>
      </c>
      <c r="H40" s="1180"/>
      <c r="I40" s="1180">
        <f ca="1">'7.8 Dealer Benchmark'!I9</f>
        <v>11107178.192433998</v>
      </c>
      <c r="J40" s="1180"/>
      <c r="K40" s="981">
        <f ca="1">'7.8 Dealer Benchmark'!K9</f>
        <v>13431373.112078246</v>
      </c>
    </row>
    <row r="41" spans="1:11" hidden="1" x14ac:dyDescent="0.35">
      <c r="A41" s="221" t="str">
        <f>'7.8 Dealer Benchmark'!A10</f>
        <v>Gross margin</v>
      </c>
      <c r="B41" s="136"/>
      <c r="C41" s="1206">
        <f>'7.8 Dealer Benchmark'!C10</f>
        <v>0.14239363993885626</v>
      </c>
      <c r="D41" s="1190"/>
      <c r="E41" s="1190">
        <f ca="1">'7.8 Dealer Benchmark'!E10</f>
        <v>0.1429698219128904</v>
      </c>
      <c r="F41" s="1190"/>
      <c r="G41" s="1190">
        <f ca="1">'7.8 Dealer Benchmark'!G10</f>
        <v>0.13893296162099486</v>
      </c>
      <c r="H41" s="1190"/>
      <c r="I41" s="1190">
        <f ca="1">'7.8 Dealer Benchmark'!I10</f>
        <v>0.14035029455977244</v>
      </c>
      <c r="J41" s="1190"/>
      <c r="K41" s="1191">
        <f ca="1">'7.8 Dealer Benchmark'!K10</f>
        <v>0.14175630793727326</v>
      </c>
    </row>
    <row r="42" spans="1:11" hidden="1" x14ac:dyDescent="0.35">
      <c r="A42" s="221" t="str">
        <f>'7.8 Dealer Benchmark'!A11</f>
        <v>Operating margin</v>
      </c>
      <c r="B42" s="136"/>
      <c r="C42" s="1206">
        <f>'7.8 Dealer Benchmark'!C11</f>
        <v>-4.3313202035300639E-2</v>
      </c>
      <c r="D42" s="1190"/>
      <c r="E42" s="1190">
        <f ca="1">'7.8 Dealer Benchmark'!E11</f>
        <v>6.5245173437957459E-3</v>
      </c>
      <c r="F42" s="1190"/>
      <c r="G42" s="1190">
        <f ca="1">'7.8 Dealer Benchmark'!G11</f>
        <v>4.6689596681174894E-2</v>
      </c>
      <c r="H42" s="1190"/>
      <c r="I42" s="1190">
        <f ca="1">'7.8 Dealer Benchmark'!I11</f>
        <v>6.1023158445055486E-2</v>
      </c>
      <c r="J42" s="1190"/>
      <c r="K42" s="1191">
        <f ca="1">'7.8 Dealer Benchmark'!K11</f>
        <v>7.3007826281993357E-2</v>
      </c>
    </row>
    <row r="43" spans="1:11" hidden="1" x14ac:dyDescent="0.35">
      <c r="A43" s="221" t="str">
        <f>'7.8 Dealer Benchmark'!A12</f>
        <v>Return on sales</v>
      </c>
      <c r="B43" s="136"/>
      <c r="C43" s="1206">
        <f ca="1">'7.8 Dealer Benchmark'!C12</f>
        <v>-5.1410725369316512E-2</v>
      </c>
      <c r="D43" s="1190"/>
      <c r="E43" s="1190">
        <f ca="1">'7.8 Dealer Benchmark'!E12</f>
        <v>-6.3896288118946527E-3</v>
      </c>
      <c r="F43" s="1190"/>
      <c r="G43" s="1190">
        <f ca="1">'7.8 Dealer Benchmark'!G12</f>
        <v>2.9043586326529619E-2</v>
      </c>
      <c r="H43" s="1190"/>
      <c r="I43" s="1190">
        <f ca="1">'7.8 Dealer Benchmark'!I12</f>
        <v>4.1901389806489449E-2</v>
      </c>
      <c r="J43" s="1190"/>
      <c r="K43" s="1191">
        <f ca="1">'7.8 Dealer Benchmark'!K12</f>
        <v>5.3426126058946949E-2</v>
      </c>
    </row>
    <row r="44" spans="1:11" hidden="1" x14ac:dyDescent="0.35">
      <c r="A44" s="221" t="str">
        <f>'7.8 Dealer Benchmark'!A13</f>
        <v>Return on assets</v>
      </c>
      <c r="B44" s="136"/>
      <c r="C44" s="1206">
        <f ca="1">'7.8 Dealer Benchmark'!C13</f>
        <v>-6.0533374988600105E-2</v>
      </c>
      <c r="D44" s="1190"/>
      <c r="E44" s="1190">
        <f ca="1">'7.8 Dealer Benchmark'!E13</f>
        <v>-8.3358538356228095E-3</v>
      </c>
      <c r="F44" s="1190"/>
      <c r="G44" s="1190">
        <f ca="1">'7.8 Dealer Benchmark'!G13</f>
        <v>3.997729034248787E-2</v>
      </c>
      <c r="H44" s="1190"/>
      <c r="I44" s="1190">
        <f ca="1">'7.8 Dealer Benchmark'!I13</f>
        <v>5.7942596582278336E-2</v>
      </c>
      <c r="J44" s="1190"/>
      <c r="K44" s="1191">
        <f ca="1">'7.8 Dealer Benchmark'!K13</f>
        <v>7.2467256484897019E-2</v>
      </c>
    </row>
    <row r="45" spans="1:11" hidden="1" x14ac:dyDescent="0.35">
      <c r="A45" s="221" t="str">
        <f>'7.8 Dealer Benchmark'!A14</f>
        <v>Return on equity</v>
      </c>
      <c r="B45" s="136"/>
      <c r="C45" s="1206">
        <f ca="1">'7.8 Dealer Benchmark'!C14</f>
        <v>-0.27395597392588494</v>
      </c>
      <c r="D45" s="1190"/>
      <c r="E45" s="1190">
        <f ca="1">'7.8 Dealer Benchmark'!E14</f>
        <v>-3.8833686524195783E-2</v>
      </c>
      <c r="F45" s="1190"/>
      <c r="G45" s="1190">
        <f ca="1">'7.8 Dealer Benchmark'!G14</f>
        <v>0.18655455908444959</v>
      </c>
      <c r="H45" s="1190"/>
      <c r="I45" s="1190">
        <f ca="1">'7.8 Dealer Benchmark'!I14</f>
        <v>0.2544753781502721</v>
      </c>
      <c r="J45" s="1190"/>
      <c r="K45" s="1191">
        <f ca="1">'7.8 Dealer Benchmark'!K14</f>
        <v>0.28179632366516116</v>
      </c>
    </row>
    <row r="46" spans="1:11" hidden="1" x14ac:dyDescent="0.35">
      <c r="A46" s="221" t="str">
        <f>'7.8 Dealer Benchmark'!A15</f>
        <v>Absorption</v>
      </c>
      <c r="B46" s="136"/>
      <c r="C46" s="1206">
        <f>'7.8 Dealer Benchmark'!C15</f>
        <v>0.21466726136378261</v>
      </c>
      <c r="D46" s="1190"/>
      <c r="E46" s="1190">
        <f ca="1">'7.8 Dealer Benchmark'!E15</f>
        <v>0.27563195545332803</v>
      </c>
      <c r="F46" s="1190"/>
      <c r="G46" s="1190">
        <f ca="1">'7.8 Dealer Benchmark'!G15</f>
        <v>0.34448592702976033</v>
      </c>
      <c r="H46" s="1190"/>
      <c r="I46" s="1190">
        <f ca="1">'7.8 Dealer Benchmark'!I15</f>
        <v>0.44836825451733808</v>
      </c>
      <c r="J46" s="1190"/>
      <c r="K46" s="1191">
        <f ca="1">'7.8 Dealer Benchmark'!K15</f>
        <v>0.58520236039095852</v>
      </c>
    </row>
    <row r="47" spans="1:11" hidden="1" x14ac:dyDescent="0.35">
      <c r="A47" s="221" t="str">
        <f>'7.8 Dealer Benchmark'!A16</f>
        <v>Debt/equity</v>
      </c>
      <c r="B47" s="136"/>
      <c r="C47" s="1206">
        <f ca="1">'7.8 Dealer Benchmark'!C16</f>
        <v>3.5257013007696578</v>
      </c>
      <c r="D47" s="1190"/>
      <c r="E47" s="1190">
        <f ca="1">'7.8 Dealer Benchmark'!E16</f>
        <v>3.6586333313861821</v>
      </c>
      <c r="F47" s="1190"/>
      <c r="G47" s="1190">
        <f ca="1">'7.8 Dealer Benchmark'!G16</f>
        <v>3.6665133501101597</v>
      </c>
      <c r="H47" s="1190"/>
      <c r="I47" s="1190">
        <f ca="1">'7.8 Dealer Benchmark'!I16</f>
        <v>3.3918531988623899</v>
      </c>
      <c r="J47" s="1190"/>
      <c r="K47" s="1191">
        <f ca="1">'7.8 Dealer Benchmark'!K16</f>
        <v>2.88860207125256</v>
      </c>
    </row>
    <row r="48" spans="1:11" hidden="1" x14ac:dyDescent="0.35">
      <c r="A48" s="221" t="str">
        <f>'7.8 Dealer Benchmark'!A17</f>
        <v>Current ratio</v>
      </c>
      <c r="B48" s="136"/>
      <c r="C48" s="1254">
        <f ca="1">'7.8 Dealer Benchmark'!C17</f>
        <v>1.4358611492455911</v>
      </c>
      <c r="D48" s="1255"/>
      <c r="E48" s="1255">
        <f ca="1">'7.8 Dealer Benchmark'!E17</f>
        <v>1.1844770113443315</v>
      </c>
      <c r="F48" s="1255"/>
      <c r="G48" s="1255">
        <f ca="1">'7.8 Dealer Benchmark'!G17</f>
        <v>1.2289983470289167</v>
      </c>
      <c r="H48" s="1255"/>
      <c r="I48" s="1255">
        <f ca="1">'7.8 Dealer Benchmark'!I17</f>
        <v>1.2664318625632651</v>
      </c>
      <c r="J48" s="1255"/>
      <c r="K48" s="1250">
        <f ca="1">'7.8 Dealer Benchmark'!K17</f>
        <v>1.3223691737232275</v>
      </c>
    </row>
    <row r="49" spans="1:11" hidden="1" x14ac:dyDescent="0.35">
      <c r="A49" s="221" t="str">
        <f>'7.8 Dealer Benchmark'!A18</f>
        <v>Quick ratio</v>
      </c>
      <c r="B49" s="136"/>
      <c r="C49" s="1256">
        <f ca="1">'7.8 Dealer Benchmark'!C18</f>
        <v>0.90304885879490171</v>
      </c>
      <c r="D49" s="1255"/>
      <c r="E49" s="1255">
        <f ca="1">'7.8 Dealer Benchmark'!E18</f>
        <v>0.64932713177359724</v>
      </c>
      <c r="F49" s="1255"/>
      <c r="G49" s="1255">
        <f ca="1">'7.8 Dealer Benchmark'!G18</f>
        <v>0.68738821387006788</v>
      </c>
      <c r="H49" s="1255"/>
      <c r="I49" s="1255">
        <f ca="1">'7.8 Dealer Benchmark'!I18</f>
        <v>0.71973629741703604</v>
      </c>
      <c r="J49" s="1255"/>
      <c r="K49" s="1251">
        <f ca="1">'7.8 Dealer Benchmark'!K18</f>
        <v>0.76865914615067199</v>
      </c>
    </row>
    <row r="50" spans="1:11" hidden="1" x14ac:dyDescent="0.35">
      <c r="A50" s="221" t="str">
        <f>'7.8 Dealer Benchmark'!A19</f>
        <v xml:space="preserve">Solvency </v>
      </c>
      <c r="B50" s="136"/>
      <c r="C50" s="1206">
        <f ca="1">'7.8 Dealer Benchmark'!C19</f>
        <v>0.22096022992722394</v>
      </c>
      <c r="D50" s="1190"/>
      <c r="E50" s="1190">
        <f ca="1">'7.8 Dealer Benchmark'!E19</f>
        <v>0.2146552280177948</v>
      </c>
      <c r="F50" s="1190"/>
      <c r="G50" s="1190">
        <f ca="1">'7.8 Dealer Benchmark'!G19</f>
        <v>0.21429275456297445</v>
      </c>
      <c r="H50" s="1190"/>
      <c r="I50" s="1190">
        <f ca="1">'7.8 Dealer Benchmark'!I19</f>
        <v>0.22769431370316004</v>
      </c>
      <c r="J50" s="1190"/>
      <c r="K50" s="1191">
        <f ca="1">'7.8 Dealer Benchmark'!K19</f>
        <v>0.25716182362621881</v>
      </c>
    </row>
    <row r="51" spans="1:11" hidden="1" x14ac:dyDescent="0.35">
      <c r="A51" s="221" t="str">
        <f>'7.8 Dealer Benchmark'!A20</f>
        <v>Days sales outstanding (DSO)</v>
      </c>
      <c r="B51" s="136"/>
      <c r="C51" s="945">
        <f>'7.8 Dealer Benchmark'!C20</f>
        <v>132.3792754491881</v>
      </c>
      <c r="D51" s="1180"/>
      <c r="E51" s="1180">
        <f ca="1">'7.8 Dealer Benchmark'!E20</f>
        <v>132.94648083442598</v>
      </c>
      <c r="F51" s="1190"/>
      <c r="G51" s="1180">
        <f ca="1">'7.8 Dealer Benchmark'!G20</f>
        <v>134.57564798595587</v>
      </c>
      <c r="H51" s="1180"/>
      <c r="I51" s="1180">
        <f ca="1">'7.8 Dealer Benchmark'!I20</f>
        <v>133.18008678345879</v>
      </c>
      <c r="J51" s="1180"/>
      <c r="K51" s="981">
        <f ca="1">'7.8 Dealer Benchmark'!K20</f>
        <v>131.42580494354061</v>
      </c>
    </row>
    <row r="52" spans="1:11" hidden="1" x14ac:dyDescent="0.35">
      <c r="A52" s="221" t="str">
        <f>'7.8 Dealer Benchmark'!A21</f>
        <v>Days payables outstanding  (DPO)</v>
      </c>
      <c r="B52" s="136"/>
      <c r="C52" s="945">
        <f>'7.8 Dealer Benchmark'!C21</f>
        <v>177.14595534191508</v>
      </c>
      <c r="D52" s="1180"/>
      <c r="E52" s="1180">
        <f ca="1">'7.8 Dealer Benchmark'!E21</f>
        <v>176.93857326546711</v>
      </c>
      <c r="F52" s="1180"/>
      <c r="G52" s="1180">
        <f ca="1">'7.8 Dealer Benchmark'!G21</f>
        <v>177.85147414509328</v>
      </c>
      <c r="H52" s="1180"/>
      <c r="I52" s="1180">
        <f ca="1">'7.8 Dealer Benchmark'!I21</f>
        <v>177.63070915889156</v>
      </c>
      <c r="J52" s="1180"/>
      <c r="K52" s="981">
        <f ca="1">'7.8 Dealer Benchmark'!K21</f>
        <v>177.3689562985019</v>
      </c>
    </row>
    <row r="53" spans="1:11" hidden="1" x14ac:dyDescent="0.35">
      <c r="A53" s="801" t="str">
        <f>'7.8 Dealer Benchmark'!A22</f>
        <v>Sales Mix</v>
      </c>
      <c r="B53" s="136"/>
      <c r="C53" s="941">
        <f>'7.8 Dealer Benchmark'!C22</f>
        <v>0</v>
      </c>
      <c r="D53" s="1015"/>
      <c r="E53" s="1015">
        <f>'7.8 Dealer Benchmark'!E22</f>
        <v>0</v>
      </c>
      <c r="F53" s="1015"/>
      <c r="G53" s="1015">
        <f>'7.8 Dealer Benchmark'!G22</f>
        <v>0</v>
      </c>
      <c r="H53" s="1015"/>
      <c r="I53" s="1015">
        <f>'7.8 Dealer Benchmark'!I22</f>
        <v>0</v>
      </c>
      <c r="J53" s="1015"/>
      <c r="K53" s="1174">
        <f>'7.8 Dealer Benchmark'!K22</f>
        <v>0</v>
      </c>
    </row>
    <row r="54" spans="1:11" hidden="1" x14ac:dyDescent="0.35">
      <c r="A54" s="221" t="str">
        <f>'7.8 Dealer Benchmark'!A23</f>
        <v>New trucks</v>
      </c>
      <c r="C54" s="1206">
        <f>'7.8 Dealer Benchmark'!C23</f>
        <v>0.88770411341742828</v>
      </c>
      <c r="D54" s="1190"/>
      <c r="E54" s="1190">
        <f ca="1">'7.8 Dealer Benchmark'!E23</f>
        <v>0.89477034961517532</v>
      </c>
      <c r="F54" s="1190"/>
      <c r="G54" s="1190">
        <f ca="1">'7.8 Dealer Benchmark'!G23</f>
        <v>0.91323150906581108</v>
      </c>
      <c r="H54" s="1190"/>
      <c r="I54" s="1190">
        <f ca="1">'7.8 Dealer Benchmark'!I23</f>
        <v>0.90481566477846165</v>
      </c>
      <c r="J54" s="1190"/>
      <c r="K54" s="1191">
        <f ca="1">'7.8 Dealer Benchmark'!K23</f>
        <v>0.89400106376331956</v>
      </c>
    </row>
    <row r="55" spans="1:11" hidden="1" x14ac:dyDescent="0.35">
      <c r="A55" s="221" t="str">
        <f>'7.8 Dealer Benchmark'!A24</f>
        <v>Used trucks</v>
      </c>
      <c r="B55" s="136"/>
      <c r="C55" s="1206">
        <f>'7.8 Dealer Benchmark'!C24</f>
        <v>0</v>
      </c>
      <c r="D55" s="1190"/>
      <c r="E55" s="1190">
        <f ca="1">'7.8 Dealer Benchmark'!E24</f>
        <v>0</v>
      </c>
      <c r="F55" s="1190"/>
      <c r="G55" s="1190">
        <f ca="1">'7.8 Dealer Benchmark'!G24</f>
        <v>0</v>
      </c>
      <c r="H55" s="1190"/>
      <c r="I55" s="1190">
        <f ca="1">'7.8 Dealer Benchmark'!I24</f>
        <v>0</v>
      </c>
      <c r="J55" s="1190"/>
      <c r="K55" s="1191">
        <f ca="1">'7.8 Dealer Benchmark'!K24</f>
        <v>0</v>
      </c>
    </row>
    <row r="56" spans="1:11" hidden="1" x14ac:dyDescent="0.35">
      <c r="A56" s="221" t="str">
        <f>'7.8 Dealer Benchmark'!A25</f>
        <v>Other</v>
      </c>
      <c r="B56" s="136"/>
      <c r="C56" s="1206">
        <f>'7.8 Dealer Benchmark'!C25</f>
        <v>0</v>
      </c>
      <c r="D56" s="1190"/>
      <c r="E56" s="1190">
        <f ca="1">'7.8 Dealer Benchmark'!E25</f>
        <v>0</v>
      </c>
      <c r="F56" s="1190"/>
      <c r="G56" s="1190">
        <f ca="1">'7.8 Dealer Benchmark'!G25</f>
        <v>0</v>
      </c>
      <c r="H56" s="1190"/>
      <c r="I56" s="1190">
        <f ca="1">'7.8 Dealer Benchmark'!I25</f>
        <v>0</v>
      </c>
      <c r="J56" s="1190"/>
      <c r="K56" s="1191">
        <f ca="1">'7.8 Dealer Benchmark'!K25</f>
        <v>0</v>
      </c>
    </row>
    <row r="57" spans="1:11" hidden="1" x14ac:dyDescent="0.35">
      <c r="A57" s="221" t="str">
        <f>'7.8 Dealer Benchmark'!A26</f>
        <v>Parts</v>
      </c>
      <c r="B57" s="136"/>
      <c r="C57" s="1206">
        <f>'7.8 Dealer Benchmark'!C26</f>
        <v>0.1022548935342341</v>
      </c>
      <c r="D57" s="1190"/>
      <c r="E57" s="1190">
        <f ca="1">'7.8 Dealer Benchmark'!E26</f>
        <v>9.5300086733186878E-2</v>
      </c>
      <c r="F57" s="1190"/>
      <c r="G57" s="1190">
        <f ca="1">'7.8 Dealer Benchmark'!G26</f>
        <v>7.800331630624073E-2</v>
      </c>
      <c r="H57" s="1190"/>
      <c r="I57" s="1190">
        <f ca="1">'7.8 Dealer Benchmark'!I26</f>
        <v>8.5184511876168337E-2</v>
      </c>
      <c r="J57" s="1190"/>
      <c r="K57" s="1191">
        <f ca="1">'7.8 Dealer Benchmark'!K26</f>
        <v>9.4746137332367905E-2</v>
      </c>
    </row>
    <row r="58" spans="1:11" hidden="1" x14ac:dyDescent="0.35">
      <c r="A58" s="221" t="str">
        <f>'7.8 Dealer Benchmark'!A27</f>
        <v>Service &amp; Body</v>
      </c>
      <c r="B58" s="136"/>
      <c r="C58" s="1206">
        <f>'7.8 Dealer Benchmark'!C27</f>
        <v>1.0040993048337575E-2</v>
      </c>
      <c r="D58" s="1190"/>
      <c r="E58" s="1190">
        <f ca="1">'7.8 Dealer Benchmark'!E27</f>
        <v>9.9295636516376455E-3</v>
      </c>
      <c r="F58" s="1190"/>
      <c r="G58" s="1190">
        <f ca="1">'7.8 Dealer Benchmark'!G27</f>
        <v>8.7651746279484265E-3</v>
      </c>
      <c r="H58" s="1190"/>
      <c r="I58" s="1190">
        <f ca="1">'7.8 Dealer Benchmark'!I27</f>
        <v>9.9998233453699129E-3</v>
      </c>
      <c r="J58" s="1190"/>
      <c r="K58" s="1191">
        <f ca="1">'7.8 Dealer Benchmark'!K27</f>
        <v>1.125279890431248E-2</v>
      </c>
    </row>
    <row r="59" spans="1:11" hidden="1" x14ac:dyDescent="0.35">
      <c r="A59" s="221"/>
      <c r="B59" s="136"/>
      <c r="C59" s="941"/>
      <c r="D59" s="1015"/>
      <c r="E59" s="1015"/>
      <c r="F59" s="1015"/>
      <c r="G59" s="1015"/>
      <c r="H59" s="1015"/>
      <c r="I59" s="1015"/>
      <c r="J59" s="1015"/>
      <c r="K59" s="1174"/>
    </row>
    <row r="60" spans="1:11" hidden="1" x14ac:dyDescent="0.35">
      <c r="A60" s="268"/>
      <c r="B60" s="148"/>
      <c r="C60" s="271"/>
      <c r="D60" s="271"/>
      <c r="E60" s="271"/>
      <c r="F60" s="271"/>
      <c r="G60" s="271"/>
      <c r="H60" s="271"/>
      <c r="I60" s="271"/>
      <c r="J60" s="271"/>
      <c r="K60" s="271"/>
    </row>
    <row r="61" spans="1:11" ht="22.2" hidden="1" x14ac:dyDescent="0.45">
      <c r="A61" s="1181" t="str">
        <f>'7.8 Dealer Benchmark'!A30</f>
        <v>2. New truck department</v>
      </c>
      <c r="B61" s="1210"/>
      <c r="C61" s="1104"/>
      <c r="D61" s="1104"/>
      <c r="E61" s="1104"/>
      <c r="F61" s="1104"/>
      <c r="G61" s="1167"/>
      <c r="H61" s="1104"/>
      <c r="I61" s="1104"/>
      <c r="J61" s="1104"/>
      <c r="K61" s="1168"/>
    </row>
    <row r="62" spans="1:11" hidden="1" x14ac:dyDescent="0.35">
      <c r="A62" s="221"/>
      <c r="B62" s="136"/>
      <c r="C62" s="937"/>
      <c r="D62" s="1015"/>
      <c r="E62" s="1015"/>
      <c r="F62" s="1015"/>
      <c r="G62" s="1015"/>
      <c r="H62" s="1015"/>
      <c r="I62" s="1015"/>
      <c r="J62" s="1015"/>
      <c r="K62" s="1174"/>
    </row>
    <row r="63" spans="1:11" hidden="1" x14ac:dyDescent="0.35">
      <c r="A63" s="221" t="str">
        <f>'7.8 Dealer Benchmark'!A32</f>
        <v>Deliveries</v>
      </c>
      <c r="B63" s="136"/>
      <c r="C63" s="1257">
        <f>'7.8 Dealer Benchmark'!C32</f>
        <v>29</v>
      </c>
      <c r="D63" s="1015"/>
      <c r="E63" s="1015">
        <f>'7.8 Dealer Benchmark'!E32</f>
        <v>73</v>
      </c>
      <c r="F63" s="1015"/>
      <c r="G63" s="1015">
        <f>'7.8 Dealer Benchmark'!G32</f>
        <v>125</v>
      </c>
      <c r="H63" s="1015"/>
      <c r="I63" s="1015">
        <f>'7.8 Dealer Benchmark'!I32</f>
        <v>154</v>
      </c>
      <c r="J63" s="1015"/>
      <c r="K63" s="1174">
        <f>'7.8 Dealer Benchmark'!K32</f>
        <v>184</v>
      </c>
    </row>
    <row r="64" spans="1:11" hidden="1" x14ac:dyDescent="0.35">
      <c r="A64" s="221" t="str">
        <f>'7.8 Dealer Benchmark'!A33</f>
        <v>Sales</v>
      </c>
      <c r="B64" s="136"/>
      <c r="C64" s="945">
        <f>'7.8 Dealer Benchmark'!C33</f>
        <v>1856568</v>
      </c>
      <c r="D64" s="1180"/>
      <c r="E64" s="1180">
        <f>'7.8 Dealer Benchmark'!E33</f>
        <v>4671928.5</v>
      </c>
      <c r="F64" s="1180"/>
      <c r="G64" s="1180">
        <f>'7.8 Dealer Benchmark'!G33</f>
        <v>7998064.5</v>
      </c>
      <c r="H64" s="1180"/>
      <c r="I64" s="1180">
        <f>'7.8 Dealer Benchmark'!I33</f>
        <v>10049948.82</v>
      </c>
      <c r="J64" s="1180"/>
      <c r="K64" s="981">
        <f>'7.8 Dealer Benchmark'!K33</f>
        <v>12007661.85</v>
      </c>
    </row>
    <row r="65" spans="1:11" hidden="1" x14ac:dyDescent="0.35">
      <c r="A65" s="221" t="str">
        <f>'7.8 Dealer Benchmark'!A34</f>
        <v>Avg turnover # truck</v>
      </c>
      <c r="B65" s="136"/>
      <c r="C65" s="945">
        <f>'7.8 Dealer Benchmark'!C34</f>
        <v>64019.586206896551</v>
      </c>
      <c r="D65" s="1180"/>
      <c r="E65" s="1180">
        <f>'7.8 Dealer Benchmark'!E34</f>
        <v>63999.020547945205</v>
      </c>
      <c r="F65" s="1180"/>
      <c r="G65" s="1180">
        <f>'7.8 Dealer Benchmark'!G34</f>
        <v>63984.516000000003</v>
      </c>
      <c r="H65" s="1180"/>
      <c r="I65" s="1180">
        <f>'7.8 Dealer Benchmark'!I34</f>
        <v>65259.407922077924</v>
      </c>
      <c r="J65" s="1180"/>
      <c r="K65" s="981">
        <f>'7.8 Dealer Benchmark'!K34</f>
        <v>65259.031793478258</v>
      </c>
    </row>
    <row r="66" spans="1:11" hidden="1" x14ac:dyDescent="0.35">
      <c r="A66" s="221" t="str">
        <f>'7.8 Dealer Benchmark'!A35</f>
        <v>Gross margin</v>
      </c>
      <c r="B66" s="136"/>
      <c r="C66" s="1206">
        <f>'7.8 Dealer Benchmark'!C35</f>
        <v>0.12270428015564207</v>
      </c>
      <c r="D66" s="1190"/>
      <c r="E66" s="1190">
        <f>'7.8 Dealer Benchmark'!E35</f>
        <v>0.12282095177612416</v>
      </c>
      <c r="F66" s="1190"/>
      <c r="G66" s="1190">
        <f>'7.8 Dealer Benchmark'!G35</f>
        <v>0.12290328303803999</v>
      </c>
      <c r="H66" s="1190"/>
      <c r="I66" s="1190">
        <f>'7.8 Dealer Benchmark'!I35</f>
        <v>0.12292999384647618</v>
      </c>
      <c r="J66" s="1190"/>
      <c r="K66" s="1191">
        <f>'7.8 Dealer Benchmark'!K35</f>
        <v>0.12293208777360769</v>
      </c>
    </row>
    <row r="67" spans="1:11" hidden="1" x14ac:dyDescent="0.35">
      <c r="A67" s="221" t="str">
        <f>'7.8 Dealer Benchmark'!A36</f>
        <v>Avg gross profit # truck</v>
      </c>
      <c r="B67" s="136"/>
      <c r="C67" s="945">
        <f>'7.8 Dealer Benchmark'!C36</f>
        <v>7855.4772413793135</v>
      </c>
      <c r="D67" s="1180"/>
      <c r="E67" s="1180">
        <f>'7.8 Dealer Benchmark'!E36</f>
        <v>7860.4206164383568</v>
      </c>
      <c r="F67" s="1180"/>
      <c r="G67" s="1180">
        <f>'7.8 Dealer Benchmark'!G36</f>
        <v>7863.9070799999981</v>
      </c>
      <c r="H67" s="1180"/>
      <c r="I67" s="1180">
        <f>'7.8 Dealer Benchmark'!I36</f>
        <v>8022.338614285718</v>
      </c>
      <c r="J67" s="1180"/>
      <c r="K67" s="981">
        <f>'7.8 Dealer Benchmark'!K36</f>
        <v>8022.4290244565245</v>
      </c>
    </row>
    <row r="68" spans="1:11" hidden="1" x14ac:dyDescent="0.35">
      <c r="A68" s="221" t="str">
        <f>'7.8 Dealer Benchmark'!A37</f>
        <v>Operating expense %</v>
      </c>
      <c r="B68" s="136"/>
      <c r="C68" s="1206">
        <f>'7.8 Dealer Benchmark'!C37</f>
        <v>9.3941226499593355E-2</v>
      </c>
      <c r="D68" s="1180"/>
      <c r="E68" s="1190">
        <f>'7.8 Dealer Benchmark'!E37</f>
        <v>6.3184057129713783E-2</v>
      </c>
      <c r="F68" s="1180"/>
      <c r="G68" s="1190">
        <f>'7.8 Dealer Benchmark'!G37</f>
        <v>4.7273176692556255E-2</v>
      </c>
      <c r="H68" s="1180"/>
      <c r="I68" s="1190">
        <f>'7.8 Dealer Benchmark'!I37</f>
        <v>4.3543549810374817E-2</v>
      </c>
      <c r="J68" s="1180"/>
      <c r="K68" s="1191">
        <f>'7.8 Dealer Benchmark'!K37</f>
        <v>4.164258967348556E-2</v>
      </c>
    </row>
    <row r="69" spans="1:11" hidden="1" x14ac:dyDescent="0.35">
      <c r="A69" s="221" t="str">
        <f>'7.8 Dealer Benchmark'!A38</f>
        <v>Operating margin</v>
      </c>
      <c r="B69" s="136"/>
      <c r="C69" s="1206">
        <f>'7.8 Dealer Benchmark'!C38</f>
        <v>2.8763053656048719E-2</v>
      </c>
      <c r="D69" s="1190"/>
      <c r="E69" s="1190">
        <f>'7.8 Dealer Benchmark'!E38</f>
        <v>5.9636894646410359E-2</v>
      </c>
      <c r="F69" s="1190"/>
      <c r="G69" s="1190">
        <f>'7.8 Dealer Benchmark'!G38</f>
        <v>7.5630106345483741E-2</v>
      </c>
      <c r="H69" s="1190"/>
      <c r="I69" s="1190">
        <f>'7.8 Dealer Benchmark'!I38</f>
        <v>7.9386444036101358E-2</v>
      </c>
      <c r="J69" s="1190"/>
      <c r="K69" s="1191">
        <f>'7.8 Dealer Benchmark'!K38</f>
        <v>8.1289498100122148E-2</v>
      </c>
    </row>
    <row r="70" spans="1:11" hidden="1" x14ac:dyDescent="0.35">
      <c r="A70" s="221" t="str">
        <f>'7.8 Dealer Benchmark'!A39</f>
        <v>Inventory turns</v>
      </c>
      <c r="B70" s="136"/>
      <c r="C70" s="1207">
        <f>'7.8 Dealer Benchmark'!C39</f>
        <v>3.0002136747990891</v>
      </c>
      <c r="D70" s="1195"/>
      <c r="E70" s="1195">
        <f>'7.8 Dealer Benchmark'!E39</f>
        <v>3.0002137718985198</v>
      </c>
      <c r="F70" s="1195"/>
      <c r="G70" s="1195">
        <f>'7.8 Dealer Benchmark'!G39</f>
        <v>3.0002138404338923</v>
      </c>
      <c r="H70" s="1195"/>
      <c r="I70" s="1195">
        <f>'7.8 Dealer Benchmark'!I39</f>
        <v>3.0002096689928592</v>
      </c>
      <c r="J70" s="1195"/>
      <c r="K70" s="1194">
        <f>'7.8 Dealer Benchmark'!K39</f>
        <v>3.0002096707020027</v>
      </c>
    </row>
    <row r="71" spans="1:11" hidden="1" x14ac:dyDescent="0.35">
      <c r="A71" s="221" t="str">
        <f>'7.8 Dealer Benchmark'!A40</f>
        <v>Inventory DOH</v>
      </c>
      <c r="B71" s="136"/>
      <c r="C71" s="1207">
        <f>'7.8 Dealer Benchmark'!C40</f>
        <v>122</v>
      </c>
      <c r="D71" s="1195"/>
      <c r="E71" s="1195">
        <f>'7.8 Dealer Benchmark'!E40</f>
        <v>122</v>
      </c>
      <c r="F71" s="1195"/>
      <c r="G71" s="1195">
        <f>'7.8 Dealer Benchmark'!G40</f>
        <v>122</v>
      </c>
      <c r="H71" s="1195"/>
      <c r="I71" s="1195">
        <f>'7.8 Dealer Benchmark'!I40</f>
        <v>122</v>
      </c>
      <c r="J71" s="1195"/>
      <c r="K71" s="1194">
        <f>'7.8 Dealer Benchmark'!K40</f>
        <v>122</v>
      </c>
    </row>
    <row r="72" spans="1:11" hidden="1" x14ac:dyDescent="0.35">
      <c r="A72" s="223"/>
      <c r="B72" s="136"/>
      <c r="C72" s="1207"/>
      <c r="D72" s="1195"/>
      <c r="E72" s="1195"/>
      <c r="F72" s="1195"/>
      <c r="G72" s="1195"/>
      <c r="H72" s="1195"/>
      <c r="I72" s="1195"/>
      <c r="J72" s="1195"/>
      <c r="K72" s="1637"/>
    </row>
    <row r="73" spans="1:11" hidden="1" x14ac:dyDescent="0.35">
      <c r="A73" s="217"/>
      <c r="B73" s="184"/>
      <c r="C73" s="1259"/>
      <c r="D73" s="1259"/>
      <c r="E73" s="1259"/>
      <c r="F73" s="1259"/>
      <c r="G73" s="1259"/>
      <c r="H73" s="1259"/>
      <c r="I73" s="1259"/>
      <c r="J73" s="1259"/>
      <c r="K73" s="1259"/>
    </row>
    <row r="74" spans="1:11" ht="22.2" hidden="1" x14ac:dyDescent="0.45">
      <c r="A74" s="1182" t="str">
        <f>'7.8 Dealer Benchmark'!A43</f>
        <v>3. Used truck department</v>
      </c>
      <c r="B74" s="1258"/>
      <c r="C74" s="1106"/>
      <c r="D74" s="1106"/>
      <c r="E74" s="1106"/>
      <c r="F74" s="1106"/>
      <c r="G74" s="1183"/>
      <c r="H74" s="1106"/>
      <c r="I74" s="1106"/>
      <c r="J74" s="1106"/>
      <c r="K74" s="1184"/>
    </row>
    <row r="75" spans="1:11" hidden="1" x14ac:dyDescent="0.35">
      <c r="A75" s="267"/>
      <c r="B75" s="148"/>
      <c r="C75" s="937"/>
      <c r="D75" s="1013"/>
      <c r="E75" s="1013"/>
      <c r="F75" s="1013"/>
      <c r="G75" s="1013"/>
      <c r="H75" s="1013"/>
      <c r="I75" s="1013"/>
      <c r="J75" s="1013"/>
      <c r="K75" s="1170"/>
    </row>
    <row r="76" spans="1:11" hidden="1" x14ac:dyDescent="0.35">
      <c r="A76" s="221" t="str">
        <f>'7.8 Dealer Benchmark'!A45</f>
        <v>Deliveries</v>
      </c>
      <c r="B76" s="136"/>
      <c r="C76" s="945">
        <f>'7.8 Dealer Benchmark'!C45*$D$11</f>
        <v>0</v>
      </c>
      <c r="D76" s="1015"/>
      <c r="E76" s="1015">
        <f>'7.8 Dealer Benchmark'!E45*$D$11</f>
        <v>0</v>
      </c>
      <c r="F76" s="1015"/>
      <c r="G76" s="1015">
        <f>'7.8 Dealer Benchmark'!G45*$D$11</f>
        <v>0</v>
      </c>
      <c r="H76" s="1015"/>
      <c r="I76" s="1015">
        <f>'7.8 Dealer Benchmark'!I45*$D$11</f>
        <v>0</v>
      </c>
      <c r="J76" s="1015"/>
      <c r="K76" s="981">
        <f>'7.8 Dealer Benchmark'!K45*$D$11</f>
        <v>0</v>
      </c>
    </row>
    <row r="77" spans="1:11" hidden="1" x14ac:dyDescent="0.35">
      <c r="A77" s="221" t="str">
        <f>'7.8 Dealer Benchmark'!A46</f>
        <v>Sales</v>
      </c>
      <c r="B77" s="136"/>
      <c r="C77" s="945">
        <f>'7.8 Dealer Benchmark'!C46</f>
        <v>0</v>
      </c>
      <c r="D77" s="1180"/>
      <c r="E77" s="1180">
        <f>'7.8 Dealer Benchmark'!E46</f>
        <v>0</v>
      </c>
      <c r="F77" s="1180"/>
      <c r="G77" s="1180">
        <f>'7.8 Dealer Benchmark'!G46</f>
        <v>0</v>
      </c>
      <c r="H77" s="1180"/>
      <c r="I77" s="1180">
        <f>'7.8 Dealer Benchmark'!I46</f>
        <v>0</v>
      </c>
      <c r="J77" s="1180"/>
      <c r="K77" s="981">
        <f>'7.8 Dealer Benchmark'!K46</f>
        <v>0</v>
      </c>
    </row>
    <row r="78" spans="1:11" hidden="1" x14ac:dyDescent="0.35">
      <c r="A78" s="221" t="str">
        <f>'7.8 Dealer Benchmark'!A47</f>
        <v>Avg turnover # truck</v>
      </c>
      <c r="B78" s="136"/>
      <c r="C78" s="945">
        <f>IF(C76=0,0,'7.8 Dealer Benchmark'!C47)</f>
        <v>0</v>
      </c>
      <c r="D78" s="1180"/>
      <c r="E78" s="1180">
        <f>IF(E76=0,0,'7.8 Dealer Benchmark'!E47)</f>
        <v>0</v>
      </c>
      <c r="F78" s="1180"/>
      <c r="G78" s="1180">
        <f>IF(G76=0,0,'7.8 Dealer Benchmark'!G47)</f>
        <v>0</v>
      </c>
      <c r="H78" s="1180"/>
      <c r="I78" s="1180">
        <f>IF(I76=0,0,'7.8 Dealer Benchmark'!I47)</f>
        <v>0</v>
      </c>
      <c r="J78" s="1180"/>
      <c r="K78" s="981">
        <f>IF(K76=0,0,'7.8 Dealer Benchmark'!K47)</f>
        <v>0</v>
      </c>
    </row>
    <row r="79" spans="1:11" hidden="1" x14ac:dyDescent="0.35">
      <c r="A79" s="221" t="str">
        <f>'7.8 Dealer Benchmark'!A48</f>
        <v>Gross margin</v>
      </c>
      <c r="B79" s="136"/>
      <c r="C79" s="1206">
        <f>'7.8 Dealer Benchmark'!C48</f>
        <v>0</v>
      </c>
      <c r="D79" s="1190"/>
      <c r="E79" s="1190">
        <f>'7.8 Dealer Benchmark'!E48</f>
        <v>0</v>
      </c>
      <c r="F79" s="1190"/>
      <c r="G79" s="1190">
        <f>'7.8 Dealer Benchmark'!G48</f>
        <v>0</v>
      </c>
      <c r="H79" s="1190"/>
      <c r="I79" s="1190">
        <f>'7.8 Dealer Benchmark'!I48</f>
        <v>0</v>
      </c>
      <c r="J79" s="1190"/>
      <c r="K79" s="1191">
        <f>'7.8 Dealer Benchmark'!K48</f>
        <v>0</v>
      </c>
    </row>
    <row r="80" spans="1:11" hidden="1" x14ac:dyDescent="0.35">
      <c r="A80" s="221" t="str">
        <f>'7.8 Dealer Benchmark'!A49</f>
        <v>Avg gross profit # truck</v>
      </c>
      <c r="B80" s="136"/>
      <c r="C80" s="945">
        <f>'7.8 Dealer Benchmark'!C49</f>
        <v>0</v>
      </c>
      <c r="D80" s="1180"/>
      <c r="E80" s="1180">
        <f>'7.8 Dealer Benchmark'!E49</f>
        <v>0</v>
      </c>
      <c r="F80" s="1180"/>
      <c r="G80" s="1180">
        <f>'7.8 Dealer Benchmark'!G49</f>
        <v>0</v>
      </c>
      <c r="H80" s="1180"/>
      <c r="I80" s="1180">
        <f>'7.8 Dealer Benchmark'!I49</f>
        <v>0</v>
      </c>
      <c r="J80" s="1180"/>
      <c r="K80" s="981">
        <f>'7.8 Dealer Benchmark'!K49</f>
        <v>0</v>
      </c>
    </row>
    <row r="81" spans="1:11" hidden="1" x14ac:dyDescent="0.35">
      <c r="A81" s="221" t="str">
        <f>'7.8 Dealer Benchmark'!A50</f>
        <v>Operating expense %</v>
      </c>
      <c r="B81" s="136"/>
      <c r="C81" s="1206">
        <f>'7.8 Dealer Benchmark'!C50</f>
        <v>0</v>
      </c>
      <c r="D81" s="1190"/>
      <c r="E81" s="1190">
        <f>'7.8 Dealer Benchmark'!E50</f>
        <v>0</v>
      </c>
      <c r="F81" s="1190"/>
      <c r="G81" s="1190">
        <f>'7.8 Dealer Benchmark'!G50</f>
        <v>0</v>
      </c>
      <c r="H81" s="1190"/>
      <c r="I81" s="1190">
        <f>'7.8 Dealer Benchmark'!I50</f>
        <v>0</v>
      </c>
      <c r="J81" s="1190"/>
      <c r="K81" s="1191">
        <f>'7.8 Dealer Benchmark'!K50</f>
        <v>0</v>
      </c>
    </row>
    <row r="82" spans="1:11" hidden="1" x14ac:dyDescent="0.35">
      <c r="A82" s="221" t="str">
        <f>'7.8 Dealer Benchmark'!A51</f>
        <v>Operating margin</v>
      </c>
      <c r="B82" s="136"/>
      <c r="C82" s="1206">
        <f>'7.8 Dealer Benchmark'!C51</f>
        <v>0</v>
      </c>
      <c r="D82" s="1190"/>
      <c r="E82" s="1190">
        <f>'7.8 Dealer Benchmark'!E51</f>
        <v>0</v>
      </c>
      <c r="F82" s="1190"/>
      <c r="G82" s="1190">
        <f>'7.8 Dealer Benchmark'!G51</f>
        <v>0</v>
      </c>
      <c r="H82" s="1190"/>
      <c r="I82" s="1190">
        <f>'7.8 Dealer Benchmark'!I51</f>
        <v>0</v>
      </c>
      <c r="J82" s="1190"/>
      <c r="K82" s="1191">
        <f>'7.8 Dealer Benchmark'!K51</f>
        <v>0</v>
      </c>
    </row>
    <row r="83" spans="1:11" hidden="1" x14ac:dyDescent="0.35">
      <c r="A83" s="221" t="str">
        <f>'7.8 Dealer Benchmark'!A52</f>
        <v>Inventory turns</v>
      </c>
      <c r="B83" s="136"/>
      <c r="C83" s="1207">
        <f>'7.8 Dealer Benchmark'!C52</f>
        <v>0</v>
      </c>
      <c r="D83" s="1195"/>
      <c r="E83" s="1195">
        <f>'7.8 Dealer Benchmark'!E52</f>
        <v>0</v>
      </c>
      <c r="F83" s="1195"/>
      <c r="G83" s="1195">
        <f>'7.8 Dealer Benchmark'!G52</f>
        <v>0</v>
      </c>
      <c r="H83" s="1195"/>
      <c r="I83" s="1195">
        <f>'7.8 Dealer Benchmark'!I52</f>
        <v>0</v>
      </c>
      <c r="J83" s="1195"/>
      <c r="K83" s="1194">
        <f>'7.8 Dealer Benchmark'!K52</f>
        <v>0</v>
      </c>
    </row>
    <row r="84" spans="1:11" hidden="1" x14ac:dyDescent="0.35">
      <c r="A84" s="221" t="str">
        <f>'7.8 Dealer Benchmark'!A53</f>
        <v>Inventory DOH</v>
      </c>
      <c r="B84" s="136"/>
      <c r="C84" s="1207">
        <f>'7.8 Dealer Benchmark'!C53</f>
        <v>0</v>
      </c>
      <c r="D84" s="1195"/>
      <c r="E84" s="1195">
        <f>'7.8 Dealer Benchmark'!E53</f>
        <v>0</v>
      </c>
      <c r="F84" s="1195"/>
      <c r="G84" s="1195">
        <f>'7.8 Dealer Benchmark'!G53</f>
        <v>0</v>
      </c>
      <c r="H84" s="1195"/>
      <c r="I84" s="1195">
        <f>'7.8 Dealer Benchmark'!I53</f>
        <v>0</v>
      </c>
      <c r="J84" s="1195"/>
      <c r="K84" s="1194">
        <f>'7.8 Dealer Benchmark'!K53</f>
        <v>0</v>
      </c>
    </row>
    <row r="85" spans="1:11" hidden="1" x14ac:dyDescent="0.35">
      <c r="A85" s="223"/>
      <c r="B85" s="146"/>
      <c r="C85" s="949"/>
      <c r="D85" s="1200"/>
      <c r="E85" s="1200"/>
      <c r="F85" s="1200"/>
      <c r="G85" s="1200"/>
      <c r="H85" s="1200"/>
      <c r="I85" s="1200"/>
      <c r="J85" s="1200"/>
      <c r="K85" s="1201"/>
    </row>
    <row r="86" spans="1:11" hidden="1" x14ac:dyDescent="0.35">
      <c r="A86" s="199"/>
      <c r="C86" s="219"/>
      <c r="D86" s="219"/>
      <c r="E86" s="219"/>
      <c r="F86" s="219"/>
      <c r="G86" s="219"/>
      <c r="H86" s="219"/>
      <c r="I86" s="219"/>
      <c r="J86" s="219"/>
      <c r="K86" s="219"/>
    </row>
    <row r="87" spans="1:11" ht="22.2" hidden="1" x14ac:dyDescent="0.45">
      <c r="A87" s="1181" t="str">
        <f>'7.8 Dealer Benchmark'!A56</f>
        <v>4. Other business</v>
      </c>
      <c r="B87" s="1210"/>
      <c r="C87" s="1104"/>
      <c r="D87" s="1104"/>
      <c r="E87" s="1104"/>
      <c r="F87" s="1104"/>
      <c r="G87" s="1167"/>
      <c r="H87" s="1104"/>
      <c r="I87" s="1104"/>
      <c r="J87" s="1104"/>
      <c r="K87" s="1168"/>
    </row>
    <row r="88" spans="1:11" hidden="1" x14ac:dyDescent="0.35">
      <c r="A88" s="267"/>
      <c r="B88" s="148"/>
      <c r="C88" s="937"/>
      <c r="D88" s="1013"/>
      <c r="E88" s="1013"/>
      <c r="F88" s="1013"/>
      <c r="G88" s="1013"/>
      <c r="H88" s="1013"/>
      <c r="I88" s="1013"/>
      <c r="J88" s="1013"/>
      <c r="K88" s="1170"/>
    </row>
    <row r="89" spans="1:11" hidden="1" x14ac:dyDescent="0.35">
      <c r="A89" s="221" t="str">
        <f>'7.8 Dealer Benchmark'!A58</f>
        <v>Deliveries</v>
      </c>
      <c r="B89" s="136"/>
      <c r="C89" s="945">
        <f>'7.8 Dealer Benchmark'!C58</f>
        <v>0</v>
      </c>
      <c r="D89" s="1015"/>
      <c r="E89" s="1015">
        <f>'7.8 Dealer Benchmark'!E58</f>
        <v>0</v>
      </c>
      <c r="F89" s="1015"/>
      <c r="G89" s="1015">
        <f>'7.8 Dealer Benchmark'!G58</f>
        <v>0</v>
      </c>
      <c r="H89" s="1015"/>
      <c r="I89" s="1015">
        <f>'7.8 Dealer Benchmark'!I58</f>
        <v>0</v>
      </c>
      <c r="J89" s="1015"/>
      <c r="K89" s="1174">
        <f>'7.8 Dealer Benchmark'!K58</f>
        <v>0</v>
      </c>
    </row>
    <row r="90" spans="1:11" hidden="1" x14ac:dyDescent="0.35">
      <c r="A90" s="221" t="str">
        <f>'7.8 Dealer Benchmark'!A59</f>
        <v>Sales</v>
      </c>
      <c r="B90" s="136"/>
      <c r="C90" s="945">
        <f>'7.8 Dealer Benchmark'!C59</f>
        <v>0</v>
      </c>
      <c r="D90" s="1180"/>
      <c r="E90" s="1180">
        <f>'7.8 Dealer Benchmark'!E59</f>
        <v>0</v>
      </c>
      <c r="F90" s="1180"/>
      <c r="G90" s="1180">
        <f>'7.8 Dealer Benchmark'!G59</f>
        <v>0</v>
      </c>
      <c r="H90" s="1180"/>
      <c r="I90" s="1180">
        <f>'7.8 Dealer Benchmark'!I59</f>
        <v>0</v>
      </c>
      <c r="J90" s="1180"/>
      <c r="K90" s="981">
        <f>'7.8 Dealer Benchmark'!K59</f>
        <v>0</v>
      </c>
    </row>
    <row r="91" spans="1:11" hidden="1" x14ac:dyDescent="0.35">
      <c r="A91" s="221" t="str">
        <f>'7.8 Dealer Benchmark'!A60</f>
        <v>Avg turnover # other business</v>
      </c>
      <c r="B91" s="136"/>
      <c r="C91" s="945">
        <f>'7.8 Dealer Benchmark'!C60</f>
        <v>0</v>
      </c>
      <c r="D91" s="1180"/>
      <c r="E91" s="1180">
        <f>'7.8 Dealer Benchmark'!E60</f>
        <v>0</v>
      </c>
      <c r="F91" s="1180"/>
      <c r="G91" s="1180">
        <f>'7.8 Dealer Benchmark'!G60</f>
        <v>0</v>
      </c>
      <c r="H91" s="1180"/>
      <c r="I91" s="1180">
        <f>'7.8 Dealer Benchmark'!I60</f>
        <v>0</v>
      </c>
      <c r="J91" s="1180"/>
      <c r="K91" s="981">
        <f>'7.8 Dealer Benchmark'!K60</f>
        <v>0</v>
      </c>
    </row>
    <row r="92" spans="1:11" hidden="1" x14ac:dyDescent="0.35">
      <c r="A92" s="221" t="str">
        <f>'7.8 Dealer Benchmark'!A61</f>
        <v>Gross margin</v>
      </c>
      <c r="B92" s="136"/>
      <c r="C92" s="1206">
        <f>'7.8 Dealer Benchmark'!C61</f>
        <v>0</v>
      </c>
      <c r="D92" s="1190"/>
      <c r="E92" s="1190">
        <f>'7.8 Dealer Benchmark'!E61</f>
        <v>0</v>
      </c>
      <c r="F92" s="1190"/>
      <c r="G92" s="1190">
        <f>'7.8 Dealer Benchmark'!G61</f>
        <v>0</v>
      </c>
      <c r="H92" s="1190"/>
      <c r="I92" s="1190">
        <f>'7.8 Dealer Benchmark'!I61</f>
        <v>0</v>
      </c>
      <c r="J92" s="1190"/>
      <c r="K92" s="1191">
        <f>'7.8 Dealer Benchmark'!K61</f>
        <v>0</v>
      </c>
    </row>
    <row r="93" spans="1:11" hidden="1" x14ac:dyDescent="0.35">
      <c r="A93" s="221" t="str">
        <f>'7.8 Dealer Benchmark'!A62</f>
        <v>Avg gross profit # other business</v>
      </c>
      <c r="B93" s="136"/>
      <c r="C93" s="945">
        <f>'7.8 Dealer Benchmark'!C62</f>
        <v>0</v>
      </c>
      <c r="D93" s="1180"/>
      <c r="E93" s="1180">
        <f>'7.8 Dealer Benchmark'!E62</f>
        <v>0</v>
      </c>
      <c r="F93" s="1180"/>
      <c r="G93" s="1180">
        <f>'7.8 Dealer Benchmark'!G62</f>
        <v>0</v>
      </c>
      <c r="H93" s="1180"/>
      <c r="I93" s="1180">
        <f>'7.8 Dealer Benchmark'!I62</f>
        <v>0</v>
      </c>
      <c r="J93" s="1180"/>
      <c r="K93" s="981">
        <f>'7.8 Dealer Benchmark'!K62</f>
        <v>0</v>
      </c>
    </row>
    <row r="94" spans="1:11" hidden="1" x14ac:dyDescent="0.35">
      <c r="A94" s="221" t="str">
        <f>'7.8 Dealer Benchmark'!A63</f>
        <v>Operating expense %</v>
      </c>
      <c r="B94" s="136"/>
      <c r="C94" s="1206">
        <f>'7.8 Dealer Benchmark'!C63</f>
        <v>0</v>
      </c>
      <c r="D94" s="1190"/>
      <c r="E94" s="1190">
        <f>'7.8 Dealer Benchmark'!E63</f>
        <v>0</v>
      </c>
      <c r="F94" s="1190"/>
      <c r="G94" s="1190">
        <f>'7.8 Dealer Benchmark'!G63</f>
        <v>0</v>
      </c>
      <c r="H94" s="1190"/>
      <c r="I94" s="1190">
        <f>'7.8 Dealer Benchmark'!I63</f>
        <v>0</v>
      </c>
      <c r="J94" s="1190"/>
      <c r="K94" s="1191">
        <f>'7.8 Dealer Benchmark'!K63</f>
        <v>0</v>
      </c>
    </row>
    <row r="95" spans="1:11" hidden="1" x14ac:dyDescent="0.35">
      <c r="A95" s="221" t="str">
        <f>'7.8 Dealer Benchmark'!A64</f>
        <v>Operating margin</v>
      </c>
      <c r="B95" s="136"/>
      <c r="C95" s="1206">
        <f>'7.8 Dealer Benchmark'!C64</f>
        <v>0</v>
      </c>
      <c r="D95" s="1190"/>
      <c r="E95" s="1190">
        <f>'7.8 Dealer Benchmark'!E64</f>
        <v>0</v>
      </c>
      <c r="F95" s="1190"/>
      <c r="G95" s="1190">
        <f>'7.8 Dealer Benchmark'!G64</f>
        <v>0</v>
      </c>
      <c r="H95" s="1190"/>
      <c r="I95" s="1190">
        <f>'7.8 Dealer Benchmark'!I64</f>
        <v>0</v>
      </c>
      <c r="J95" s="1190"/>
      <c r="K95" s="1191">
        <f>'7.8 Dealer Benchmark'!K64</f>
        <v>0</v>
      </c>
    </row>
    <row r="96" spans="1:11" hidden="1" x14ac:dyDescent="0.35">
      <c r="A96" s="223"/>
      <c r="B96" s="146"/>
      <c r="C96" s="949"/>
      <c r="D96" s="1200"/>
      <c r="E96" s="1200"/>
      <c r="F96" s="1200"/>
      <c r="G96" s="1200"/>
      <c r="H96" s="1200"/>
      <c r="I96" s="1200"/>
      <c r="J96" s="1200"/>
      <c r="K96" s="1201"/>
    </row>
    <row r="97" spans="1:11" hidden="1" x14ac:dyDescent="0.35">
      <c r="A97" s="199"/>
      <c r="C97" s="219"/>
      <c r="D97" s="219"/>
      <c r="E97" s="219"/>
      <c r="F97" s="219"/>
      <c r="G97" s="219"/>
      <c r="H97" s="219"/>
      <c r="I97" s="219"/>
      <c r="J97" s="219"/>
      <c r="K97" s="219"/>
    </row>
    <row r="98" spans="1:11" ht="22.2" hidden="1" x14ac:dyDescent="0.45">
      <c r="A98" s="1181" t="str">
        <f>'7.8 Dealer Benchmark'!A67</f>
        <v>5. Parts department</v>
      </c>
      <c r="B98" s="1210"/>
      <c r="C98" s="1104"/>
      <c r="D98" s="1104"/>
      <c r="E98" s="1104"/>
      <c r="F98" s="1104"/>
      <c r="G98" s="1167"/>
      <c r="H98" s="1104"/>
      <c r="I98" s="1104"/>
      <c r="J98" s="1104"/>
      <c r="K98" s="1168"/>
    </row>
    <row r="99" spans="1:11" hidden="1" x14ac:dyDescent="0.35">
      <c r="A99" s="267"/>
      <c r="B99" s="148"/>
      <c r="C99" s="937"/>
      <c r="D99" s="1013"/>
      <c r="E99" s="1013"/>
      <c r="F99" s="1013"/>
      <c r="G99" s="1013"/>
      <c r="H99" s="1013"/>
      <c r="I99" s="1013"/>
      <c r="J99" s="1013"/>
      <c r="K99" s="1170"/>
    </row>
    <row r="100" spans="1:11" hidden="1" x14ac:dyDescent="0.35">
      <c r="A100" s="221" t="str">
        <f>'7.8 Dealer Benchmark'!A69</f>
        <v>Sales</v>
      </c>
      <c r="B100" s="136"/>
      <c r="C100" s="945">
        <f>'7.8 Dealer Benchmark'!C69</f>
        <v>213858.60480945557</v>
      </c>
      <c r="D100" s="1180"/>
      <c r="E100" s="1180">
        <f ca="1">'7.8 Dealer Benchmark'!E69</f>
        <v>497597.1671979691</v>
      </c>
      <c r="F100" s="1180"/>
      <c r="G100" s="1180">
        <f ca="1">'7.8 Dealer Benchmark'!G69</f>
        <v>683151.58734438301</v>
      </c>
      <c r="H100" s="1180"/>
      <c r="I100" s="1180">
        <f ca="1">'7.8 Dealer Benchmark'!I69</f>
        <v>946159.55264411191</v>
      </c>
      <c r="J100" s="1180"/>
      <c r="K100" s="981">
        <f ca="1">'7.8 Dealer Benchmark'!K69</f>
        <v>1272570.7214392391</v>
      </c>
    </row>
    <row r="101" spans="1:11" hidden="1" x14ac:dyDescent="0.35">
      <c r="A101" s="221" t="str">
        <f>'7.8 Dealer Benchmark'!A70</f>
        <v>Gross margin</v>
      </c>
      <c r="B101" s="136"/>
      <c r="C101" s="1206">
        <f>'7.8 Dealer Benchmark'!C70</f>
        <v>0.2626157688339088</v>
      </c>
      <c r="D101" s="1190"/>
      <c r="E101" s="1190">
        <f ca="1">'7.8 Dealer Benchmark'!E70</f>
        <v>0.27133005859203063</v>
      </c>
      <c r="F101" s="1190"/>
      <c r="G101" s="1190">
        <f ca="1">'7.8 Dealer Benchmark'!G70</f>
        <v>0.26288204277068161</v>
      </c>
      <c r="H101" s="1190"/>
      <c r="I101" s="1190">
        <f ca="1">'7.8 Dealer Benchmark'!I70</f>
        <v>0.26492229943820877</v>
      </c>
      <c r="J101" s="1190"/>
      <c r="K101" s="1191">
        <f ca="1">'7.8 Dealer Benchmark'!K70</f>
        <v>0.26588808268718267</v>
      </c>
    </row>
    <row r="102" spans="1:11" hidden="1" x14ac:dyDescent="0.35">
      <c r="A102" s="221" t="str">
        <f>'7.8 Dealer Benchmark'!A71</f>
        <v>Operating expense %</v>
      </c>
      <c r="B102" s="136"/>
      <c r="C102" s="1206">
        <f>'7.8 Dealer Benchmark'!C71</f>
        <v>0.3033412429572333</v>
      </c>
      <c r="D102" s="1190"/>
      <c r="E102" s="1190">
        <f ca="1">'7.8 Dealer Benchmark'!E71</f>
        <v>0.24220449219730183</v>
      </c>
      <c r="F102" s="1190"/>
      <c r="G102" s="1190">
        <f ca="1">'7.8 Dealer Benchmark'!G71</f>
        <v>0.1721108576751765</v>
      </c>
      <c r="H102" s="1190"/>
      <c r="I102" s="1190">
        <f ca="1">'7.8 Dealer Benchmark'!I71</f>
        <v>0.13210815195797715</v>
      </c>
      <c r="J102" s="1190"/>
      <c r="K102" s="1191">
        <f ca="1">'7.8 Dealer Benchmark'!K71</f>
        <v>0.10429819193429343</v>
      </c>
    </row>
    <row r="103" spans="1:11" hidden="1" x14ac:dyDescent="0.35">
      <c r="A103" s="221" t="str">
        <f>'7.8 Dealer Benchmark'!A72</f>
        <v>Operating margin</v>
      </c>
      <c r="B103" s="136"/>
      <c r="C103" s="1206">
        <f>'7.8 Dealer Benchmark'!C72</f>
        <v>-4.0725474123324487E-2</v>
      </c>
      <c r="D103" s="1190"/>
      <c r="E103" s="1190">
        <f ca="1">'7.8 Dealer Benchmark'!E72</f>
        <v>2.9125566394728825E-2</v>
      </c>
      <c r="F103" s="1190"/>
      <c r="G103" s="1190">
        <f ca="1">'7.8 Dealer Benchmark'!G72</f>
        <v>9.0771185095505122E-2</v>
      </c>
      <c r="H103" s="1190"/>
      <c r="I103" s="1190">
        <f ca="1">'7.8 Dealer Benchmark'!I72</f>
        <v>0.13281414748023168</v>
      </c>
      <c r="J103" s="1190"/>
      <c r="K103" s="1191">
        <f ca="1">'7.8 Dealer Benchmark'!K72</f>
        <v>0.16158989075288926</v>
      </c>
    </row>
    <row r="104" spans="1:11" hidden="1" x14ac:dyDescent="0.35">
      <c r="A104" s="221" t="str">
        <f>'7.8 Dealer Benchmark'!A73</f>
        <v>Inventory turns</v>
      </c>
      <c r="B104" s="136"/>
      <c r="C104" s="1207">
        <f>'7.8 Dealer Benchmark'!C73</f>
        <v>2.7475574810929309</v>
      </c>
      <c r="D104" s="1195"/>
      <c r="E104" s="1195">
        <f ca="1">'7.8 Dealer Benchmark'!E73</f>
        <v>1.7997792115034585</v>
      </c>
      <c r="F104" s="1195"/>
      <c r="G104" s="1195">
        <f ca="1">'7.8 Dealer Benchmark'!G73</f>
        <v>1.8206453984966224</v>
      </c>
      <c r="H104" s="1195"/>
      <c r="I104" s="1195">
        <f ca="1">'7.8 Dealer Benchmark'!I73</f>
        <v>2.4699505294429782</v>
      </c>
      <c r="J104" s="1195"/>
      <c r="K104" s="1194">
        <f ca="1">'7.8 Dealer Benchmark'!K73</f>
        <v>1.8132206265344164</v>
      </c>
    </row>
    <row r="105" spans="1:11" hidden="1" x14ac:dyDescent="0.35">
      <c r="A105" s="221" t="str">
        <f>'7.8 Dealer Benchmark'!A74</f>
        <v>Inventory DOH</v>
      </c>
      <c r="B105" s="136"/>
      <c r="C105" s="1207">
        <f>'7.8 Dealer Benchmark'!C74</f>
        <v>133</v>
      </c>
      <c r="D105" s="1195"/>
      <c r="E105" s="1195">
        <f ca="1">'7.8 Dealer Benchmark'!E74</f>
        <v>203</v>
      </c>
      <c r="F105" s="1195"/>
      <c r="G105" s="1195">
        <f ca="1">'7.8 Dealer Benchmark'!G74</f>
        <v>200</v>
      </c>
      <c r="H105" s="1195"/>
      <c r="I105" s="1195">
        <f ca="1">'7.8 Dealer Benchmark'!I74</f>
        <v>148</v>
      </c>
      <c r="J105" s="1195"/>
      <c r="K105" s="1194">
        <f ca="1">'7.8 Dealer Benchmark'!K74</f>
        <v>201</v>
      </c>
    </row>
    <row r="106" spans="1:11" hidden="1" x14ac:dyDescent="0.35">
      <c r="A106" s="221" t="str">
        <f>'7.8 Dealer Benchmark'!A75</f>
        <v>Sales/employee</v>
      </c>
      <c r="B106" s="136"/>
      <c r="C106" s="945">
        <f>'7.8 Dealer Benchmark'!C75</f>
        <v>71286.201603151858</v>
      </c>
      <c r="D106" s="1180"/>
      <c r="E106" s="1180">
        <f ca="1">'7.8 Dealer Benchmark'!E75</f>
        <v>55288.574133107679</v>
      </c>
      <c r="F106" s="1180"/>
      <c r="G106" s="1180">
        <f ca="1">'7.8 Dealer Benchmark'!G75</f>
        <v>97593.083906340427</v>
      </c>
      <c r="H106" s="1180"/>
      <c r="I106" s="1180">
        <f ca="1">'7.8 Dealer Benchmark'!I75</f>
        <v>135165.65037773029</v>
      </c>
      <c r="J106" s="1180"/>
      <c r="K106" s="981">
        <f ca="1">'7.8 Dealer Benchmark'!K75</f>
        <v>181795.81734846273</v>
      </c>
    </row>
    <row r="107" spans="1:11" hidden="1" x14ac:dyDescent="0.35">
      <c r="A107" s="223"/>
      <c r="B107" s="146"/>
      <c r="C107" s="949"/>
      <c r="D107" s="1200"/>
      <c r="E107" s="1200"/>
      <c r="F107" s="1200"/>
      <c r="G107" s="1200"/>
      <c r="H107" s="1200"/>
      <c r="I107" s="1200"/>
      <c r="J107" s="1200"/>
      <c r="K107" s="1201"/>
    </row>
    <row r="108" spans="1:11" hidden="1" x14ac:dyDescent="0.35">
      <c r="A108" s="199"/>
      <c r="C108" s="219"/>
      <c r="D108" s="219"/>
      <c r="E108" s="219"/>
      <c r="F108" s="219"/>
      <c r="G108" s="219"/>
      <c r="H108" s="219"/>
      <c r="I108" s="219"/>
      <c r="J108" s="219"/>
      <c r="K108" s="219"/>
    </row>
    <row r="109" spans="1:11" ht="22.2" hidden="1" x14ac:dyDescent="0.45">
      <c r="A109" s="1181" t="str">
        <f>'7.8 Dealer Benchmark'!A78</f>
        <v>6. Service &amp; Body department</v>
      </c>
      <c r="B109" s="1210"/>
      <c r="C109" s="1104"/>
      <c r="D109" s="1104"/>
      <c r="E109" s="1104"/>
      <c r="F109" s="1104"/>
      <c r="G109" s="1167"/>
      <c r="H109" s="1104"/>
      <c r="I109" s="1104"/>
      <c r="J109" s="1104"/>
      <c r="K109" s="1168"/>
    </row>
    <row r="110" spans="1:11" hidden="1" x14ac:dyDescent="0.35">
      <c r="A110" s="267"/>
      <c r="B110" s="148"/>
      <c r="C110" s="937"/>
      <c r="D110" s="1013"/>
      <c r="E110" s="1013"/>
      <c r="F110" s="1013"/>
      <c r="G110" s="1013"/>
      <c r="H110" s="1013"/>
      <c r="I110" s="1013"/>
      <c r="J110" s="1013"/>
      <c r="K110" s="1170"/>
    </row>
    <row r="111" spans="1:11" hidden="1" x14ac:dyDescent="0.35">
      <c r="A111" s="221" t="str">
        <f>'7.8 Dealer Benchmark'!A80</f>
        <v>Sales</v>
      </c>
      <c r="B111" s="136"/>
      <c r="C111" s="945">
        <f>'7.8 Dealer Benchmark'!C80</f>
        <v>21000</v>
      </c>
      <c r="D111" s="1178"/>
      <c r="E111" s="1178">
        <f>'7.8 Dealer Benchmark'!E80</f>
        <v>51845.941739801259</v>
      </c>
      <c r="F111" s="1178"/>
      <c r="G111" s="1178">
        <f>'7.8 Dealer Benchmark'!G80</f>
        <v>76765.235684660351</v>
      </c>
      <c r="H111" s="1178"/>
      <c r="I111" s="1178">
        <f>'7.8 Dealer Benchmark'!I80</f>
        <v>111069.81978988508</v>
      </c>
      <c r="J111" s="1178"/>
      <c r="K111" s="981">
        <f>'7.8 Dealer Benchmark'!K80</f>
        <v>151140.54063900618</v>
      </c>
    </row>
    <row r="112" spans="1:11" hidden="1" x14ac:dyDescent="0.35">
      <c r="A112" s="221" t="str">
        <f>'7.8 Dealer Benchmark'!A81</f>
        <v>Gross margin</v>
      </c>
      <c r="B112" s="136"/>
      <c r="C112" s="1206">
        <f>'7.8 Dealer Benchmark'!C81</f>
        <v>0.75241042857142859</v>
      </c>
      <c r="D112" s="1190"/>
      <c r="E112" s="1190">
        <f>'7.8 Dealer Benchmark'!E81</f>
        <v>0.80706903212983583</v>
      </c>
      <c r="F112" s="1190"/>
      <c r="G112" s="1190">
        <f>'7.8 Dealer Benchmark'!G81</f>
        <v>0.79233082094235563</v>
      </c>
      <c r="H112" s="1190"/>
      <c r="I112" s="1190">
        <f>'7.8 Dealer Benchmark'!I81</f>
        <v>0.76083692351593146</v>
      </c>
      <c r="J112" s="1190"/>
      <c r="K112" s="1191">
        <f>'7.8 Dealer Benchmark'!K81</f>
        <v>0.72351425836232963</v>
      </c>
    </row>
    <row r="113" spans="1:11" hidden="1" x14ac:dyDescent="0.35">
      <c r="A113" s="221" t="str">
        <f>'7.8 Dealer Benchmark'!A82</f>
        <v>Operating expense %</v>
      </c>
      <c r="B113" s="136"/>
      <c r="C113" s="1206">
        <f>'7.8 Dealer Benchmark'!C82</f>
        <v>2.8976385714285717</v>
      </c>
      <c r="D113" s="1190"/>
      <c r="E113" s="1190">
        <f>'7.8 Dealer Benchmark'!E82</f>
        <v>2.3558958387331672</v>
      </c>
      <c r="F113" s="1190"/>
      <c r="G113" s="1190">
        <f>'7.8 Dealer Benchmark'!G82</f>
        <v>1.8809813855473332</v>
      </c>
      <c r="H113" s="1190"/>
      <c r="I113" s="1190">
        <f>'7.8 Dealer Benchmark'!I82</f>
        <v>1.4407922061565595</v>
      </c>
      <c r="J113" s="1190"/>
      <c r="K113" s="1191">
        <f>'7.8 Dealer Benchmark'!K82</f>
        <v>1.1113371291638729</v>
      </c>
    </row>
    <row r="114" spans="1:11" hidden="1" x14ac:dyDescent="0.35">
      <c r="A114" s="221" t="str">
        <f>'7.8 Dealer Benchmark'!A83</f>
        <v>Operating margin</v>
      </c>
      <c r="B114" s="136"/>
      <c r="C114" s="1206">
        <f>'7.8 Dealer Benchmark'!C83</f>
        <v>-2.1452281428571429</v>
      </c>
      <c r="D114" s="1190"/>
      <c r="E114" s="1190">
        <f>'7.8 Dealer Benchmark'!E83</f>
        <v>-1.5488268066033315</v>
      </c>
      <c r="F114" s="1190"/>
      <c r="G114" s="1190">
        <f>'7.8 Dealer Benchmark'!G83</f>
        <v>-1.0886505646049773</v>
      </c>
      <c r="H114" s="1190"/>
      <c r="I114" s="1190">
        <f>'7.8 Dealer Benchmark'!I83</f>
        <v>-0.67995528264062799</v>
      </c>
      <c r="J114" s="1190"/>
      <c r="K114" s="1191">
        <f>'7.8 Dealer Benchmark'!K83</f>
        <v>-0.38782287080154343</v>
      </c>
    </row>
    <row r="115" spans="1:11" hidden="1" x14ac:dyDescent="0.35">
      <c r="A115" s="221" t="str">
        <f>'7.8 Dealer Benchmark'!A84</f>
        <v>Sales/employee</v>
      </c>
      <c r="B115" s="136"/>
      <c r="C115" s="945">
        <f>'7.8 Dealer Benchmark'!C84</f>
        <v>7000</v>
      </c>
      <c r="D115" s="1180"/>
      <c r="E115" s="1180">
        <f>'7.8 Dealer Benchmark'!E84</f>
        <v>10369.188347960251</v>
      </c>
      <c r="F115" s="1180"/>
      <c r="G115" s="1180">
        <f>'7.8 Dealer Benchmark'!G84</f>
        <v>10966.462240665764</v>
      </c>
      <c r="H115" s="1180"/>
      <c r="I115" s="1180">
        <f>'7.8 Dealer Benchmark'!I84</f>
        <v>11106.981978988508</v>
      </c>
      <c r="J115" s="1180"/>
      <c r="K115" s="981">
        <f>'7.8 Dealer Benchmark'!K84</f>
        <v>11626.195433769706</v>
      </c>
    </row>
    <row r="116" spans="1:11" hidden="1" x14ac:dyDescent="0.35">
      <c r="A116" s="223"/>
      <c r="B116" s="146"/>
      <c r="C116" s="949"/>
      <c r="D116" s="1200"/>
      <c r="E116" s="1200"/>
      <c r="F116" s="1200"/>
      <c r="G116" s="1200"/>
      <c r="H116" s="1200"/>
      <c r="I116" s="1200"/>
      <c r="J116" s="1200"/>
      <c r="K116" s="1201"/>
    </row>
    <row r="117" spans="1:11" hidden="1" x14ac:dyDescent="0.35">
      <c r="A117" s="199"/>
      <c r="C117" s="219"/>
      <c r="D117" s="219"/>
      <c r="E117" s="219"/>
      <c r="F117" s="219"/>
      <c r="G117" s="219"/>
      <c r="H117" s="219"/>
      <c r="I117" s="219"/>
      <c r="J117" s="219"/>
      <c r="K117" s="219"/>
    </row>
    <row r="118" spans="1:11" ht="22.2" hidden="1" x14ac:dyDescent="0.45">
      <c r="A118" s="1181" t="str">
        <f>'7.8 Dealer Benchmark'!A87</f>
        <v>7. General &amp; Administration</v>
      </c>
      <c r="B118" s="1210"/>
      <c r="C118" s="1104"/>
      <c r="D118" s="1104"/>
      <c r="E118" s="1104"/>
      <c r="F118" s="1104"/>
      <c r="G118" s="1167"/>
      <c r="H118" s="1104"/>
      <c r="I118" s="1104"/>
      <c r="J118" s="1104"/>
      <c r="K118" s="1168"/>
    </row>
    <row r="119" spans="1:11" hidden="1" x14ac:dyDescent="0.35">
      <c r="A119" s="267"/>
      <c r="B119" s="148"/>
      <c r="C119" s="937"/>
      <c r="D119" s="1013"/>
      <c r="E119" s="1013"/>
      <c r="F119" s="1013"/>
      <c r="G119" s="1013"/>
      <c r="H119" s="1013"/>
      <c r="I119" s="1013"/>
      <c r="J119" s="1013"/>
      <c r="K119" s="1170"/>
    </row>
    <row r="120" spans="1:11" hidden="1" x14ac:dyDescent="0.35">
      <c r="A120" s="221" t="str">
        <f>'7.8 Dealer Benchmark'!A89</f>
        <v>Unallocated expenses</v>
      </c>
      <c r="B120" s="136"/>
      <c r="C120" s="945">
        <f>'7.8 Dealer Benchmark'!C89</f>
        <v>104390.41</v>
      </c>
      <c r="D120" s="1180"/>
      <c r="E120" s="1180">
        <f>'7.8 Dealer Benchmark'!E89</f>
        <v>174576.3346</v>
      </c>
      <c r="F120" s="1180"/>
      <c r="G120" s="1180">
        <f>'7.8 Dealer Benchmark'!G89</f>
        <v>167799.96600933332</v>
      </c>
      <c r="H120" s="1180"/>
      <c r="I120" s="1180">
        <f>'7.8 Dealer Benchmark'!I89</f>
        <v>158466.26863656001</v>
      </c>
      <c r="J120" s="1180"/>
      <c r="K120" s="981">
        <f>'7.8 Dealer Benchmark'!K89</f>
        <v>122661.45275475361</v>
      </c>
    </row>
    <row r="121" spans="1:11" hidden="1" x14ac:dyDescent="0.35">
      <c r="A121" s="221" t="str">
        <f>'7.8 Dealer Benchmark'!A90</f>
        <v>% Sales</v>
      </c>
      <c r="B121" s="136"/>
      <c r="C121" s="1206">
        <f>'7.8 Dealer Benchmark'!C90</f>
        <v>4.9913494339195681E-2</v>
      </c>
      <c r="D121" s="1188"/>
      <c r="E121" s="1190">
        <f ca="1">'7.8 Dealer Benchmark'!E90</f>
        <v>3.3434956880135869E-2</v>
      </c>
      <c r="F121" s="1190"/>
      <c r="G121" s="1190">
        <f ca="1">'7.8 Dealer Benchmark'!G90</f>
        <v>1.915966246332413E-2</v>
      </c>
      <c r="H121" s="1190"/>
      <c r="I121" s="1190">
        <f ca="1">'7.8 Dealer Benchmark'!I90</f>
        <v>1.4267014167874273E-2</v>
      </c>
      <c r="J121" s="1190"/>
      <c r="K121" s="1191">
        <f ca="1">'7.8 Dealer Benchmark'!K90</f>
        <v>9.1324581434231427E-3</v>
      </c>
    </row>
    <row r="122" spans="1:11" hidden="1" x14ac:dyDescent="0.35">
      <c r="A122" s="223"/>
      <c r="B122" s="146"/>
      <c r="C122" s="949"/>
      <c r="D122" s="1200"/>
      <c r="E122" s="1200"/>
      <c r="F122" s="1200"/>
      <c r="G122" s="1200"/>
      <c r="H122" s="1200"/>
      <c r="I122" s="1200"/>
      <c r="J122" s="1200"/>
      <c r="K122" s="1201"/>
    </row>
    <row r="123" spans="1:11" x14ac:dyDescent="0.35"/>
    <row r="124" spans="1:11" hidden="1" x14ac:dyDescent="0.35"/>
    <row r="125" spans="1:11" hidden="1" x14ac:dyDescent="0.35">
      <c r="B125" s="1876">
        <v>2</v>
      </c>
    </row>
    <row r="126" spans="1:11" hidden="1" x14ac:dyDescent="0.35">
      <c r="B126" s="1876">
        <v>1.9</v>
      </c>
    </row>
    <row r="127" spans="1:11" hidden="1" x14ac:dyDescent="0.35">
      <c r="B127" s="1876">
        <v>1.8</v>
      </c>
    </row>
    <row r="128" spans="1:11" hidden="1" x14ac:dyDescent="0.35">
      <c r="B128" s="1876">
        <v>1.7</v>
      </c>
    </row>
    <row r="129" spans="2:2" hidden="1" x14ac:dyDescent="0.35">
      <c r="B129" s="1876">
        <v>1.6</v>
      </c>
    </row>
    <row r="130" spans="2:2" hidden="1" x14ac:dyDescent="0.35">
      <c r="B130" s="1876">
        <v>1.5</v>
      </c>
    </row>
    <row r="131" spans="2:2" hidden="1" x14ac:dyDescent="0.35">
      <c r="B131" s="1876">
        <v>1.4</v>
      </c>
    </row>
    <row r="132" spans="2:2" hidden="1" x14ac:dyDescent="0.35">
      <c r="B132" s="1876">
        <v>1.3</v>
      </c>
    </row>
    <row r="133" spans="2:2" hidden="1" x14ac:dyDescent="0.35">
      <c r="B133" s="1876">
        <v>1.2</v>
      </c>
    </row>
    <row r="134" spans="2:2" hidden="1" x14ac:dyDescent="0.35">
      <c r="B134" s="1876">
        <v>1.1000000000000001</v>
      </c>
    </row>
    <row r="135" spans="2:2" hidden="1" x14ac:dyDescent="0.35">
      <c r="B135" s="1876">
        <v>1</v>
      </c>
    </row>
    <row r="136" spans="2:2" hidden="1" x14ac:dyDescent="0.35">
      <c r="B136" s="1876">
        <v>0.9</v>
      </c>
    </row>
    <row r="137" spans="2:2" hidden="1" x14ac:dyDescent="0.35">
      <c r="B137" s="1876">
        <v>0.8</v>
      </c>
    </row>
    <row r="138" spans="2:2" hidden="1" x14ac:dyDescent="0.35">
      <c r="B138" s="1876">
        <v>0.7</v>
      </c>
    </row>
    <row r="139" spans="2:2" hidden="1" x14ac:dyDescent="0.35">
      <c r="B139" s="1876">
        <v>0.6</v>
      </c>
    </row>
    <row r="140" spans="2:2" hidden="1" x14ac:dyDescent="0.35">
      <c r="B140" s="1876">
        <v>0.5</v>
      </c>
    </row>
    <row r="141" spans="2:2" hidden="1" x14ac:dyDescent="0.35">
      <c r="B141" s="1876">
        <v>0.4</v>
      </c>
    </row>
    <row r="142" spans="2:2" hidden="1" x14ac:dyDescent="0.35">
      <c r="B142" s="1876">
        <v>0.3</v>
      </c>
    </row>
    <row r="143" spans="2:2" hidden="1" x14ac:dyDescent="0.35">
      <c r="B143" s="1876">
        <v>0.2</v>
      </c>
    </row>
    <row r="144" spans="2:2" hidden="1" x14ac:dyDescent="0.35">
      <c r="B144" s="1876">
        <v>0.1</v>
      </c>
    </row>
    <row r="145" spans="2:2" hidden="1" x14ac:dyDescent="0.35">
      <c r="B145" s="1876">
        <v>0</v>
      </c>
    </row>
    <row r="146" spans="2:2" hidden="1" x14ac:dyDescent="0.35"/>
  </sheetData>
  <sheetProtection password="C132" sheet="1" objects="1" scenarios="1" selectLockedCells="1"/>
  <scenarios current="1" show="5" sqref="C28 E28 G28 I28 K28">
    <scenario name="Low market size trucks" locked="1" count="1" user="marco eijkens" comment="Gemaakt door marco eijkens op 15-8-2008">
      <inputCells r="D9" val="0,8" numFmtId="9"/>
    </scenario>
    <scenario name="Low market share" locked="1" count="1" user="marco eijkens" comment="Gemaakt door marco eijkens op 15-8-2008">
      <inputCells r="D10" val="0,8" numFmtId="9"/>
    </scenario>
    <scenario name="Low market share used trucks" locked="1" count="1" user="marco eijkens" comment="Gemaakt door marco eijkens op 15-8-2008">
      <inputCells r="D11" val="0,8" numFmtId="9"/>
    </scenario>
    <scenario name="Low part retention" locked="1" count="1" user="marco eijkens" comment="Gemaakt door marco eijkens op 15-8-2008">
      <inputCells r="D12" val="0,8" numFmtId="9"/>
    </scenario>
    <scenario name="Low service retention" locked="1" count="1" user="marco eijkens" comment="Gemaakt door marco eijkens op 15-8-2008">
      <inputCells r="D13" val="0,8" numFmtId="9"/>
    </scenario>
    <scenario name="Low gross margin new trucks" locked="1" count="1" user="marco eijkens" comment="Gemaakt door marco eijkens op 15-8-2008">
      <inputCells r="D14" val="0,8" numFmtId="9"/>
    </scenario>
    <scenario name="High salaries &amp; Wages" locked="1" count="1" user="marco eijkens" comment="Gemaakt door marco eijkens op 15-8-2008">
      <inputCells r="D15" val="1,2" numFmtId="9"/>
    </scenario>
    <scenario name="High operating costs" locked="1" count="1" user="marco eijkens" comment="Gemaakt door marco eijkens op 15-8-2008">
      <inputCells r="D15" val="1,2" numFmtId="9"/>
    </scenario>
  </scenarios>
  <customSheetViews>
    <customSheetView guid="{51165254-F18A-4CD1-9981-8F2DE14CC76C}" showGridLines="0" fitToPage="1" hiddenRows="1" hiddenColumns="1" showRuler="0">
      <pane ySplit="17" topLeftCell="A18" activePane="bottomLeft" state="frozen"/>
      <selection pane="bottomLeft" activeCell="D9" sqref="D9"/>
      <pageMargins left="0.78740157480314965" right="0.78740157480314965" top="0.98425196850393704" bottom="0.98425196850393704" header="0.51181102362204722" footer="0.51181102362204722"/>
      <printOptions horizontalCentered="1" verticalCentered="1"/>
      <pageSetup paperSize="9" scale="37"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dataValidations count="1">
    <dataValidation type="list" allowBlank="1" showInputMessage="1" showErrorMessage="1" sqref="D9:D16">
      <formula1>$B$125:$B$145</formula1>
    </dataValidation>
  </dataValidations>
  <printOptions horizontalCentered="1" verticalCentered="1"/>
  <pageMargins left="0.78740157480314965" right="0.78740157480314965" top="0.98425196850393704" bottom="0.98425196850393704" header="0.51181102362204722" footer="0.51181102362204722"/>
  <pageSetup paperSize="9" scale="37" orientation="portrait" r:id="rId2"/>
  <headerFooter alignWithMargins="0">
    <oddHeader>&amp;L&amp;F</oddHeader>
    <oddFooter xml:space="preserve">&amp;LDAF Dealer Business Plan&amp;CPrint date: &amp;D&amp;R&amp;P/&amp;N | DAF Trucks NV    </oddFooter>
  </headerFooter>
  <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3">
    <tabColor indexed="48"/>
  </sheetPr>
  <dimension ref="A1:K77"/>
  <sheetViews>
    <sheetView showGridLines="0" workbookViewId="0"/>
  </sheetViews>
  <sheetFormatPr baseColWidth="10" defaultColWidth="0" defaultRowHeight="13.2" x14ac:dyDescent="0.25"/>
  <cols>
    <col min="1" max="11" width="13.77734375" customWidth="1"/>
    <col min="12" max="12" width="3.44140625" customWidth="1"/>
  </cols>
  <sheetData>
    <row r="1" spans="1:11" ht="28.8" x14ac:dyDescent="0.55000000000000004">
      <c r="A1" s="1108" t="s">
        <v>1173</v>
      </c>
      <c r="B1" s="1109"/>
      <c r="C1" s="1109"/>
      <c r="D1" s="1109"/>
      <c r="E1" s="1109"/>
      <c r="F1" s="1109"/>
      <c r="G1" s="1109"/>
      <c r="H1" s="1109"/>
      <c r="I1" s="1109"/>
      <c r="J1" s="1109"/>
      <c r="K1" s="1110" t="s">
        <v>1233</v>
      </c>
    </row>
    <row r="2" spans="1:11" ht="14.4" x14ac:dyDescent="0.35">
      <c r="A2" s="442"/>
      <c r="B2" s="443"/>
      <c r="C2" s="443"/>
      <c r="D2" s="443"/>
      <c r="E2" s="444"/>
      <c r="F2" s="443"/>
      <c r="G2" s="443"/>
      <c r="H2" s="443"/>
      <c r="I2" s="443"/>
      <c r="J2" s="443"/>
      <c r="K2" s="445"/>
    </row>
    <row r="3" spans="1:11" ht="16.2" x14ac:dyDescent="0.35">
      <c r="A3" s="447" t="s">
        <v>1035</v>
      </c>
      <c r="B3" s="1335">
        <f>'[1]Reference sheet'!C12</f>
        <v>0</v>
      </c>
      <c r="C3" s="443"/>
      <c r="D3" s="443"/>
      <c r="E3" s="450" t="s">
        <v>1036</v>
      </c>
      <c r="F3" s="451">
        <f>'[1]Reference sheet'!C15</f>
        <v>0</v>
      </c>
      <c r="G3" s="452" t="s">
        <v>1037</v>
      </c>
      <c r="H3" s="453">
        <f>'[1]Reference sheet'!C17</f>
        <v>0</v>
      </c>
      <c r="I3" s="454"/>
      <c r="J3" s="454" t="s">
        <v>1175</v>
      </c>
      <c r="K3" s="455">
        <f>'[1]Reference sheet'!C21</f>
        <v>0</v>
      </c>
    </row>
    <row r="4" spans="1:11" ht="14.4" x14ac:dyDescent="0.35">
      <c r="A4" s="473"/>
      <c r="B4" s="1290"/>
      <c r="C4" s="478"/>
      <c r="D4" s="478"/>
      <c r="E4" s="478"/>
      <c r="F4" s="478"/>
      <c r="G4" s="1291"/>
      <c r="H4" s="478"/>
      <c r="I4" s="478"/>
      <c r="J4" s="478"/>
      <c r="K4" s="1292"/>
    </row>
    <row r="6" spans="1:11" ht="14.4" x14ac:dyDescent="0.35">
      <c r="D6" s="443"/>
      <c r="E6" s="443"/>
      <c r="F6" s="460" t="s">
        <v>911</v>
      </c>
      <c r="G6" s="443"/>
    </row>
    <row r="7" spans="1:11" ht="14.4" x14ac:dyDescent="0.35">
      <c r="D7" s="1782" t="s">
        <v>850</v>
      </c>
      <c r="E7" s="1783"/>
      <c r="F7" s="1783"/>
      <c r="G7" s="1784" t="s">
        <v>821</v>
      </c>
    </row>
    <row r="8" spans="1:11" ht="14.4" x14ac:dyDescent="0.35">
      <c r="D8" s="442"/>
      <c r="E8" s="443"/>
      <c r="F8" s="443"/>
      <c r="G8" s="1785"/>
    </row>
    <row r="9" spans="1:11" ht="14.4" x14ac:dyDescent="0.35">
      <c r="D9" s="1786" t="s">
        <v>367</v>
      </c>
      <c r="E9" s="1787"/>
      <c r="F9" s="1787"/>
      <c r="G9" s="1788"/>
    </row>
    <row r="10" spans="1:11" ht="14.4" x14ac:dyDescent="0.35">
      <c r="D10" s="442" t="s">
        <v>824</v>
      </c>
      <c r="E10" s="443"/>
      <c r="F10" s="443"/>
      <c r="G10" s="1785" t="s">
        <v>851</v>
      </c>
    </row>
    <row r="11" spans="1:11" ht="14.4" x14ac:dyDescent="0.35">
      <c r="D11" s="442" t="s">
        <v>823</v>
      </c>
      <c r="E11" s="443"/>
      <c r="F11" s="443"/>
      <c r="G11" s="1785" t="s">
        <v>852</v>
      </c>
    </row>
    <row r="12" spans="1:11" ht="14.4" x14ac:dyDescent="0.35">
      <c r="D12" s="442" t="s">
        <v>822</v>
      </c>
      <c r="E12" s="443"/>
      <c r="F12" s="443"/>
      <c r="G12" s="1785" t="s">
        <v>853</v>
      </c>
    </row>
    <row r="13" spans="1:11" ht="14.4" x14ac:dyDescent="0.35">
      <c r="D13" s="442" t="s">
        <v>598</v>
      </c>
      <c r="E13" s="443"/>
      <c r="F13" s="443"/>
      <c r="G13" s="1785" t="s">
        <v>854</v>
      </c>
    </row>
    <row r="14" spans="1:11" ht="14.4" x14ac:dyDescent="0.35">
      <c r="D14" s="442" t="s">
        <v>825</v>
      </c>
      <c r="E14" s="443"/>
      <c r="F14" s="443"/>
      <c r="G14" s="1785" t="s">
        <v>855</v>
      </c>
    </row>
    <row r="15" spans="1:11" ht="14.4" x14ac:dyDescent="0.35">
      <c r="D15" s="442"/>
      <c r="E15" s="443"/>
      <c r="F15" s="443"/>
      <c r="G15" s="1785"/>
    </row>
    <row r="16" spans="1:11" ht="14.4" x14ac:dyDescent="0.35">
      <c r="D16" s="1786" t="s">
        <v>1137</v>
      </c>
      <c r="E16" s="1787"/>
      <c r="F16" s="1787"/>
      <c r="G16" s="1788"/>
    </row>
    <row r="17" spans="4:7" ht="14.4" x14ac:dyDescent="0.35">
      <c r="D17" s="442" t="s">
        <v>824</v>
      </c>
      <c r="E17" s="443"/>
      <c r="F17" s="443"/>
      <c r="G17" s="1785" t="s">
        <v>856</v>
      </c>
    </row>
    <row r="18" spans="4:7" ht="14.4" x14ac:dyDescent="0.35">
      <c r="D18" s="442" t="s">
        <v>823</v>
      </c>
      <c r="E18" s="443"/>
      <c r="F18" s="443"/>
      <c r="G18" s="1785" t="s">
        <v>857</v>
      </c>
    </row>
    <row r="19" spans="4:7" ht="14.4" x14ac:dyDescent="0.35">
      <c r="D19" s="442" t="s">
        <v>822</v>
      </c>
      <c r="E19" s="443"/>
      <c r="F19" s="443"/>
      <c r="G19" s="1785" t="s">
        <v>858</v>
      </c>
    </row>
    <row r="20" spans="4:7" ht="14.4" x14ac:dyDescent="0.35">
      <c r="D20" s="442" t="s">
        <v>598</v>
      </c>
      <c r="E20" s="443"/>
      <c r="F20" s="443"/>
      <c r="G20" s="1785" t="s">
        <v>859</v>
      </c>
    </row>
    <row r="21" spans="4:7" ht="14.4" x14ac:dyDescent="0.35">
      <c r="D21" s="442" t="s">
        <v>825</v>
      </c>
      <c r="E21" s="443"/>
      <c r="F21" s="443"/>
      <c r="G21" s="1785" t="s">
        <v>860</v>
      </c>
    </row>
    <row r="22" spans="4:7" ht="14.4" x14ac:dyDescent="0.35">
      <c r="D22" s="442"/>
      <c r="E22" s="443"/>
      <c r="F22" s="443"/>
      <c r="G22" s="1785"/>
    </row>
    <row r="23" spans="4:7" ht="14.4" x14ac:dyDescent="0.35">
      <c r="D23" s="1786" t="s">
        <v>826</v>
      </c>
      <c r="E23" s="1787"/>
      <c r="F23" s="1787"/>
      <c r="G23" s="1788"/>
    </row>
    <row r="24" spans="4:7" ht="14.4" x14ac:dyDescent="0.35">
      <c r="D24" s="442" t="s">
        <v>824</v>
      </c>
      <c r="E24" s="443"/>
      <c r="F24" s="443"/>
      <c r="G24" s="1785" t="s">
        <v>861</v>
      </c>
    </row>
    <row r="25" spans="4:7" ht="14.4" x14ac:dyDescent="0.35">
      <c r="D25" s="442" t="s">
        <v>823</v>
      </c>
      <c r="E25" s="443"/>
      <c r="F25" s="443"/>
      <c r="G25" s="1785" t="s">
        <v>862</v>
      </c>
    </row>
    <row r="26" spans="4:7" ht="14.4" x14ac:dyDescent="0.35">
      <c r="D26" s="442" t="s">
        <v>822</v>
      </c>
      <c r="E26" s="443"/>
      <c r="F26" s="443"/>
      <c r="G26" s="1785" t="s">
        <v>853</v>
      </c>
    </row>
    <row r="27" spans="4:7" ht="14.4" x14ac:dyDescent="0.35">
      <c r="D27" s="442"/>
      <c r="E27" s="443"/>
      <c r="F27" s="443"/>
      <c r="G27" s="1785"/>
    </row>
    <row r="28" spans="4:7" ht="14.4" x14ac:dyDescent="0.35">
      <c r="D28" s="1786" t="s">
        <v>1138</v>
      </c>
      <c r="E28" s="1787"/>
      <c r="F28" s="1787"/>
      <c r="G28" s="1788"/>
    </row>
    <row r="29" spans="4:7" ht="14.4" x14ac:dyDescent="0.35">
      <c r="D29" s="442" t="s">
        <v>824</v>
      </c>
      <c r="E29" s="443"/>
      <c r="F29" s="443"/>
      <c r="G29" s="1785" t="s">
        <v>863</v>
      </c>
    </row>
    <row r="30" spans="4:7" ht="14.4" x14ac:dyDescent="0.35">
      <c r="D30" s="442" t="s">
        <v>823</v>
      </c>
      <c r="E30" s="443"/>
      <c r="F30" s="443"/>
      <c r="G30" s="1785" t="s">
        <v>864</v>
      </c>
    </row>
    <row r="31" spans="4:7" ht="14.4" x14ac:dyDescent="0.35">
      <c r="D31" s="442" t="s">
        <v>822</v>
      </c>
      <c r="E31" s="443"/>
      <c r="F31" s="443"/>
      <c r="G31" s="1785" t="s">
        <v>856</v>
      </c>
    </row>
    <row r="32" spans="4:7" ht="14.4" x14ac:dyDescent="0.35">
      <c r="D32" s="442"/>
      <c r="E32" s="443"/>
      <c r="F32" s="443"/>
      <c r="G32" s="1785"/>
    </row>
    <row r="33" spans="4:7" ht="14.4" x14ac:dyDescent="0.35">
      <c r="D33" s="1786" t="s">
        <v>827</v>
      </c>
      <c r="E33" s="1787"/>
      <c r="F33" s="1787"/>
      <c r="G33" s="1788"/>
    </row>
    <row r="34" spans="4:7" ht="14.4" x14ac:dyDescent="0.35">
      <c r="D34" s="442" t="s">
        <v>865</v>
      </c>
      <c r="E34" s="443"/>
      <c r="F34" s="443"/>
      <c r="G34" s="1785" t="s">
        <v>861</v>
      </c>
    </row>
    <row r="35" spans="4:7" ht="14.4" x14ac:dyDescent="0.35">
      <c r="D35" s="442" t="s">
        <v>828</v>
      </c>
      <c r="E35" s="443"/>
      <c r="F35" s="443"/>
      <c r="G35" s="1785" t="s">
        <v>866</v>
      </c>
    </row>
    <row r="36" spans="4:7" ht="14.4" x14ac:dyDescent="0.35">
      <c r="D36" s="442" t="s">
        <v>825</v>
      </c>
      <c r="E36" s="443"/>
      <c r="F36" s="443"/>
      <c r="G36" s="1785" t="s">
        <v>860</v>
      </c>
    </row>
    <row r="37" spans="4:7" ht="14.4" x14ac:dyDescent="0.35">
      <c r="D37" s="442" t="s">
        <v>829</v>
      </c>
      <c r="E37" s="443"/>
      <c r="F37" s="443"/>
      <c r="G37" s="1785" t="s">
        <v>867</v>
      </c>
    </row>
    <row r="38" spans="4:7" ht="14.4" x14ac:dyDescent="0.35">
      <c r="D38" s="442" t="s">
        <v>830</v>
      </c>
      <c r="E38" s="443"/>
      <c r="F38" s="443"/>
      <c r="G38" s="1789" t="s">
        <v>868</v>
      </c>
    </row>
    <row r="39" spans="4:7" ht="14.4" x14ac:dyDescent="0.35">
      <c r="D39" s="442"/>
      <c r="E39" s="443"/>
      <c r="F39" s="443"/>
      <c r="G39" s="1785"/>
    </row>
    <row r="40" spans="4:7" ht="14.4" x14ac:dyDescent="0.35">
      <c r="D40" s="1786" t="s">
        <v>1147</v>
      </c>
      <c r="E40" s="1787"/>
      <c r="F40" s="1787"/>
      <c r="G40" s="1788"/>
    </row>
    <row r="41" spans="4:7" ht="14.4" x14ac:dyDescent="0.35">
      <c r="D41" s="442" t="s">
        <v>824</v>
      </c>
      <c r="E41" s="443"/>
      <c r="F41" s="443"/>
      <c r="G41" s="1785" t="s">
        <v>869</v>
      </c>
    </row>
    <row r="42" spans="4:7" ht="14.4" x14ac:dyDescent="0.35">
      <c r="D42" s="442" t="s">
        <v>822</v>
      </c>
      <c r="E42" s="443"/>
      <c r="F42" s="443"/>
      <c r="G42" s="1785" t="s">
        <v>870</v>
      </c>
    </row>
    <row r="43" spans="4:7" ht="14.4" x14ac:dyDescent="0.35">
      <c r="D43" s="442" t="s">
        <v>1159</v>
      </c>
      <c r="E43" s="443"/>
      <c r="F43" s="443"/>
      <c r="G43" s="1785" t="s">
        <v>871</v>
      </c>
    </row>
    <row r="44" spans="4:7" ht="14.4" x14ac:dyDescent="0.35">
      <c r="D44" s="442" t="s">
        <v>832</v>
      </c>
      <c r="E44" s="443"/>
      <c r="F44" s="443"/>
      <c r="G44" s="1790">
        <v>1</v>
      </c>
    </row>
    <row r="45" spans="4:7" ht="14.4" x14ac:dyDescent="0.35">
      <c r="D45" s="442" t="s">
        <v>872</v>
      </c>
      <c r="E45" s="443"/>
      <c r="F45" s="443"/>
      <c r="G45" s="1785" t="s">
        <v>873</v>
      </c>
    </row>
    <row r="46" spans="4:7" ht="14.4" x14ac:dyDescent="0.35">
      <c r="D46" s="442"/>
      <c r="E46" s="443"/>
      <c r="F46" s="443"/>
      <c r="G46" s="1785"/>
    </row>
    <row r="47" spans="4:7" ht="14.4" x14ac:dyDescent="0.35">
      <c r="D47" s="1786" t="s">
        <v>842</v>
      </c>
      <c r="E47" s="1787"/>
      <c r="F47" s="1787"/>
      <c r="G47" s="1788"/>
    </row>
    <row r="48" spans="4:7" ht="14.4" x14ac:dyDescent="0.35">
      <c r="D48" s="442" t="s">
        <v>824</v>
      </c>
      <c r="E48" s="443"/>
      <c r="F48" s="443"/>
      <c r="G48" s="1785" t="s">
        <v>874</v>
      </c>
    </row>
    <row r="49" spans="4:7" ht="14.4" x14ac:dyDescent="0.35">
      <c r="D49" s="442" t="s">
        <v>822</v>
      </c>
      <c r="E49" s="443"/>
      <c r="F49" s="443"/>
      <c r="G49" s="1785" t="s">
        <v>875</v>
      </c>
    </row>
    <row r="50" spans="4:7" ht="14.4" x14ac:dyDescent="0.35">
      <c r="D50" s="442" t="s">
        <v>831</v>
      </c>
      <c r="E50" s="443"/>
      <c r="F50" s="443"/>
      <c r="G50" s="1785" t="s">
        <v>876</v>
      </c>
    </row>
    <row r="51" spans="4:7" ht="14.4" x14ac:dyDescent="0.35">
      <c r="D51" s="442"/>
      <c r="E51" s="443"/>
      <c r="F51" s="443"/>
      <c r="G51" s="1785"/>
    </row>
    <row r="52" spans="4:7" ht="14.4" x14ac:dyDescent="0.35">
      <c r="D52" s="1786" t="s">
        <v>833</v>
      </c>
      <c r="E52" s="1787"/>
      <c r="F52" s="1787"/>
      <c r="G52" s="1788"/>
    </row>
    <row r="53" spans="4:7" ht="14.4" x14ac:dyDescent="0.35">
      <c r="D53" s="442" t="s">
        <v>834</v>
      </c>
      <c r="E53" s="443"/>
      <c r="F53" s="443"/>
      <c r="G53" s="1785" t="s">
        <v>877</v>
      </c>
    </row>
    <row r="54" spans="4:7" ht="14.4" x14ac:dyDescent="0.35">
      <c r="D54" s="442" t="s">
        <v>835</v>
      </c>
      <c r="E54" s="443"/>
      <c r="F54" s="443"/>
      <c r="G54" s="1785" t="s">
        <v>878</v>
      </c>
    </row>
    <row r="55" spans="4:7" ht="14.4" x14ac:dyDescent="0.35">
      <c r="D55" s="442" t="s">
        <v>836</v>
      </c>
      <c r="E55" s="443"/>
      <c r="F55" s="443"/>
      <c r="G55" s="1785" t="s">
        <v>879</v>
      </c>
    </row>
    <row r="56" spans="4:7" ht="14.4" x14ac:dyDescent="0.35">
      <c r="D56" s="442" t="s">
        <v>837</v>
      </c>
      <c r="E56" s="443"/>
      <c r="F56" s="443"/>
      <c r="G56" s="1785" t="s">
        <v>852</v>
      </c>
    </row>
    <row r="57" spans="4:7" ht="14.4" x14ac:dyDescent="0.35">
      <c r="D57" s="442" t="s">
        <v>838</v>
      </c>
      <c r="E57" s="443"/>
      <c r="F57" s="443"/>
      <c r="G57" s="1785" t="s">
        <v>880</v>
      </c>
    </row>
    <row r="58" spans="4:7" ht="14.4" x14ac:dyDescent="0.35">
      <c r="D58" s="442" t="s">
        <v>490</v>
      </c>
      <c r="E58" s="443"/>
      <c r="F58" s="443"/>
      <c r="G58" s="1785" t="s">
        <v>881</v>
      </c>
    </row>
    <row r="59" spans="4:7" ht="14.4" x14ac:dyDescent="0.35">
      <c r="D59" s="1791" t="s">
        <v>839</v>
      </c>
      <c r="E59" s="443"/>
      <c r="F59" s="443"/>
      <c r="G59" s="1785"/>
    </row>
    <row r="60" spans="4:7" ht="14.4" x14ac:dyDescent="0.35">
      <c r="D60" s="442" t="s">
        <v>1138</v>
      </c>
      <c r="E60" s="443"/>
      <c r="F60" s="443"/>
      <c r="G60" s="1792">
        <v>5.0000000000000001E-3</v>
      </c>
    </row>
    <row r="61" spans="4:7" ht="14.4" x14ac:dyDescent="0.35">
      <c r="D61" s="442" t="s">
        <v>1147</v>
      </c>
      <c r="E61" s="443"/>
      <c r="F61" s="443"/>
      <c r="G61" s="1792">
        <v>5.0000000000000001E-3</v>
      </c>
    </row>
    <row r="62" spans="4:7" ht="14.4" x14ac:dyDescent="0.35">
      <c r="D62" s="442"/>
      <c r="E62" s="443"/>
      <c r="F62" s="443"/>
      <c r="G62" s="1785"/>
    </row>
    <row r="63" spans="4:7" ht="14.4" x14ac:dyDescent="0.35">
      <c r="D63" s="1786" t="s">
        <v>840</v>
      </c>
      <c r="E63" s="1787"/>
      <c r="F63" s="1787"/>
      <c r="G63" s="1788"/>
    </row>
    <row r="64" spans="4:7" ht="14.4" x14ac:dyDescent="0.35">
      <c r="D64" s="519" t="s">
        <v>1250</v>
      </c>
      <c r="E64" s="517"/>
      <c r="F64" s="517"/>
      <c r="G64" s="2025"/>
    </row>
    <row r="65" spans="4:7" ht="14.4" x14ac:dyDescent="0.35">
      <c r="D65" s="442" t="s">
        <v>367</v>
      </c>
      <c r="E65" s="443"/>
      <c r="F65" s="443"/>
      <c r="G65" s="1785" t="s">
        <v>1249</v>
      </c>
    </row>
    <row r="66" spans="4:7" ht="14.4" x14ac:dyDescent="0.35">
      <c r="D66" s="442" t="s">
        <v>1137</v>
      </c>
      <c r="E66" s="443"/>
      <c r="F66" s="443"/>
      <c r="G66" s="1785" t="s">
        <v>1246</v>
      </c>
    </row>
    <row r="67" spans="4:7" ht="14.4" x14ac:dyDescent="0.35">
      <c r="D67" s="442" t="s">
        <v>841</v>
      </c>
      <c r="E67" s="443"/>
      <c r="F67" s="443"/>
      <c r="G67" s="1785" t="s">
        <v>1248</v>
      </c>
    </row>
    <row r="68" spans="4:7" ht="14.4" x14ac:dyDescent="0.35">
      <c r="D68" s="442" t="s">
        <v>1147</v>
      </c>
      <c r="E68" s="443"/>
      <c r="F68" s="443"/>
      <c r="G68" s="1785" t="s">
        <v>1247</v>
      </c>
    </row>
    <row r="69" spans="4:7" ht="14.4" x14ac:dyDescent="0.35">
      <c r="D69" s="442" t="s">
        <v>842</v>
      </c>
      <c r="E69" s="443"/>
      <c r="F69" s="443"/>
      <c r="G69" s="1785" t="s">
        <v>882</v>
      </c>
    </row>
    <row r="70" spans="4:7" ht="14.4" x14ac:dyDescent="0.35">
      <c r="D70" s="442" t="s">
        <v>824</v>
      </c>
      <c r="E70" s="443"/>
      <c r="F70" s="443"/>
      <c r="G70" s="1785" t="s">
        <v>883</v>
      </c>
    </row>
    <row r="71" spans="4:7" ht="14.4" x14ac:dyDescent="0.35">
      <c r="D71" s="442" t="s">
        <v>831</v>
      </c>
      <c r="E71" s="443"/>
      <c r="F71" s="443"/>
      <c r="G71" s="1785" t="s">
        <v>884</v>
      </c>
    </row>
    <row r="72" spans="4:7" ht="14.4" x14ac:dyDescent="0.35">
      <c r="D72" s="442" t="s">
        <v>583</v>
      </c>
      <c r="E72" s="443"/>
      <c r="F72" s="443"/>
      <c r="G72" s="1785" t="s">
        <v>885</v>
      </c>
    </row>
    <row r="73" spans="4:7" ht="14.4" x14ac:dyDescent="0.35">
      <c r="D73" s="442" t="s">
        <v>843</v>
      </c>
      <c r="E73" s="443"/>
      <c r="F73" s="443"/>
      <c r="G73" s="1785" t="s">
        <v>886</v>
      </c>
    </row>
    <row r="74" spans="4:7" ht="14.4" x14ac:dyDescent="0.35">
      <c r="D74" s="442" t="s">
        <v>587</v>
      </c>
      <c r="E74" s="443"/>
      <c r="F74" s="443"/>
      <c r="G74" s="1785" t="s">
        <v>887</v>
      </c>
    </row>
    <row r="75" spans="4:7" ht="14.4" x14ac:dyDescent="0.35">
      <c r="D75" s="442" t="s">
        <v>589</v>
      </c>
      <c r="E75" s="443"/>
      <c r="F75" s="443"/>
      <c r="G75" s="1785" t="s">
        <v>888</v>
      </c>
    </row>
    <row r="76" spans="4:7" ht="14.4" x14ac:dyDescent="0.35">
      <c r="D76" s="473" t="s">
        <v>590</v>
      </c>
      <c r="E76" s="478"/>
      <c r="F76" s="478"/>
      <c r="G76" s="1793" t="s">
        <v>889</v>
      </c>
    </row>
    <row r="77" spans="4:7" ht="14.4" x14ac:dyDescent="0.35">
      <c r="D77" s="472" t="s">
        <v>1251</v>
      </c>
    </row>
  </sheetData>
  <sheetProtection password="813F" sheet="1" objects="1" scenarios="1"/>
  <phoneticPr fontId="11" type="noConversion"/>
  <pageMargins left="0.75" right="0.75" top="1" bottom="1" header="0.5" footer="0.5"/>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4140625" defaultRowHeight="13.2" x14ac:dyDescent="0.2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4140625" defaultRowHeight="13.2" x14ac:dyDescent="0.25"/>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4140625" defaultRowHeight="13.2" x14ac:dyDescent="0.25"/>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4140625" defaultRowHeight="13.2" x14ac:dyDescent="0.2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4140625" defaultRowHeight="13.2"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2">
    <tabColor indexed="43"/>
    <pageSetUpPr fitToPage="1"/>
  </sheetPr>
  <dimension ref="A1:Y69"/>
  <sheetViews>
    <sheetView showGridLines="0" topLeftCell="A33" zoomScale="143" zoomScaleNormal="90" workbookViewId="0"/>
  </sheetViews>
  <sheetFormatPr baseColWidth="10" defaultColWidth="0" defaultRowHeight="14.4" zeroHeight="1" x14ac:dyDescent="0.35"/>
  <cols>
    <col min="1" max="1" width="19.33203125" style="1310" customWidth="1"/>
    <col min="2" max="10" width="19.33203125" style="1311" customWidth="1"/>
    <col min="11" max="11" width="15.44140625" style="1312" customWidth="1"/>
    <col min="12" max="12" width="3.109375" style="827" customWidth="1"/>
    <col min="13" max="25" width="11.109375" style="1279" hidden="1" customWidth="1"/>
    <col min="26" max="16384" width="11.109375" style="441" hidden="1"/>
  </cols>
  <sheetData>
    <row r="1" spans="1:25" s="1281" customFormat="1" ht="31.5" customHeight="1" x14ac:dyDescent="0.55000000000000004">
      <c r="A1" s="1313" t="str">
        <f>'2.0 Company Profile'!A1</f>
        <v>Company Summary</v>
      </c>
      <c r="B1" s="1314"/>
      <c r="C1" s="1314"/>
      <c r="D1" s="1314"/>
      <c r="E1" s="1314"/>
      <c r="F1" s="1314"/>
      <c r="G1" s="1314"/>
      <c r="H1" s="1314"/>
      <c r="I1" s="1314"/>
      <c r="J1" s="1314"/>
      <c r="K1" s="1315" t="s">
        <v>684</v>
      </c>
      <c r="L1" s="1562"/>
      <c r="M1" s="1280"/>
      <c r="N1" s="1280"/>
      <c r="O1" s="1280"/>
      <c r="P1" s="1280"/>
      <c r="Q1" s="1280"/>
      <c r="R1" s="1280"/>
      <c r="S1" s="1280"/>
      <c r="T1" s="1280"/>
      <c r="U1" s="1280"/>
      <c r="V1" s="1280"/>
      <c r="W1" s="1280"/>
      <c r="X1" s="1280"/>
      <c r="Y1" s="1280"/>
    </row>
    <row r="2" spans="1:25" s="1281" customFormat="1" ht="22.2" x14ac:dyDescent="0.45">
      <c r="A2" s="442"/>
      <c r="B2" s="1282"/>
      <c r="C2" s="1283"/>
      <c r="D2" s="472"/>
      <c r="E2" s="1284"/>
      <c r="F2" s="443"/>
      <c r="G2" s="443"/>
      <c r="H2" s="1285"/>
      <c r="I2" s="472"/>
      <c r="J2" s="472"/>
      <c r="K2" s="524"/>
      <c r="L2" s="1562"/>
      <c r="M2" s="1280"/>
      <c r="N2" s="1280"/>
      <c r="O2" s="1280"/>
      <c r="P2" s="1280"/>
      <c r="Q2" s="1280"/>
      <c r="R2" s="1280"/>
      <c r="S2" s="1280"/>
      <c r="T2" s="1280"/>
      <c r="U2" s="1280"/>
      <c r="V2" s="1280"/>
      <c r="W2" s="1280"/>
      <c r="X2" s="1280"/>
      <c r="Y2" s="1280"/>
    </row>
    <row r="3" spans="1:25" x14ac:dyDescent="0.35">
      <c r="A3" s="442" t="s">
        <v>1049</v>
      </c>
      <c r="B3" s="1282"/>
      <c r="C3" s="460" t="str">
        <f>'Reference sheet'!C12</f>
        <v>TRUCK INTERNATIONAL MOBILITY SA</v>
      </c>
      <c r="D3" s="472"/>
      <c r="E3" s="1284"/>
      <c r="F3" s="443"/>
      <c r="G3" s="1286" t="s">
        <v>1037</v>
      </c>
      <c r="H3" s="1316" t="str">
        <f>'Reference sheet'!C17</f>
        <v>October</v>
      </c>
      <c r="I3" s="1288">
        <f>'Reference sheet'!D17</f>
        <v>2018</v>
      </c>
      <c r="J3" s="1286" t="s">
        <v>1036</v>
      </c>
      <c r="K3" s="1289">
        <f>'Reference sheet'!C15</f>
        <v>2</v>
      </c>
    </row>
    <row r="4" spans="1:25" x14ac:dyDescent="0.35">
      <c r="A4" s="473"/>
      <c r="B4" s="1290"/>
      <c r="C4" s="478"/>
      <c r="D4" s="478"/>
      <c r="E4" s="478"/>
      <c r="F4" s="478"/>
      <c r="G4" s="1291"/>
      <c r="H4" s="478"/>
      <c r="I4" s="478"/>
      <c r="J4" s="478"/>
      <c r="K4" s="1292"/>
    </row>
    <row r="5" spans="1:25" x14ac:dyDescent="0.35">
      <c r="A5" s="442"/>
      <c r="B5" s="443"/>
      <c r="C5" s="443"/>
      <c r="D5" s="443"/>
      <c r="E5" s="443"/>
      <c r="F5" s="443"/>
      <c r="G5" s="443"/>
      <c r="H5" s="443"/>
      <c r="I5" s="443"/>
      <c r="J5" s="443"/>
      <c r="K5" s="467"/>
    </row>
    <row r="6" spans="1:25" s="1317" customFormat="1" ht="13.2" customHeight="1" x14ac:dyDescent="0.35">
      <c r="A6" s="1293" t="s">
        <v>741</v>
      </c>
      <c r="B6" s="1060"/>
      <c r="C6" s="1060"/>
      <c r="D6" s="1060"/>
      <c r="E6" s="1060"/>
      <c r="F6" s="1060"/>
      <c r="G6" s="1060"/>
      <c r="H6" s="1060"/>
      <c r="I6" s="1060"/>
      <c r="J6" s="1060"/>
      <c r="K6" s="1061"/>
      <c r="L6" s="53"/>
    </row>
    <row r="7" spans="1:25" x14ac:dyDescent="0.35">
      <c r="A7" s="1318"/>
      <c r="B7" s="1319"/>
      <c r="C7" s="1319"/>
      <c r="D7" s="1319"/>
      <c r="E7" s="1319"/>
      <c r="F7" s="1319"/>
      <c r="G7" s="1319"/>
      <c r="H7" s="1319"/>
      <c r="I7" s="1319"/>
      <c r="J7" s="1319"/>
      <c r="K7" s="1320"/>
    </row>
    <row r="8" spans="1:25" x14ac:dyDescent="0.35">
      <c r="A8" s="1321"/>
      <c r="B8" s="1322"/>
      <c r="C8" s="1322"/>
      <c r="D8" s="1322"/>
      <c r="E8" s="1322"/>
      <c r="F8" s="1322"/>
      <c r="G8" s="1322"/>
      <c r="H8" s="1322"/>
      <c r="I8" s="1322"/>
      <c r="J8" s="1322"/>
      <c r="K8" s="1323"/>
    </row>
    <row r="9" spans="1:25" x14ac:dyDescent="0.35">
      <c r="A9" s="1321"/>
      <c r="B9" s="1322"/>
      <c r="C9" s="1322"/>
      <c r="D9" s="1322"/>
      <c r="E9" s="1322"/>
      <c r="F9" s="1322"/>
      <c r="G9" s="1322"/>
      <c r="H9" s="1322"/>
      <c r="I9" s="1322"/>
      <c r="J9" s="1322"/>
      <c r="K9" s="1323"/>
    </row>
    <row r="10" spans="1:25" x14ac:dyDescent="0.35">
      <c r="A10" s="1321"/>
      <c r="B10" s="1322"/>
      <c r="C10" s="1322"/>
      <c r="D10" s="1322"/>
      <c r="E10" s="1322"/>
      <c r="F10" s="1322"/>
      <c r="G10" s="1322"/>
      <c r="H10" s="1322"/>
      <c r="I10" s="1322"/>
      <c r="J10" s="1322"/>
      <c r="K10" s="1323"/>
    </row>
    <row r="11" spans="1:25" x14ac:dyDescent="0.35">
      <c r="A11" s="1321"/>
      <c r="B11" s="1322"/>
      <c r="C11" s="1322"/>
      <c r="D11" s="1322"/>
      <c r="E11" s="1322"/>
      <c r="F11" s="1322"/>
      <c r="G11" s="1322"/>
      <c r="H11" s="1322"/>
      <c r="I11" s="1322"/>
      <c r="J11" s="1322"/>
      <c r="K11" s="1323"/>
    </row>
    <row r="12" spans="1:25" x14ac:dyDescent="0.35">
      <c r="A12" s="1321"/>
      <c r="B12" s="1322"/>
      <c r="C12" s="1322"/>
      <c r="D12" s="1322"/>
      <c r="E12" s="1322"/>
      <c r="F12" s="1322"/>
      <c r="G12" s="1322"/>
      <c r="H12" s="1322"/>
      <c r="I12" s="1322"/>
      <c r="J12" s="1322"/>
      <c r="K12" s="1323"/>
    </row>
    <row r="13" spans="1:25" x14ac:dyDescent="0.35">
      <c r="A13" s="1324"/>
      <c r="B13" s="1325"/>
      <c r="C13" s="1325"/>
      <c r="D13" s="1325"/>
      <c r="E13" s="1325"/>
      <c r="F13" s="1325"/>
      <c r="G13" s="1325"/>
      <c r="H13" s="1325"/>
      <c r="I13" s="1325"/>
      <c r="J13" s="1325"/>
      <c r="K13" s="1326"/>
    </row>
    <row r="14" spans="1:25" x14ac:dyDescent="0.35">
      <c r="A14" s="1327"/>
      <c r="B14" s="1328"/>
      <c r="C14" s="1328"/>
      <c r="D14" s="1328"/>
      <c r="E14" s="1328"/>
      <c r="F14" s="1328"/>
      <c r="G14" s="1328"/>
      <c r="H14" s="1328"/>
      <c r="I14" s="1328"/>
      <c r="J14" s="1328"/>
      <c r="K14" s="1329"/>
    </row>
    <row r="15" spans="1:25" s="446" customFormat="1" ht="15" customHeight="1" x14ac:dyDescent="0.35">
      <c r="A15" s="1293" t="s">
        <v>1025</v>
      </c>
      <c r="B15" s="1060"/>
      <c r="C15" s="1060"/>
      <c r="D15" s="1060"/>
      <c r="E15" s="1060"/>
      <c r="F15" s="1060"/>
      <c r="G15" s="1060"/>
      <c r="H15" s="1060"/>
      <c r="I15" s="1060"/>
      <c r="J15" s="1060"/>
      <c r="K15" s="1061"/>
      <c r="L15" s="53"/>
    </row>
    <row r="16" spans="1:25" x14ac:dyDescent="0.35">
      <c r="A16" s="1318"/>
      <c r="B16" s="1319"/>
      <c r="C16" s="1319"/>
      <c r="D16" s="1319"/>
      <c r="E16" s="1319"/>
      <c r="F16" s="1319"/>
      <c r="G16" s="1319"/>
      <c r="H16" s="1319"/>
      <c r="I16" s="1319"/>
      <c r="J16" s="1319"/>
      <c r="K16" s="1320"/>
    </row>
    <row r="17" spans="1:12" x14ac:dyDescent="0.35">
      <c r="A17" s="1321"/>
      <c r="B17" s="1322"/>
      <c r="C17" s="1322"/>
      <c r="D17" s="1322"/>
      <c r="E17" s="1322"/>
      <c r="F17" s="1322"/>
      <c r="G17" s="1322"/>
      <c r="H17" s="1322"/>
      <c r="I17" s="1322"/>
      <c r="J17" s="1322"/>
      <c r="K17" s="1323"/>
    </row>
    <row r="18" spans="1:12" x14ac:dyDescent="0.35">
      <c r="A18" s="1321"/>
      <c r="B18" s="1322"/>
      <c r="C18" s="1322"/>
      <c r="D18" s="1322"/>
      <c r="E18" s="1322"/>
      <c r="F18" s="1322"/>
      <c r="G18" s="1322"/>
      <c r="H18" s="1322"/>
      <c r="I18" s="1322"/>
      <c r="J18" s="1322"/>
      <c r="K18" s="1323"/>
    </row>
    <row r="19" spans="1:12" x14ac:dyDescent="0.35">
      <c r="A19" s="1321"/>
      <c r="B19" s="1322"/>
      <c r="C19" s="1322"/>
      <c r="D19" s="1322"/>
      <c r="E19" s="1322"/>
      <c r="F19" s="1322"/>
      <c r="G19" s="1322"/>
      <c r="H19" s="1322"/>
      <c r="I19" s="1322"/>
      <c r="J19" s="1322"/>
      <c r="K19" s="1323"/>
    </row>
    <row r="20" spans="1:12" x14ac:dyDescent="0.35">
      <c r="A20" s="1321"/>
      <c r="B20" s="1322"/>
      <c r="C20" s="1322"/>
      <c r="D20" s="1322"/>
      <c r="E20" s="1322"/>
      <c r="F20" s="1322"/>
      <c r="G20" s="1322"/>
      <c r="H20" s="1322"/>
      <c r="I20" s="1322"/>
      <c r="J20" s="1322"/>
      <c r="K20" s="1323"/>
    </row>
    <row r="21" spans="1:12" x14ac:dyDescent="0.35">
      <c r="A21" s="1321"/>
      <c r="B21" s="1322"/>
      <c r="C21" s="1322"/>
      <c r="D21" s="1322"/>
      <c r="E21" s="1322"/>
      <c r="F21" s="1322"/>
      <c r="G21" s="1322"/>
      <c r="H21" s="1322"/>
      <c r="I21" s="1322"/>
      <c r="J21" s="1322"/>
      <c r="K21" s="1323"/>
    </row>
    <row r="22" spans="1:12" x14ac:dyDescent="0.35">
      <c r="A22" s="1321"/>
      <c r="B22" s="1322"/>
      <c r="C22" s="1322"/>
      <c r="D22" s="1322"/>
      <c r="E22" s="1322"/>
      <c r="F22" s="1322"/>
      <c r="G22" s="1322"/>
      <c r="H22" s="1322"/>
      <c r="I22" s="1322"/>
      <c r="J22" s="1322"/>
      <c r="K22" s="1323"/>
    </row>
    <row r="23" spans="1:12" x14ac:dyDescent="0.35">
      <c r="A23" s="1321"/>
      <c r="B23" s="1322"/>
      <c r="C23" s="1322"/>
      <c r="D23" s="1322"/>
      <c r="E23" s="1322"/>
      <c r="F23" s="1322"/>
      <c r="G23" s="1322"/>
      <c r="H23" s="1322"/>
      <c r="I23" s="1322"/>
      <c r="J23" s="1322"/>
      <c r="K23" s="1323"/>
    </row>
    <row r="24" spans="1:12" x14ac:dyDescent="0.35">
      <c r="A24" s="1321"/>
      <c r="B24" s="1322"/>
      <c r="C24" s="1322"/>
      <c r="D24" s="1322"/>
      <c r="E24" s="1322"/>
      <c r="F24" s="1322"/>
      <c r="G24" s="1322"/>
      <c r="H24" s="1322"/>
      <c r="I24" s="1322"/>
      <c r="J24" s="1322"/>
      <c r="K24" s="1323"/>
    </row>
    <row r="25" spans="1:12" x14ac:dyDescent="0.35">
      <c r="A25" s="1321"/>
      <c r="B25" s="1322"/>
      <c r="C25" s="1322"/>
      <c r="D25" s="1322"/>
      <c r="E25" s="1322"/>
      <c r="F25" s="1322"/>
      <c r="G25" s="1322"/>
      <c r="H25" s="1322"/>
      <c r="I25" s="1322"/>
      <c r="J25" s="1322"/>
      <c r="K25" s="1323"/>
    </row>
    <row r="26" spans="1:12" x14ac:dyDescent="0.35">
      <c r="A26" s="1321"/>
      <c r="B26" s="1322"/>
      <c r="C26" s="1322"/>
      <c r="D26" s="1322"/>
      <c r="E26" s="1322"/>
      <c r="F26" s="1322"/>
      <c r="G26" s="1322"/>
      <c r="H26" s="1322"/>
      <c r="I26" s="1322"/>
      <c r="J26" s="1322"/>
      <c r="K26" s="1323"/>
    </row>
    <row r="27" spans="1:12" x14ac:dyDescent="0.35">
      <c r="A27" s="1321"/>
      <c r="B27" s="1322"/>
      <c r="C27" s="1322"/>
      <c r="D27" s="1322"/>
      <c r="E27" s="1322"/>
      <c r="F27" s="1322"/>
      <c r="G27" s="1322"/>
      <c r="H27" s="1322"/>
      <c r="I27" s="1322"/>
      <c r="J27" s="1322"/>
      <c r="K27" s="1323"/>
    </row>
    <row r="28" spans="1:12" x14ac:dyDescent="0.35">
      <c r="A28" s="1321"/>
      <c r="B28" s="1322"/>
      <c r="C28" s="1322"/>
      <c r="D28" s="1322"/>
      <c r="E28" s="1322"/>
      <c r="F28" s="1322"/>
      <c r="G28" s="1322"/>
      <c r="H28" s="1322"/>
      <c r="I28" s="1322"/>
      <c r="J28" s="1322"/>
      <c r="K28" s="1323"/>
    </row>
    <row r="29" spans="1:12" x14ac:dyDescent="0.35">
      <c r="A29" s="1324"/>
      <c r="B29" s="1325"/>
      <c r="C29" s="1325"/>
      <c r="D29" s="1325"/>
      <c r="E29" s="1325"/>
      <c r="F29" s="1325"/>
      <c r="G29" s="1325"/>
      <c r="H29" s="1325"/>
      <c r="I29" s="1325"/>
      <c r="J29" s="1325"/>
      <c r="K29" s="1326"/>
    </row>
    <row r="30" spans="1:12" x14ac:dyDescent="0.35">
      <c r="A30" s="1327"/>
      <c r="B30" s="1328"/>
      <c r="C30" s="1328"/>
      <c r="D30" s="1328"/>
      <c r="E30" s="1328"/>
      <c r="F30" s="1328"/>
      <c r="G30" s="1328"/>
      <c r="H30" s="1328"/>
      <c r="I30" s="1328"/>
      <c r="J30" s="1328"/>
      <c r="K30" s="1330"/>
    </row>
    <row r="31" spans="1:12" s="1068" customFormat="1" x14ac:dyDescent="0.35">
      <c r="A31" s="1293" t="s">
        <v>1100</v>
      </c>
      <c r="B31" s="1060"/>
      <c r="C31" s="1060"/>
      <c r="D31" s="1060"/>
      <c r="E31" s="1060"/>
      <c r="F31" s="1060"/>
      <c r="G31" s="1060"/>
      <c r="H31" s="1060"/>
      <c r="I31" s="1060"/>
      <c r="J31" s="1060"/>
      <c r="K31" s="1061"/>
      <c r="L31" s="827"/>
    </row>
    <row r="32" spans="1:12" x14ac:dyDescent="0.35">
      <c r="A32" s="1318"/>
      <c r="B32" s="1319"/>
      <c r="C32" s="1319"/>
      <c r="D32" s="1319"/>
      <c r="E32" s="1319"/>
      <c r="F32" s="1319"/>
      <c r="G32" s="1319"/>
      <c r="H32" s="1319"/>
      <c r="I32" s="1319"/>
      <c r="J32" s="1319"/>
      <c r="K32" s="1320"/>
    </row>
    <row r="33" spans="1:11" x14ac:dyDescent="0.35">
      <c r="A33" s="1321"/>
      <c r="B33" s="1322"/>
      <c r="C33" s="1322"/>
      <c r="D33" s="1322"/>
      <c r="E33" s="1322"/>
      <c r="F33" s="1322"/>
      <c r="G33" s="1322"/>
      <c r="H33" s="1322"/>
      <c r="I33" s="1322"/>
      <c r="J33" s="1322"/>
      <c r="K33" s="1323"/>
    </row>
    <row r="34" spans="1:11" x14ac:dyDescent="0.35">
      <c r="A34" s="1321"/>
      <c r="B34" s="1322"/>
      <c r="C34" s="1322"/>
      <c r="D34" s="1322"/>
      <c r="E34" s="1322"/>
      <c r="F34" s="1322"/>
      <c r="G34" s="1322"/>
      <c r="H34" s="1322"/>
      <c r="I34" s="1322"/>
      <c r="J34" s="1322"/>
      <c r="K34" s="1323"/>
    </row>
    <row r="35" spans="1:11" x14ac:dyDescent="0.35">
      <c r="A35" s="1321"/>
      <c r="B35" s="1322"/>
      <c r="C35" s="1322"/>
      <c r="D35" s="1322"/>
      <c r="E35" s="1322"/>
      <c r="F35" s="1322"/>
      <c r="G35" s="1322"/>
      <c r="H35" s="1322"/>
      <c r="I35" s="1322"/>
      <c r="J35" s="1322"/>
      <c r="K35" s="1323"/>
    </row>
    <row r="36" spans="1:11" x14ac:dyDescent="0.35">
      <c r="A36" s="1321"/>
      <c r="B36" s="1322"/>
      <c r="C36" s="1322"/>
      <c r="D36" s="1322"/>
      <c r="E36" s="1322"/>
      <c r="F36" s="1322"/>
      <c r="G36" s="1322"/>
      <c r="H36" s="1322"/>
      <c r="I36" s="1322"/>
      <c r="J36" s="1322"/>
      <c r="K36" s="1323"/>
    </row>
    <row r="37" spans="1:11" x14ac:dyDescent="0.35">
      <c r="A37" s="1321"/>
      <c r="B37" s="1322"/>
      <c r="C37" s="1322"/>
      <c r="D37" s="1322"/>
      <c r="E37" s="1322"/>
      <c r="F37" s="1322"/>
      <c r="G37" s="1322"/>
      <c r="H37" s="1322"/>
      <c r="I37" s="1322"/>
      <c r="J37" s="1322"/>
      <c r="K37" s="1323"/>
    </row>
    <row r="38" spans="1:11" x14ac:dyDescent="0.35">
      <c r="A38" s="1321"/>
      <c r="B38" s="1322"/>
      <c r="C38" s="1322"/>
      <c r="D38" s="1322"/>
      <c r="E38" s="1322"/>
      <c r="F38" s="1322"/>
      <c r="G38" s="1322"/>
      <c r="H38" s="1322"/>
      <c r="I38" s="1322"/>
      <c r="J38" s="1322"/>
      <c r="K38" s="1323"/>
    </row>
    <row r="39" spans="1:11" x14ac:dyDescent="0.35">
      <c r="A39" s="1321"/>
      <c r="B39" s="1322"/>
      <c r="C39" s="1322"/>
      <c r="D39" s="1322"/>
      <c r="E39" s="1322"/>
      <c r="F39" s="1322"/>
      <c r="G39" s="1322"/>
      <c r="H39" s="1322"/>
      <c r="I39" s="1322"/>
      <c r="J39" s="1322"/>
      <c r="K39" s="1323"/>
    </row>
    <row r="40" spans="1:11" x14ac:dyDescent="0.35">
      <c r="A40" s="1321"/>
      <c r="B40" s="1322"/>
      <c r="C40" s="1322"/>
      <c r="D40" s="1322"/>
      <c r="E40" s="1322"/>
      <c r="F40" s="1322"/>
      <c r="G40" s="1322"/>
      <c r="H40" s="1322"/>
      <c r="I40" s="1322"/>
      <c r="J40" s="1322"/>
      <c r="K40" s="1323"/>
    </row>
    <row r="41" spans="1:11" x14ac:dyDescent="0.35">
      <c r="A41" s="1321"/>
      <c r="B41" s="1322"/>
      <c r="C41" s="1322"/>
      <c r="D41" s="1322"/>
      <c r="E41" s="1322"/>
      <c r="F41" s="1322"/>
      <c r="G41" s="1322"/>
      <c r="H41" s="1322"/>
      <c r="I41" s="1322"/>
      <c r="J41" s="1322"/>
      <c r="K41" s="1323"/>
    </row>
    <row r="42" spans="1:11" x14ac:dyDescent="0.35">
      <c r="A42" s="1321"/>
      <c r="B42" s="1322"/>
      <c r="C42" s="1322"/>
      <c r="D42" s="1322"/>
      <c r="E42" s="1322"/>
      <c r="F42" s="1322"/>
      <c r="G42" s="1322"/>
      <c r="H42" s="1322"/>
      <c r="I42" s="1322"/>
      <c r="J42" s="1322"/>
      <c r="K42" s="1323"/>
    </row>
    <row r="43" spans="1:11" x14ac:dyDescent="0.35">
      <c r="A43" s="1321"/>
      <c r="B43" s="1322"/>
      <c r="C43" s="1322"/>
      <c r="D43" s="1322"/>
      <c r="E43" s="1322"/>
      <c r="F43" s="1322"/>
      <c r="G43" s="1322"/>
      <c r="H43" s="1322"/>
      <c r="I43" s="1322"/>
      <c r="J43" s="1322"/>
      <c r="K43" s="1323"/>
    </row>
    <row r="44" spans="1:11" x14ac:dyDescent="0.35">
      <c r="A44" s="1321"/>
      <c r="B44" s="1322"/>
      <c r="C44" s="1322"/>
      <c r="D44" s="1322"/>
      <c r="E44" s="1322"/>
      <c r="F44" s="1322"/>
      <c r="G44" s="1322"/>
      <c r="H44" s="1322"/>
      <c r="I44" s="1322"/>
      <c r="J44" s="1322"/>
      <c r="K44" s="1323"/>
    </row>
    <row r="45" spans="1:11" x14ac:dyDescent="0.35">
      <c r="A45" s="1321"/>
      <c r="B45" s="1322"/>
      <c r="C45" s="1322"/>
      <c r="D45" s="1322"/>
      <c r="E45" s="1322"/>
      <c r="F45" s="1322"/>
      <c r="G45" s="1322"/>
      <c r="H45" s="1322"/>
      <c r="I45" s="1322"/>
      <c r="J45" s="1322"/>
      <c r="K45" s="1323"/>
    </row>
    <row r="46" spans="1:11" x14ac:dyDescent="0.35">
      <c r="A46" s="1321"/>
      <c r="B46" s="1322"/>
      <c r="C46" s="1322"/>
      <c r="D46" s="1322"/>
      <c r="E46" s="1322"/>
      <c r="F46" s="1322"/>
      <c r="G46" s="1322"/>
      <c r="H46" s="1322"/>
      <c r="I46" s="1322"/>
      <c r="J46" s="1322"/>
      <c r="K46" s="1323"/>
    </row>
    <row r="47" spans="1:11" x14ac:dyDescent="0.35">
      <c r="A47" s="1324"/>
      <c r="B47" s="1325"/>
      <c r="C47" s="1325"/>
      <c r="D47" s="1325"/>
      <c r="E47" s="1325"/>
      <c r="F47" s="1325"/>
      <c r="G47" s="1325"/>
      <c r="H47" s="1325"/>
      <c r="I47" s="1325"/>
      <c r="J47" s="1325"/>
      <c r="K47" s="1326"/>
    </row>
    <row r="48" spans="1:11" x14ac:dyDescent="0.35">
      <c r="A48" s="1327"/>
      <c r="B48" s="1328"/>
      <c r="C48" s="1328"/>
      <c r="D48" s="1328"/>
      <c r="E48" s="1328"/>
      <c r="F48" s="1328"/>
      <c r="G48" s="1328"/>
      <c r="H48" s="1328"/>
      <c r="I48" s="1328"/>
      <c r="J48" s="1328"/>
      <c r="K48" s="1329"/>
    </row>
    <row r="49" spans="1:12" x14ac:dyDescent="0.35">
      <c r="A49" s="1293" t="s">
        <v>1101</v>
      </c>
      <c r="B49" s="1070"/>
      <c r="C49" s="1070"/>
      <c r="D49" s="1070"/>
      <c r="E49" s="1070"/>
      <c r="F49" s="1070"/>
      <c r="G49" s="1070"/>
      <c r="H49" s="1070"/>
      <c r="I49" s="1070"/>
      <c r="J49" s="1070"/>
      <c r="K49" s="1300"/>
    </row>
    <row r="50" spans="1:12" s="1068" customFormat="1" x14ac:dyDescent="0.35">
      <c r="A50" s="1295"/>
      <c r="B50" s="1296"/>
      <c r="C50" s="1296"/>
      <c r="D50" s="1296"/>
      <c r="E50" s="1296"/>
      <c r="F50" s="1296"/>
      <c r="G50" s="1296"/>
      <c r="H50" s="1296"/>
      <c r="I50" s="1296"/>
      <c r="J50" s="1296"/>
      <c r="K50" s="1299"/>
      <c r="L50" s="827"/>
    </row>
    <row r="51" spans="1:12" s="1068" customFormat="1" x14ac:dyDescent="0.35">
      <c r="A51" s="127"/>
      <c r="B51" s="128"/>
      <c r="C51" s="128"/>
      <c r="D51" s="128"/>
      <c r="E51" s="128"/>
      <c r="F51" s="128"/>
      <c r="G51" s="128"/>
      <c r="H51" s="128"/>
      <c r="I51" s="128"/>
      <c r="J51" s="128"/>
      <c r="K51" s="129"/>
      <c r="L51" s="827"/>
    </row>
    <row r="52" spans="1:12" s="1068" customFormat="1" x14ac:dyDescent="0.35">
      <c r="A52" s="127"/>
      <c r="B52" s="128"/>
      <c r="C52" s="128"/>
      <c r="D52" s="128"/>
      <c r="E52" s="128"/>
      <c r="F52" s="128"/>
      <c r="G52" s="128"/>
      <c r="H52" s="128"/>
      <c r="I52" s="128"/>
      <c r="J52" s="128"/>
      <c r="K52" s="129"/>
      <c r="L52" s="827"/>
    </row>
    <row r="53" spans="1:12" s="1068" customFormat="1" x14ac:dyDescent="0.35">
      <c r="A53" s="127"/>
      <c r="B53" s="128"/>
      <c r="C53" s="128"/>
      <c r="D53" s="128"/>
      <c r="E53" s="128"/>
      <c r="F53" s="128"/>
      <c r="G53" s="128"/>
      <c r="H53" s="128"/>
      <c r="I53" s="128"/>
      <c r="J53" s="128"/>
      <c r="K53" s="129"/>
      <c r="L53" s="827"/>
    </row>
    <row r="54" spans="1:12" x14ac:dyDescent="0.35">
      <c r="A54" s="130"/>
      <c r="B54" s="131"/>
      <c r="C54" s="131"/>
      <c r="D54" s="131"/>
      <c r="E54" s="131"/>
      <c r="F54" s="131"/>
      <c r="G54" s="131"/>
      <c r="H54" s="131"/>
      <c r="I54" s="131"/>
      <c r="J54" s="131"/>
      <c r="K54" s="132"/>
    </row>
    <row r="55" spans="1:12" x14ac:dyDescent="0.35"/>
    <row r="56" spans="1:12" x14ac:dyDescent="0.35">
      <c r="A56" s="1306" t="s">
        <v>1102</v>
      </c>
      <c r="B56" s="1331"/>
      <c r="C56" s="1331"/>
      <c r="D56" s="1331"/>
      <c r="E56" s="1331"/>
      <c r="F56" s="1331"/>
      <c r="G56" s="1331"/>
      <c r="H56" s="1331"/>
      <c r="I56" s="1331"/>
      <c r="J56" s="1070"/>
      <c r="K56" s="1300"/>
    </row>
    <row r="57" spans="1:12" x14ac:dyDescent="0.35">
      <c r="A57" s="1295"/>
      <c r="B57" s="1296"/>
      <c r="C57" s="1296"/>
      <c r="D57" s="1296"/>
      <c r="E57" s="1296"/>
      <c r="F57" s="1296"/>
      <c r="G57" s="1296"/>
      <c r="H57" s="1296"/>
      <c r="I57" s="1296"/>
      <c r="J57" s="1296"/>
      <c r="K57" s="1299"/>
    </row>
    <row r="58" spans="1:12" s="1068" customFormat="1" x14ac:dyDescent="0.35">
      <c r="A58" s="127"/>
      <c r="B58" s="128"/>
      <c r="C58" s="128"/>
      <c r="D58" s="128"/>
      <c r="E58" s="128"/>
      <c r="F58" s="128"/>
      <c r="G58" s="128"/>
      <c r="H58" s="128"/>
      <c r="I58" s="128"/>
      <c r="J58" s="128"/>
      <c r="K58" s="129"/>
      <c r="L58" s="827"/>
    </row>
    <row r="59" spans="1:12" x14ac:dyDescent="0.35">
      <c r="A59" s="127"/>
      <c r="B59" s="128"/>
      <c r="C59" s="128"/>
      <c r="D59" s="128"/>
      <c r="E59" s="128"/>
      <c r="F59" s="128"/>
      <c r="G59" s="128"/>
      <c r="H59" s="128"/>
      <c r="I59" s="128"/>
      <c r="J59" s="128"/>
      <c r="K59" s="129"/>
    </row>
    <row r="60" spans="1:12" x14ac:dyDescent="0.35">
      <c r="A60" s="127"/>
      <c r="B60" s="128"/>
      <c r="C60" s="128"/>
      <c r="D60" s="128"/>
      <c r="E60" s="128"/>
      <c r="F60" s="128"/>
      <c r="G60" s="128"/>
      <c r="H60" s="128"/>
      <c r="I60" s="128"/>
      <c r="J60" s="128"/>
      <c r="K60" s="129"/>
    </row>
    <row r="61" spans="1:12" x14ac:dyDescent="0.35">
      <c r="A61" s="130"/>
      <c r="B61" s="131"/>
      <c r="C61" s="131"/>
      <c r="D61" s="131"/>
      <c r="E61" s="131"/>
      <c r="F61" s="131"/>
      <c r="G61" s="131"/>
      <c r="H61" s="131"/>
      <c r="I61" s="131"/>
      <c r="J61" s="131"/>
      <c r="K61" s="132"/>
    </row>
    <row r="62" spans="1:12" hidden="1" x14ac:dyDescent="0.35"/>
    <row r="63" spans="1:12" hidden="1" x14ac:dyDescent="0.35"/>
    <row r="64" spans="1:12" hidden="1" x14ac:dyDescent="0.35"/>
    <row r="65" hidden="1" x14ac:dyDescent="0.35"/>
    <row r="66" hidden="1" x14ac:dyDescent="0.35"/>
    <row r="67" hidden="1" x14ac:dyDescent="0.35"/>
    <row r="68" hidden="1" x14ac:dyDescent="0.35"/>
    <row r="69" x14ac:dyDescent="0.35"/>
  </sheetData>
  <sheetProtection password="813F" sheet="1" objects="1" scenarios="1" selectLockedCells="1"/>
  <customSheetViews>
    <customSheetView guid="{51165254-F18A-4CD1-9981-8F2DE14CC76C}" scale="75" showGridLines="0" fitToPage="1" hiddenRows="1" hiddenColumns="1" showRuler="0" topLeftCell="A13">
      <selection activeCell="D6" sqref="D6"/>
      <pageMargins left="0.78740157480314965" right="0.78740157480314965" top="0.98425196850393704" bottom="0.98425196850393704" header="0.51181102362204722" footer="0.51181102362204722"/>
      <printOptions horizontalCentered="1" verticalCentered="1"/>
      <pageSetup paperSize="9" scale="41"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41"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3">
    <tabColor indexed="43"/>
    <pageSetUpPr fitToPage="1"/>
  </sheetPr>
  <dimension ref="A1:Y58"/>
  <sheetViews>
    <sheetView showGridLines="0" topLeftCell="C8" zoomScale="135" zoomScaleNormal="90" workbookViewId="0">
      <selection activeCell="J8" sqref="J8"/>
    </sheetView>
  </sheetViews>
  <sheetFormatPr baseColWidth="10" defaultColWidth="0" defaultRowHeight="14.4" zeroHeight="1" x14ac:dyDescent="0.35"/>
  <cols>
    <col min="1" max="11" width="15.109375" style="441" customWidth="1"/>
    <col min="12" max="12" width="1.44140625" style="827" customWidth="1"/>
    <col min="13" max="25" width="9.109375" style="1279" hidden="1" customWidth="1"/>
    <col min="26" max="16384" width="9.109375" style="441" hidden="1"/>
  </cols>
  <sheetData>
    <row r="1" spans="1:25" s="1281" customFormat="1" ht="28.8" x14ac:dyDescent="0.55000000000000004">
      <c r="A1" s="1108" t="str">
        <f>'2.0 Company Profile'!A1</f>
        <v>Company Summary</v>
      </c>
      <c r="B1" s="1109"/>
      <c r="C1" s="1109"/>
      <c r="D1" s="1109"/>
      <c r="E1" s="1109"/>
      <c r="F1" s="1109"/>
      <c r="G1" s="1109"/>
      <c r="H1" s="1109"/>
      <c r="I1" s="1109"/>
      <c r="J1" s="1109"/>
      <c r="K1" s="1110" t="s">
        <v>769</v>
      </c>
      <c r="L1" s="1562"/>
      <c r="M1" s="1280"/>
      <c r="N1" s="1280"/>
      <c r="O1" s="1280"/>
      <c r="P1" s="1280"/>
      <c r="Q1" s="1280"/>
      <c r="R1" s="1280"/>
      <c r="S1" s="1280"/>
      <c r="T1" s="1280"/>
      <c r="U1" s="1280"/>
      <c r="V1" s="1280"/>
      <c r="W1" s="1280"/>
      <c r="X1" s="1280"/>
      <c r="Y1" s="1280"/>
    </row>
    <row r="2" spans="1:25" s="1281" customFormat="1" ht="13.2" customHeight="1" x14ac:dyDescent="0.45">
      <c r="A2" s="442"/>
      <c r="B2" s="1282"/>
      <c r="C2" s="1283"/>
      <c r="D2" s="472"/>
      <c r="E2" s="1284"/>
      <c r="F2" s="443"/>
      <c r="G2" s="443"/>
      <c r="H2" s="1285"/>
      <c r="I2" s="472"/>
      <c r="J2" s="472"/>
      <c r="K2" s="524"/>
      <c r="L2" s="1562"/>
      <c r="M2" s="1280"/>
      <c r="N2" s="1280"/>
      <c r="O2" s="1280"/>
      <c r="P2" s="1280"/>
      <c r="Q2" s="1280"/>
      <c r="R2" s="1280"/>
      <c r="S2" s="1280"/>
      <c r="T2" s="1280"/>
      <c r="U2" s="1280"/>
      <c r="V2" s="1280"/>
      <c r="W2" s="1280"/>
      <c r="X2" s="1280"/>
      <c r="Y2" s="1280"/>
    </row>
    <row r="3" spans="1:25" x14ac:dyDescent="0.35">
      <c r="A3" s="442" t="s">
        <v>1049</v>
      </c>
      <c r="B3" s="1282"/>
      <c r="C3" s="460" t="str">
        <f>'Reference sheet'!C12</f>
        <v>TRUCK INTERNATIONAL MOBILITY SA</v>
      </c>
      <c r="D3" s="472"/>
      <c r="E3" s="1284"/>
      <c r="F3" s="443"/>
      <c r="G3" s="1286" t="s">
        <v>1037</v>
      </c>
      <c r="H3" s="1287" t="str">
        <f>'Reference sheet'!C17</f>
        <v>October</v>
      </c>
      <c r="I3" s="1288">
        <f>'Reference sheet'!D17</f>
        <v>2018</v>
      </c>
      <c r="J3" s="1286" t="s">
        <v>1036</v>
      </c>
      <c r="K3" s="1289">
        <f>'Reference sheet'!C15</f>
        <v>2</v>
      </c>
    </row>
    <row r="4" spans="1:25" x14ac:dyDescent="0.35">
      <c r="A4" s="473"/>
      <c r="B4" s="1290"/>
      <c r="C4" s="478"/>
      <c r="D4" s="478"/>
      <c r="E4" s="478"/>
      <c r="F4" s="478"/>
      <c r="G4" s="1291"/>
      <c r="H4" s="478"/>
      <c r="I4" s="478"/>
      <c r="J4" s="478"/>
      <c r="K4" s="1292"/>
    </row>
    <row r="5" spans="1:25" s="443" customFormat="1" ht="13.2" customHeight="1" x14ac:dyDescent="0.35">
      <c r="B5" s="456"/>
      <c r="G5" s="457"/>
      <c r="K5" s="456"/>
      <c r="L5" s="53"/>
      <c r="M5" s="1301"/>
      <c r="N5" s="1301"/>
      <c r="O5" s="1301"/>
      <c r="P5" s="1301"/>
      <c r="Q5" s="1301"/>
      <c r="R5" s="1301"/>
      <c r="S5" s="1301"/>
      <c r="T5" s="1301"/>
      <c r="U5" s="1301"/>
      <c r="V5" s="1301"/>
      <c r="W5" s="1301"/>
      <c r="X5" s="1301"/>
      <c r="Y5" s="1301"/>
    </row>
    <row r="6" spans="1:25" ht="13.2" customHeight="1" x14ac:dyDescent="0.35">
      <c r="A6" s="1293" t="s">
        <v>1103</v>
      </c>
      <c r="B6" s="1060"/>
      <c r="C6" s="1060"/>
      <c r="D6" s="1060"/>
      <c r="E6" s="1060"/>
      <c r="F6" s="1060"/>
      <c r="G6" s="1060"/>
      <c r="H6" s="1060"/>
      <c r="I6" s="1060"/>
      <c r="J6" s="1060"/>
      <c r="K6" s="1061"/>
      <c r="L6" s="53"/>
    </row>
    <row r="7" spans="1:25" ht="16.2" x14ac:dyDescent="0.35">
      <c r="A7" s="1302"/>
      <c r="B7" s="517"/>
      <c r="C7" s="517"/>
      <c r="D7" s="517"/>
      <c r="E7" s="517"/>
      <c r="F7" s="517"/>
      <c r="G7" s="517"/>
      <c r="H7" s="517"/>
      <c r="I7" s="517"/>
      <c r="J7" s="517"/>
      <c r="K7" s="518"/>
      <c r="L7" s="53"/>
    </row>
    <row r="8" spans="1:25" x14ac:dyDescent="0.35">
      <c r="A8" s="442" t="s">
        <v>1104</v>
      </c>
      <c r="B8" s="443"/>
      <c r="C8" s="443"/>
      <c r="D8" s="2003">
        <v>4000</v>
      </c>
      <c r="E8" s="1303" t="s">
        <v>110</v>
      </c>
      <c r="F8" s="472"/>
      <c r="G8" s="443" t="s">
        <v>1105</v>
      </c>
      <c r="H8" s="443"/>
      <c r="I8" s="443"/>
      <c r="J8" s="2003">
        <v>1000</v>
      </c>
      <c r="K8" s="1304" t="s">
        <v>110</v>
      </c>
      <c r="L8" s="53"/>
    </row>
    <row r="9" spans="1:25" x14ac:dyDescent="0.35">
      <c r="A9" s="442" t="s">
        <v>1106</v>
      </c>
      <c r="B9" s="443"/>
      <c r="C9" s="443"/>
      <c r="D9" s="2003">
        <v>1965</v>
      </c>
      <c r="E9" s="1303" t="s">
        <v>110</v>
      </c>
      <c r="F9" s="472"/>
      <c r="G9" s="443" t="s">
        <v>1107</v>
      </c>
      <c r="H9" s="443"/>
      <c r="I9" s="443"/>
      <c r="J9" s="2003">
        <v>115</v>
      </c>
      <c r="K9" s="1304" t="s">
        <v>110</v>
      </c>
      <c r="L9" s="53"/>
    </row>
    <row r="10" spans="1:25" x14ac:dyDescent="0.35">
      <c r="A10" s="442" t="s">
        <v>1108</v>
      </c>
      <c r="B10" s="443"/>
      <c r="C10" s="443"/>
      <c r="D10" s="2003">
        <v>840</v>
      </c>
      <c r="E10" s="1303" t="s">
        <v>110</v>
      </c>
      <c r="F10" s="472"/>
      <c r="G10" s="441" t="s">
        <v>1109</v>
      </c>
      <c r="H10" s="443"/>
      <c r="I10" s="443"/>
      <c r="J10" s="2003">
        <v>2000</v>
      </c>
      <c r="K10" s="1304" t="s">
        <v>110</v>
      </c>
      <c r="L10" s="53"/>
    </row>
    <row r="11" spans="1:25" x14ac:dyDescent="0.35">
      <c r="A11" s="442" t="s">
        <v>1110</v>
      </c>
      <c r="B11" s="443"/>
      <c r="C11" s="443"/>
      <c r="D11" s="2003"/>
      <c r="E11" s="1303" t="s">
        <v>110</v>
      </c>
      <c r="F11" s="472"/>
      <c r="G11" s="443" t="s">
        <v>891</v>
      </c>
      <c r="H11" s="443"/>
      <c r="I11" s="443"/>
      <c r="J11" s="2003">
        <v>3</v>
      </c>
      <c r="K11" s="1305"/>
      <c r="L11" s="53"/>
    </row>
    <row r="12" spans="1:25" x14ac:dyDescent="0.35">
      <c r="A12" s="442" t="s">
        <v>712</v>
      </c>
      <c r="D12" s="2003">
        <v>5</v>
      </c>
      <c r="E12" s="1303" t="s">
        <v>713</v>
      </c>
      <c r="F12" s="472"/>
      <c r="G12" s="443" t="s">
        <v>711</v>
      </c>
      <c r="H12" s="443"/>
      <c r="I12" s="443"/>
      <c r="J12" s="2003">
        <v>30</v>
      </c>
      <c r="K12" s="1304" t="s">
        <v>713</v>
      </c>
      <c r="L12" s="53"/>
    </row>
    <row r="13" spans="1:25" x14ac:dyDescent="0.35">
      <c r="A13" s="473"/>
      <c r="B13" s="478"/>
      <c r="C13" s="478"/>
      <c r="D13" s="478"/>
      <c r="E13" s="478"/>
      <c r="F13" s="478"/>
      <c r="G13" s="478"/>
      <c r="H13" s="478"/>
      <c r="I13" s="478"/>
      <c r="J13" s="478"/>
      <c r="K13" s="516"/>
    </row>
    <row r="14" spans="1:25" x14ac:dyDescent="0.35">
      <c r="A14" s="443"/>
      <c r="B14" s="443"/>
      <c r="C14" s="443"/>
      <c r="D14" s="443"/>
      <c r="E14" s="443"/>
      <c r="F14" s="443"/>
      <c r="G14" s="443"/>
      <c r="H14" s="443"/>
      <c r="I14" s="443"/>
      <c r="J14" s="443"/>
      <c r="K14" s="443"/>
    </row>
    <row r="15" spans="1:25" x14ac:dyDescent="0.35">
      <c r="A15" s="1293" t="s">
        <v>1111</v>
      </c>
      <c r="B15" s="1060"/>
      <c r="C15" s="1060"/>
      <c r="D15" s="1060"/>
      <c r="E15" s="1060"/>
      <c r="F15" s="1060"/>
      <c r="G15" s="1060"/>
      <c r="H15" s="1060"/>
      <c r="I15" s="1060"/>
      <c r="J15" s="1060"/>
      <c r="K15" s="1061"/>
    </row>
    <row r="16" spans="1:25" x14ac:dyDescent="0.35">
      <c r="A16" s="1295"/>
      <c r="B16" s="1296"/>
      <c r="C16" s="1296"/>
      <c r="D16" s="1296"/>
      <c r="E16" s="1296"/>
      <c r="F16" s="1296"/>
      <c r="G16" s="1296"/>
      <c r="H16" s="1296"/>
      <c r="I16" s="1296"/>
      <c r="J16" s="1296"/>
      <c r="K16" s="1299"/>
    </row>
    <row r="17" spans="1:11" x14ac:dyDescent="0.35">
      <c r="A17" s="127"/>
      <c r="B17" s="128"/>
      <c r="C17" s="128"/>
      <c r="D17" s="128"/>
      <c r="E17" s="128"/>
      <c r="F17" s="128"/>
      <c r="G17" s="128"/>
      <c r="H17" s="128"/>
      <c r="I17" s="128"/>
      <c r="J17" s="128"/>
      <c r="K17" s="129"/>
    </row>
    <row r="18" spans="1:11" x14ac:dyDescent="0.35">
      <c r="A18" s="127"/>
      <c r="B18" s="128"/>
      <c r="C18" s="128"/>
      <c r="D18" s="128"/>
      <c r="E18" s="128"/>
      <c r="F18" s="128"/>
      <c r="G18" s="128"/>
      <c r="H18" s="128"/>
      <c r="I18" s="128"/>
      <c r="J18" s="128"/>
      <c r="K18" s="129"/>
    </row>
    <row r="19" spans="1:11" x14ac:dyDescent="0.35">
      <c r="A19" s="127"/>
      <c r="B19" s="128"/>
      <c r="C19" s="128"/>
      <c r="D19" s="128"/>
      <c r="E19" s="128"/>
      <c r="F19" s="128"/>
      <c r="G19" s="128"/>
      <c r="H19" s="128"/>
      <c r="I19" s="128"/>
      <c r="J19" s="128"/>
      <c r="K19" s="129"/>
    </row>
    <row r="20" spans="1:11" x14ac:dyDescent="0.35">
      <c r="A20" s="127"/>
      <c r="B20" s="128"/>
      <c r="C20" s="128"/>
      <c r="D20" s="128"/>
      <c r="E20" s="128"/>
      <c r="F20" s="128"/>
      <c r="G20" s="128"/>
      <c r="H20" s="128"/>
      <c r="I20" s="128"/>
      <c r="J20" s="128"/>
      <c r="K20" s="129"/>
    </row>
    <row r="21" spans="1:11" x14ac:dyDescent="0.35">
      <c r="A21" s="127"/>
      <c r="B21" s="128"/>
      <c r="C21" s="128"/>
      <c r="D21" s="128"/>
      <c r="E21" s="128"/>
      <c r="F21" s="128"/>
      <c r="G21" s="128"/>
      <c r="H21" s="128"/>
      <c r="I21" s="128"/>
      <c r="J21" s="128"/>
      <c r="K21" s="129"/>
    </row>
    <row r="22" spans="1:11" x14ac:dyDescent="0.35">
      <c r="A22" s="127"/>
      <c r="B22" s="128"/>
      <c r="C22" s="128"/>
      <c r="D22" s="128"/>
      <c r="E22" s="128"/>
      <c r="F22" s="128"/>
      <c r="G22" s="128"/>
      <c r="H22" s="128"/>
      <c r="I22" s="128"/>
      <c r="J22" s="128"/>
      <c r="K22" s="129"/>
    </row>
    <row r="23" spans="1:11" x14ac:dyDescent="0.35">
      <c r="A23" s="127"/>
      <c r="B23" s="128"/>
      <c r="C23" s="128"/>
      <c r="D23" s="128"/>
      <c r="E23" s="128"/>
      <c r="F23" s="128"/>
      <c r="G23" s="128"/>
      <c r="H23" s="128"/>
      <c r="I23" s="128"/>
      <c r="J23" s="128"/>
      <c r="K23" s="129"/>
    </row>
    <row r="24" spans="1:11" x14ac:dyDescent="0.35">
      <c r="A24" s="127"/>
      <c r="B24" s="128"/>
      <c r="C24" s="128"/>
      <c r="D24" s="128"/>
      <c r="E24" s="128"/>
      <c r="F24" s="128"/>
      <c r="G24" s="128"/>
      <c r="H24" s="128"/>
      <c r="I24" s="128"/>
      <c r="J24" s="128"/>
      <c r="K24" s="129"/>
    </row>
    <row r="25" spans="1:11" x14ac:dyDescent="0.35">
      <c r="A25" s="127"/>
      <c r="B25" s="128"/>
      <c r="C25" s="128"/>
      <c r="D25" s="128"/>
      <c r="E25" s="128"/>
      <c r="F25" s="128"/>
      <c r="G25" s="128"/>
      <c r="H25" s="128"/>
      <c r="I25" s="128"/>
      <c r="J25" s="128"/>
      <c r="K25" s="129"/>
    </row>
    <row r="26" spans="1:11" x14ac:dyDescent="0.35">
      <c r="A26" s="127"/>
      <c r="B26" s="128"/>
      <c r="C26" s="128"/>
      <c r="D26" s="128"/>
      <c r="E26" s="128"/>
      <c r="F26" s="128"/>
      <c r="G26" s="128"/>
      <c r="H26" s="128"/>
      <c r="I26" s="128"/>
      <c r="J26" s="128"/>
      <c r="K26" s="129"/>
    </row>
    <row r="27" spans="1:11" x14ac:dyDescent="0.35">
      <c r="A27" s="127"/>
      <c r="B27" s="128"/>
      <c r="C27" s="128"/>
      <c r="D27" s="128"/>
      <c r="E27" s="128"/>
      <c r="F27" s="128"/>
      <c r="G27" s="128"/>
      <c r="H27" s="128"/>
      <c r="I27" s="128"/>
      <c r="J27" s="128"/>
      <c r="K27" s="129"/>
    </row>
    <row r="28" spans="1:11" x14ac:dyDescent="0.35">
      <c r="A28" s="127"/>
      <c r="B28" s="128"/>
      <c r="C28" s="128"/>
      <c r="D28" s="128"/>
      <c r="E28" s="128"/>
      <c r="F28" s="128"/>
      <c r="G28" s="128"/>
      <c r="H28" s="128"/>
      <c r="I28" s="128"/>
      <c r="J28" s="128"/>
      <c r="K28" s="129"/>
    </row>
    <row r="29" spans="1:11" x14ac:dyDescent="0.35">
      <c r="A29" s="127"/>
      <c r="B29" s="128"/>
      <c r="C29" s="128"/>
      <c r="D29" s="128"/>
      <c r="E29" s="128"/>
      <c r="F29" s="128"/>
      <c r="G29" s="128"/>
      <c r="H29" s="128"/>
      <c r="I29" s="128"/>
      <c r="J29" s="128"/>
      <c r="K29" s="129"/>
    </row>
    <row r="30" spans="1:11" x14ac:dyDescent="0.35">
      <c r="A30" s="127"/>
      <c r="B30" s="128"/>
      <c r="C30" s="128"/>
      <c r="D30" s="128"/>
      <c r="E30" s="128"/>
      <c r="F30" s="128"/>
      <c r="G30" s="128"/>
      <c r="H30" s="128"/>
      <c r="I30" s="128"/>
      <c r="J30" s="128"/>
      <c r="K30" s="129"/>
    </row>
    <row r="31" spans="1:11" x14ac:dyDescent="0.35">
      <c r="A31" s="127"/>
      <c r="B31" s="128"/>
      <c r="C31" s="128"/>
      <c r="D31" s="128"/>
      <c r="E31" s="128"/>
      <c r="F31" s="128"/>
      <c r="G31" s="128"/>
      <c r="H31" s="128"/>
      <c r="I31" s="128"/>
      <c r="J31" s="128"/>
      <c r="K31" s="129"/>
    </row>
    <row r="32" spans="1:11" x14ac:dyDescent="0.35">
      <c r="A32" s="127"/>
      <c r="B32" s="128"/>
      <c r="C32" s="128"/>
      <c r="D32" s="128"/>
      <c r="E32" s="128"/>
      <c r="F32" s="128"/>
      <c r="G32" s="128"/>
      <c r="H32" s="128"/>
      <c r="I32" s="128"/>
      <c r="J32" s="128"/>
      <c r="K32" s="129"/>
    </row>
    <row r="33" spans="1:11" x14ac:dyDescent="0.35">
      <c r="A33" s="127"/>
      <c r="B33" s="128"/>
      <c r="C33" s="128"/>
      <c r="D33" s="128"/>
      <c r="E33" s="128"/>
      <c r="F33" s="128"/>
      <c r="G33" s="128"/>
      <c r="H33" s="128"/>
      <c r="I33" s="128"/>
      <c r="J33" s="128"/>
      <c r="K33" s="129"/>
    </row>
    <row r="34" spans="1:11" x14ac:dyDescent="0.35">
      <c r="A34" s="127"/>
      <c r="B34" s="128"/>
      <c r="C34" s="128"/>
      <c r="D34" s="128"/>
      <c r="E34" s="128"/>
      <c r="F34" s="128"/>
      <c r="G34" s="128"/>
      <c r="H34" s="128"/>
      <c r="I34" s="128"/>
      <c r="J34" s="128"/>
      <c r="K34" s="129"/>
    </row>
    <row r="35" spans="1:11" x14ac:dyDescent="0.35">
      <c r="A35" s="127"/>
      <c r="B35" s="128"/>
      <c r="C35" s="128"/>
      <c r="D35" s="128"/>
      <c r="E35" s="128"/>
      <c r="F35" s="128"/>
      <c r="G35" s="128"/>
      <c r="H35" s="128"/>
      <c r="I35" s="128"/>
      <c r="J35" s="128"/>
      <c r="K35" s="129"/>
    </row>
    <row r="36" spans="1:11" x14ac:dyDescent="0.35">
      <c r="A36" s="127"/>
      <c r="B36" s="128"/>
      <c r="C36" s="128"/>
      <c r="D36" s="128"/>
      <c r="E36" s="128"/>
      <c r="F36" s="128"/>
      <c r="G36" s="128"/>
      <c r="H36" s="128"/>
      <c r="I36" s="128"/>
      <c r="J36" s="128"/>
      <c r="K36" s="129"/>
    </row>
    <row r="37" spans="1:11" x14ac:dyDescent="0.35">
      <c r="A37" s="127"/>
      <c r="B37" s="128"/>
      <c r="C37" s="128"/>
      <c r="D37" s="128"/>
      <c r="E37" s="128"/>
      <c r="F37" s="128"/>
      <c r="G37" s="128"/>
      <c r="H37" s="128"/>
      <c r="I37" s="128"/>
      <c r="J37" s="128"/>
      <c r="K37" s="129"/>
    </row>
    <row r="38" spans="1:11" x14ac:dyDescent="0.35">
      <c r="A38" s="127"/>
      <c r="B38" s="128"/>
      <c r="C38" s="128"/>
      <c r="D38" s="128"/>
      <c r="E38" s="128"/>
      <c r="F38" s="128"/>
      <c r="G38" s="128"/>
      <c r="H38" s="128"/>
      <c r="I38" s="128"/>
      <c r="J38" s="128"/>
      <c r="K38" s="129"/>
    </row>
    <row r="39" spans="1:11" x14ac:dyDescent="0.35">
      <c r="A39" s="130"/>
      <c r="B39" s="131"/>
      <c r="C39" s="131"/>
      <c r="D39" s="131"/>
      <c r="E39" s="131"/>
      <c r="F39" s="131"/>
      <c r="G39" s="131"/>
      <c r="H39" s="131"/>
      <c r="I39" s="131"/>
      <c r="J39" s="131"/>
      <c r="K39" s="132"/>
    </row>
    <row r="40" spans="1:11" x14ac:dyDescent="0.35"/>
    <row r="41" spans="1:11" x14ac:dyDescent="0.35">
      <c r="A41" s="1293" t="s">
        <v>1112</v>
      </c>
      <c r="B41" s="1070"/>
      <c r="C41" s="1070"/>
      <c r="D41" s="1070"/>
      <c r="E41" s="1070"/>
      <c r="F41" s="1070"/>
      <c r="G41" s="1070"/>
      <c r="H41" s="1070"/>
      <c r="I41" s="1070"/>
      <c r="J41" s="1070"/>
      <c r="K41" s="1300"/>
    </row>
    <row r="42" spans="1:11" x14ac:dyDescent="0.35">
      <c r="A42" s="1295"/>
      <c r="B42" s="1296"/>
      <c r="C42" s="1296"/>
      <c r="D42" s="1296"/>
      <c r="E42" s="1296"/>
      <c r="F42" s="1296"/>
      <c r="G42" s="1296"/>
      <c r="H42" s="1296"/>
      <c r="I42" s="1296"/>
      <c r="J42" s="1296"/>
      <c r="K42" s="1299"/>
    </row>
    <row r="43" spans="1:11" x14ac:dyDescent="0.35">
      <c r="A43" s="127"/>
      <c r="B43" s="128"/>
      <c r="C43" s="128"/>
      <c r="D43" s="128"/>
      <c r="E43" s="128"/>
      <c r="F43" s="128"/>
      <c r="G43" s="128"/>
      <c r="H43" s="128"/>
      <c r="I43" s="128"/>
      <c r="J43" s="128"/>
      <c r="K43" s="129"/>
    </row>
    <row r="44" spans="1:11" x14ac:dyDescent="0.35">
      <c r="A44" s="127"/>
      <c r="B44" s="128"/>
      <c r="C44" s="128"/>
      <c r="D44" s="128"/>
      <c r="E44" s="128"/>
      <c r="F44" s="128"/>
      <c r="G44" s="128"/>
      <c r="H44" s="128"/>
      <c r="I44" s="128"/>
      <c r="J44" s="128"/>
      <c r="K44" s="129"/>
    </row>
    <row r="45" spans="1:11" x14ac:dyDescent="0.35">
      <c r="A45" s="130"/>
      <c r="B45" s="131"/>
      <c r="C45" s="131"/>
      <c r="D45" s="131"/>
      <c r="E45" s="131"/>
      <c r="F45" s="131"/>
      <c r="G45" s="131"/>
      <c r="H45" s="131"/>
      <c r="I45" s="131"/>
      <c r="J45" s="131"/>
      <c r="K45" s="132"/>
    </row>
    <row r="46" spans="1:11" x14ac:dyDescent="0.35"/>
    <row r="47" spans="1:11" x14ac:dyDescent="0.35">
      <c r="A47" s="1293" t="s">
        <v>1113</v>
      </c>
      <c r="B47" s="1070"/>
      <c r="C47" s="1070"/>
      <c r="D47" s="1070"/>
      <c r="E47" s="1070"/>
      <c r="F47" s="1070"/>
      <c r="G47" s="1070"/>
      <c r="H47" s="1070"/>
      <c r="I47" s="1070"/>
      <c r="J47" s="1070"/>
      <c r="K47" s="1300"/>
    </row>
    <row r="48" spans="1:11" x14ac:dyDescent="0.35">
      <c r="A48" s="1295"/>
      <c r="B48" s="1296"/>
      <c r="C48" s="1296"/>
      <c r="D48" s="1296"/>
      <c r="E48" s="1296"/>
      <c r="F48" s="1296"/>
      <c r="G48" s="1296"/>
      <c r="H48" s="1296"/>
      <c r="I48" s="1296"/>
      <c r="J48" s="1296"/>
      <c r="K48" s="1299"/>
    </row>
    <row r="49" spans="1:11" x14ac:dyDescent="0.35">
      <c r="A49" s="127"/>
      <c r="B49" s="128"/>
      <c r="C49" s="128"/>
      <c r="D49" s="128"/>
      <c r="E49" s="128"/>
      <c r="F49" s="128"/>
      <c r="G49" s="128"/>
      <c r="H49" s="128"/>
      <c r="I49" s="128"/>
      <c r="J49" s="128"/>
      <c r="K49" s="129"/>
    </row>
    <row r="50" spans="1:11" x14ac:dyDescent="0.35">
      <c r="A50" s="127"/>
      <c r="B50" s="128"/>
      <c r="C50" s="128"/>
      <c r="D50" s="128"/>
      <c r="E50" s="128"/>
      <c r="F50" s="128"/>
      <c r="G50" s="128"/>
      <c r="H50" s="128"/>
      <c r="I50" s="128"/>
      <c r="J50" s="128"/>
      <c r="K50" s="129"/>
    </row>
    <row r="51" spans="1:11" x14ac:dyDescent="0.35">
      <c r="A51" s="130"/>
      <c r="B51" s="131"/>
      <c r="C51" s="131"/>
      <c r="D51" s="131"/>
      <c r="E51" s="131"/>
      <c r="F51" s="131"/>
      <c r="G51" s="131"/>
      <c r="H51" s="131"/>
      <c r="I51" s="131"/>
      <c r="J51" s="131"/>
      <c r="K51" s="132"/>
    </row>
    <row r="52" spans="1:11" x14ac:dyDescent="0.35"/>
    <row r="53" spans="1:11" x14ac:dyDescent="0.35">
      <c r="A53" s="1306" t="s">
        <v>641</v>
      </c>
      <c r="B53" s="1074"/>
      <c r="C53" s="1074"/>
      <c r="D53" s="1074"/>
      <c r="E53" s="1074"/>
      <c r="F53" s="1074"/>
      <c r="G53" s="1074"/>
      <c r="H53" s="1074"/>
      <c r="I53" s="1074"/>
      <c r="J53" s="1074"/>
      <c r="K53" s="1075"/>
    </row>
    <row r="54" spans="1:11" x14ac:dyDescent="0.35">
      <c r="A54" s="1307"/>
      <c r="B54" s="1296"/>
      <c r="C54" s="1296"/>
      <c r="D54" s="1296"/>
      <c r="E54" s="1296"/>
      <c r="F54" s="1296"/>
      <c r="G54" s="1296"/>
      <c r="H54" s="1296"/>
      <c r="I54" s="1296"/>
      <c r="J54" s="1296"/>
      <c r="K54" s="1299"/>
    </row>
    <row r="55" spans="1:11" x14ac:dyDescent="0.35">
      <c r="A55" s="1308"/>
      <c r="B55" s="128"/>
      <c r="C55" s="128"/>
      <c r="D55" s="128"/>
      <c r="E55" s="128"/>
      <c r="F55" s="128"/>
      <c r="G55" s="128"/>
      <c r="H55" s="128"/>
      <c r="I55" s="128"/>
      <c r="J55" s="128"/>
      <c r="K55" s="129"/>
    </row>
    <row r="56" spans="1:11" x14ac:dyDescent="0.35">
      <c r="A56" s="127"/>
      <c r="B56" s="128"/>
      <c r="C56" s="128"/>
      <c r="D56" s="128"/>
      <c r="E56" s="128"/>
      <c r="F56" s="128"/>
      <c r="G56" s="128"/>
      <c r="H56" s="128"/>
      <c r="I56" s="128"/>
      <c r="J56" s="128"/>
      <c r="K56" s="129"/>
    </row>
    <row r="57" spans="1:11" x14ac:dyDescent="0.35">
      <c r="A57" s="130"/>
      <c r="B57" s="131"/>
      <c r="C57" s="131"/>
      <c r="D57" s="131"/>
      <c r="E57" s="131"/>
      <c r="F57" s="131"/>
      <c r="G57" s="131"/>
      <c r="H57" s="131"/>
      <c r="I57" s="131"/>
      <c r="J57" s="131"/>
      <c r="K57" s="132"/>
    </row>
    <row r="58" spans="1:11" x14ac:dyDescent="0.35"/>
  </sheetData>
  <sheetProtection password="813F" sheet="1" objects="1" scenarios="1" selectLockedCells="1"/>
  <customSheetViews>
    <customSheetView guid="{51165254-F18A-4CD1-9981-8F2DE14CC76C}" showGridLines="0" fitToPage="1" hiddenRows="1" hiddenColumns="1" showRuler="0">
      <selection activeCell="D9" sqref="D9"/>
      <pageMargins left="0.78740157480314965" right="0.78740157480314965" top="0.98425196850393704" bottom="0.98425196850393704" header="0.51181102362204722" footer="0.51181102362204722"/>
      <printOptions horizontalCentered="1" verticalCentered="1"/>
      <pageSetup paperSize="9" scale="52" orientation="portrait" r:id="rId1"/>
      <headerFooter alignWithMargins="0">
        <oddHeader>&amp;L&amp;F</oddHeader>
        <oddFooter xml:space="preserve">&amp;LDAF Dealer Business Plan&amp;CPrint date: &amp;D&amp;R&amp;P/&amp;N | DAF Trucks NV    </oddFooter>
      </headerFooter>
    </customSheetView>
  </customSheetViews>
  <phoneticPr fontId="11" type="noConversion"/>
  <printOptions horizontalCentered="1" verticalCentered="1"/>
  <pageMargins left="0.78740157480314965" right="0.78740157480314965" top="0.98425196850393704" bottom="0.98425196850393704" header="0.51181102362204722" footer="0.51181102362204722"/>
  <pageSetup paperSize="9" scale="52" orientation="portrait" r:id="rId2"/>
  <headerFooter alignWithMargins="0">
    <oddHeader>&amp;L&amp;F</oddHeader>
    <oddFooter xml:space="preserve">&amp;LDAF Dealer Business Plan - Version January 2011&amp;CPrint date: &amp;D&amp;R&amp;P/&amp;N | DAF Trucks NV    </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6">
    <tabColor indexed="51"/>
    <pageSetUpPr fitToPage="1"/>
  </sheetPr>
  <dimension ref="A1:Y73"/>
  <sheetViews>
    <sheetView showGridLines="0" zoomScale="110" zoomScaleNormal="110" workbookViewId="0">
      <selection activeCell="E52" sqref="E52"/>
    </sheetView>
  </sheetViews>
  <sheetFormatPr baseColWidth="10" defaultColWidth="0" defaultRowHeight="14.4" zeroHeight="1" x14ac:dyDescent="0.35"/>
  <cols>
    <col min="1" max="4" width="14.33203125" style="1991" customWidth="1"/>
    <col min="5" max="5" width="14.33203125" style="1992" customWidth="1"/>
    <col min="6" max="9" width="14.33203125" style="1991" customWidth="1"/>
    <col min="10" max="11" width="13.6640625" style="1991" customWidth="1"/>
    <col min="12" max="12" width="2.33203125" style="1551" customWidth="1"/>
    <col min="13" max="25" width="9.109375" style="1423" hidden="1" customWidth="1"/>
    <col min="26" max="16384" width="9.109375" style="262" hidden="1"/>
  </cols>
  <sheetData>
    <row r="1" spans="1:25" s="1416" customFormat="1" ht="30" customHeight="1" x14ac:dyDescent="0.45">
      <c r="A1" s="1412" t="s">
        <v>678</v>
      </c>
      <c r="B1" s="1413"/>
      <c r="C1" s="1413"/>
      <c r="D1" s="1413"/>
      <c r="E1" s="1414"/>
      <c r="F1" s="1413"/>
      <c r="G1" s="1413"/>
      <c r="H1" s="1413"/>
      <c r="I1" s="1415"/>
      <c r="J1" s="1413"/>
      <c r="K1" s="202" t="s">
        <v>682</v>
      </c>
      <c r="L1" s="1563"/>
    </row>
    <row r="2" spans="1:25" s="45" customFormat="1" ht="22.2" x14ac:dyDescent="0.45">
      <c r="A2" s="236"/>
      <c r="B2" s="237"/>
      <c r="C2" s="237"/>
      <c r="D2" s="237"/>
      <c r="E2" s="1417"/>
      <c r="F2" s="237"/>
      <c r="G2" s="237"/>
      <c r="H2" s="237"/>
      <c r="I2" s="237"/>
      <c r="J2" s="237"/>
      <c r="K2" s="79"/>
      <c r="L2" s="44"/>
      <c r="M2" s="168"/>
      <c r="N2" s="168"/>
      <c r="O2" s="168"/>
      <c r="P2" s="168"/>
      <c r="Q2" s="168"/>
      <c r="R2" s="168"/>
      <c r="S2" s="168"/>
      <c r="T2" s="168"/>
      <c r="U2" s="168"/>
      <c r="V2" s="168"/>
      <c r="W2" s="168"/>
      <c r="X2" s="168"/>
      <c r="Y2" s="168"/>
    </row>
    <row r="3" spans="1:25" s="45" customFormat="1" x14ac:dyDescent="0.35">
      <c r="A3" s="135" t="s">
        <v>1049</v>
      </c>
      <c r="B3" s="169"/>
      <c r="C3" s="164" t="str">
        <f>'Reference sheet'!C12</f>
        <v>TRUCK INTERNATIONAL MOBILITY SA</v>
      </c>
      <c r="D3" s="171"/>
      <c r="E3" s="348"/>
      <c r="F3" s="136"/>
      <c r="G3" s="175" t="s">
        <v>1037</v>
      </c>
      <c r="H3" s="862" t="str">
        <f>'Reference sheet'!C17</f>
        <v>October</v>
      </c>
      <c r="I3" s="863">
        <f>'Reference sheet'!D17</f>
        <v>2018</v>
      </c>
      <c r="J3" s="175" t="s">
        <v>1036</v>
      </c>
      <c r="K3" s="177">
        <f>'Reference sheet'!C15</f>
        <v>2</v>
      </c>
      <c r="L3" s="44"/>
      <c r="M3" s="168"/>
      <c r="N3" s="168"/>
      <c r="O3" s="168"/>
      <c r="P3" s="168"/>
      <c r="Q3" s="168"/>
      <c r="R3" s="168"/>
      <c r="S3" s="168"/>
      <c r="T3" s="168"/>
      <c r="U3" s="168"/>
      <c r="V3" s="168"/>
      <c r="W3" s="168"/>
      <c r="X3" s="168"/>
      <c r="Y3" s="168"/>
    </row>
    <row r="4" spans="1:25" s="45" customFormat="1" x14ac:dyDescent="0.35">
      <c r="A4" s="145"/>
      <c r="B4" s="178"/>
      <c r="C4" s="146"/>
      <c r="D4" s="146"/>
      <c r="E4" s="1418"/>
      <c r="F4" s="146"/>
      <c r="G4" s="179"/>
      <c r="H4" s="146"/>
      <c r="I4" s="146"/>
      <c r="J4" s="146"/>
      <c r="K4" s="180"/>
      <c r="L4" s="44"/>
      <c r="M4" s="168"/>
      <c r="N4" s="168"/>
      <c r="O4" s="168"/>
      <c r="P4" s="168"/>
      <c r="Q4" s="168"/>
      <c r="R4" s="168"/>
      <c r="S4" s="168"/>
      <c r="T4" s="168"/>
      <c r="U4" s="168"/>
      <c r="V4" s="168"/>
      <c r="W4" s="168"/>
      <c r="X4" s="168"/>
      <c r="Y4" s="168"/>
    </row>
    <row r="5" spans="1:25" s="45" customFormat="1" x14ac:dyDescent="0.35">
      <c r="E5" s="1403"/>
      <c r="L5" s="44"/>
      <c r="M5" s="168"/>
      <c r="N5" s="168"/>
      <c r="O5" s="168"/>
      <c r="P5" s="168"/>
      <c r="Q5" s="168"/>
      <c r="R5" s="168"/>
      <c r="S5" s="168"/>
      <c r="T5" s="168"/>
      <c r="U5" s="168"/>
      <c r="V5" s="168"/>
      <c r="W5" s="168"/>
      <c r="X5" s="168"/>
      <c r="Y5" s="168"/>
    </row>
    <row r="6" spans="1:25" s="45" customFormat="1" x14ac:dyDescent="0.35">
      <c r="A6" s="832" t="s">
        <v>643</v>
      </c>
      <c r="B6" s="833"/>
      <c r="C6" s="833"/>
      <c r="D6" s="833"/>
      <c r="E6" s="1419"/>
      <c r="F6" s="833"/>
      <c r="G6" s="833"/>
      <c r="H6" s="833"/>
      <c r="I6" s="833"/>
      <c r="J6" s="833"/>
      <c r="K6" s="834"/>
      <c r="L6" s="44"/>
      <c r="M6" s="168"/>
      <c r="N6" s="168"/>
      <c r="O6" s="168"/>
      <c r="P6" s="168"/>
      <c r="Q6" s="168"/>
      <c r="R6" s="168"/>
      <c r="S6" s="168"/>
      <c r="T6" s="168"/>
      <c r="U6" s="168"/>
      <c r="V6" s="168"/>
      <c r="W6" s="168"/>
      <c r="X6" s="168"/>
      <c r="Y6" s="168"/>
    </row>
    <row r="7" spans="1:25" s="45" customFormat="1" x14ac:dyDescent="0.35">
      <c r="A7" s="276" t="s">
        <v>1133</v>
      </c>
      <c r="B7" s="148"/>
      <c r="C7" s="277" t="s">
        <v>1083</v>
      </c>
      <c r="D7" s="148"/>
      <c r="E7" s="1420" t="s">
        <v>1134</v>
      </c>
      <c r="F7" s="148"/>
      <c r="G7" s="277" t="s">
        <v>1135</v>
      </c>
      <c r="H7" s="148"/>
      <c r="I7" s="148"/>
      <c r="J7" s="148"/>
      <c r="K7" s="78"/>
      <c r="L7" s="44"/>
      <c r="M7" s="168"/>
      <c r="N7" s="168"/>
      <c r="O7" s="168"/>
      <c r="P7" s="168"/>
      <c r="Q7" s="168"/>
      <c r="R7" s="168"/>
      <c r="S7" s="168"/>
      <c r="T7" s="168"/>
      <c r="U7" s="168"/>
      <c r="V7" s="168"/>
      <c r="W7" s="168"/>
      <c r="X7" s="168"/>
      <c r="Y7" s="168"/>
    </row>
    <row r="8" spans="1:25" s="45" customFormat="1" x14ac:dyDescent="0.35">
      <c r="A8" s="135" t="s">
        <v>1136</v>
      </c>
      <c r="B8" s="136"/>
      <c r="C8" s="136" t="s">
        <v>1061</v>
      </c>
      <c r="D8" s="136"/>
      <c r="E8" s="1474" t="s">
        <v>647</v>
      </c>
      <c r="F8" s="136"/>
      <c r="G8" s="853"/>
      <c r="H8" s="854"/>
      <c r="I8" s="854"/>
      <c r="J8" s="854"/>
      <c r="K8" s="855"/>
      <c r="L8" s="44"/>
      <c r="M8" s="168"/>
      <c r="N8" s="168"/>
      <c r="O8" s="168"/>
      <c r="P8" s="168"/>
      <c r="Q8" s="168"/>
      <c r="R8" s="168"/>
      <c r="S8" s="168"/>
      <c r="T8" s="168"/>
      <c r="U8" s="168"/>
      <c r="V8" s="168"/>
      <c r="W8" s="168"/>
      <c r="X8" s="168"/>
      <c r="Y8" s="168"/>
    </row>
    <row r="9" spans="1:25" s="45" customFormat="1" x14ac:dyDescent="0.35">
      <c r="A9" s="135"/>
      <c r="B9" s="136"/>
      <c r="C9" s="136" t="s">
        <v>1062</v>
      </c>
      <c r="D9" s="136"/>
      <c r="E9" s="1474" t="s">
        <v>647</v>
      </c>
      <c r="F9" s="136"/>
      <c r="G9" s="856"/>
      <c r="H9" s="852"/>
      <c r="I9" s="852"/>
      <c r="J9" s="852"/>
      <c r="K9" s="857"/>
      <c r="L9" s="44"/>
      <c r="M9" s="168"/>
      <c r="N9" s="168"/>
      <c r="O9" s="168"/>
      <c r="P9" s="168"/>
      <c r="Q9" s="168"/>
      <c r="R9" s="168"/>
      <c r="S9" s="168"/>
      <c r="T9" s="168"/>
      <c r="U9" s="168"/>
      <c r="V9" s="168"/>
      <c r="W9" s="168"/>
      <c r="X9" s="168"/>
      <c r="Y9" s="168"/>
    </row>
    <row r="10" spans="1:25" s="45" customFormat="1" x14ac:dyDescent="0.35">
      <c r="A10" s="135"/>
      <c r="B10" s="136"/>
      <c r="C10" s="136" t="s">
        <v>1063</v>
      </c>
      <c r="D10" s="136"/>
      <c r="E10" s="1474" t="s">
        <v>647</v>
      </c>
      <c r="F10" s="136"/>
      <c r="G10" s="856"/>
      <c r="H10" s="852"/>
      <c r="I10" s="852"/>
      <c r="J10" s="852"/>
      <c r="K10" s="857"/>
      <c r="L10" s="44"/>
      <c r="M10" s="168"/>
      <c r="N10" s="168"/>
      <c r="O10" s="168"/>
      <c r="P10" s="168"/>
      <c r="Q10" s="168"/>
      <c r="R10" s="168"/>
      <c r="S10" s="168"/>
      <c r="T10" s="168"/>
      <c r="U10" s="168"/>
      <c r="V10" s="168"/>
      <c r="W10" s="168"/>
      <c r="X10" s="168"/>
      <c r="Y10" s="168"/>
    </row>
    <row r="11" spans="1:25" s="45" customFormat="1" x14ac:dyDescent="0.35">
      <c r="A11" s="135"/>
      <c r="B11" s="136"/>
      <c r="C11" s="136" t="s">
        <v>1064</v>
      </c>
      <c r="D11" s="136"/>
      <c r="E11" s="1474" t="s">
        <v>647</v>
      </c>
      <c r="F11" s="136"/>
      <c r="G11" s="856"/>
      <c r="H11" s="852"/>
      <c r="I11" s="852"/>
      <c r="J11" s="852"/>
      <c r="K11" s="857"/>
      <c r="L11" s="44"/>
      <c r="M11" s="168"/>
      <c r="N11" s="168"/>
      <c r="O11" s="168"/>
      <c r="P11" s="168"/>
      <c r="Q11" s="168"/>
      <c r="R11" s="168"/>
      <c r="S11" s="168"/>
      <c r="T11" s="168"/>
      <c r="U11" s="168"/>
      <c r="V11" s="168"/>
      <c r="W11" s="168"/>
      <c r="X11" s="168"/>
      <c r="Y11" s="168"/>
    </row>
    <row r="12" spans="1:25" s="45" customFormat="1" x14ac:dyDescent="0.35">
      <c r="A12" s="135"/>
      <c r="B12" s="136"/>
      <c r="C12" s="136" t="s">
        <v>1065</v>
      </c>
      <c r="D12" s="136"/>
      <c r="E12" s="1474" t="s">
        <v>646</v>
      </c>
      <c r="F12" s="136"/>
      <c r="G12" s="856"/>
      <c r="H12" s="852"/>
      <c r="I12" s="852"/>
      <c r="J12" s="852"/>
      <c r="K12" s="857"/>
      <c r="L12" s="44"/>
      <c r="M12" s="168"/>
      <c r="N12" s="168"/>
      <c r="O12" s="168"/>
      <c r="P12" s="168"/>
      <c r="Q12" s="168"/>
      <c r="R12" s="168"/>
      <c r="S12" s="168"/>
      <c r="T12" s="168"/>
      <c r="U12" s="168"/>
      <c r="V12" s="168"/>
      <c r="W12" s="168"/>
      <c r="X12" s="168"/>
      <c r="Y12" s="168"/>
    </row>
    <row r="13" spans="1:25" s="45" customFormat="1" x14ac:dyDescent="0.35">
      <c r="A13" s="135"/>
      <c r="B13" s="136"/>
      <c r="C13" s="136" t="s">
        <v>562</v>
      </c>
      <c r="D13" s="136"/>
      <c r="E13" s="1474" t="s">
        <v>647</v>
      </c>
      <c r="F13" s="136"/>
      <c r="G13" s="856"/>
      <c r="H13" s="852"/>
      <c r="I13" s="852"/>
      <c r="J13" s="852"/>
      <c r="K13" s="857"/>
      <c r="L13" s="44"/>
      <c r="M13" s="168"/>
      <c r="N13" s="168"/>
      <c r="O13" s="168"/>
      <c r="P13" s="168"/>
      <c r="Q13" s="168"/>
      <c r="R13" s="168"/>
      <c r="S13" s="168"/>
      <c r="T13" s="168"/>
      <c r="U13" s="168"/>
      <c r="V13" s="168"/>
      <c r="W13" s="168"/>
      <c r="X13" s="168"/>
      <c r="Y13" s="168"/>
    </row>
    <row r="14" spans="1:25" s="45" customFormat="1" x14ac:dyDescent="0.35">
      <c r="A14" s="135"/>
      <c r="B14" s="136"/>
      <c r="C14" s="861"/>
      <c r="D14" s="136"/>
      <c r="E14" s="1474"/>
      <c r="F14" s="136"/>
      <c r="G14" s="856"/>
      <c r="H14" s="852"/>
      <c r="I14" s="852"/>
      <c r="J14" s="852"/>
      <c r="K14" s="857"/>
      <c r="L14" s="44"/>
      <c r="M14" s="168"/>
      <c r="N14" s="168"/>
      <c r="O14" s="168"/>
      <c r="P14" s="168"/>
      <c r="Q14" s="168"/>
      <c r="R14" s="168"/>
      <c r="S14" s="168"/>
      <c r="T14" s="168"/>
      <c r="U14" s="168"/>
      <c r="V14" s="168"/>
      <c r="W14" s="168"/>
      <c r="X14" s="168"/>
      <c r="Y14" s="168"/>
    </row>
    <row r="15" spans="1:25" s="45" customFormat="1" x14ac:dyDescent="0.35">
      <c r="A15" s="135"/>
      <c r="B15" s="136"/>
      <c r="C15" s="861"/>
      <c r="D15" s="136"/>
      <c r="E15" s="1474"/>
      <c r="F15" s="136"/>
      <c r="G15" s="856"/>
      <c r="H15" s="852"/>
      <c r="I15" s="852"/>
      <c r="J15" s="852"/>
      <c r="K15" s="857"/>
      <c r="L15" s="44"/>
      <c r="M15" s="168"/>
      <c r="N15" s="168"/>
      <c r="O15" s="168"/>
      <c r="P15" s="168"/>
      <c r="Q15" s="168"/>
      <c r="R15" s="168"/>
      <c r="S15" s="168"/>
      <c r="T15" s="168"/>
      <c r="U15" s="168"/>
      <c r="V15" s="168"/>
      <c r="W15" s="168"/>
      <c r="X15" s="168"/>
      <c r="Y15" s="168"/>
    </row>
    <row r="16" spans="1:25" s="45" customFormat="1" x14ac:dyDescent="0.35">
      <c r="A16" s="135" t="s">
        <v>1137</v>
      </c>
      <c r="B16" s="136"/>
      <c r="D16" s="136"/>
      <c r="E16" s="1474" t="s">
        <v>647</v>
      </c>
      <c r="F16" s="136"/>
      <c r="G16" s="856"/>
      <c r="H16" s="852"/>
      <c r="I16" s="852"/>
      <c r="J16" s="852"/>
      <c r="K16" s="857"/>
      <c r="L16" s="44"/>
      <c r="M16" s="168"/>
      <c r="N16" s="168"/>
      <c r="O16" s="168"/>
      <c r="P16" s="168"/>
      <c r="Q16" s="168"/>
      <c r="R16" s="168"/>
      <c r="S16" s="168"/>
      <c r="T16" s="168"/>
      <c r="U16" s="168"/>
      <c r="V16" s="168"/>
      <c r="W16" s="168"/>
      <c r="X16" s="168"/>
      <c r="Y16" s="168"/>
    </row>
    <row r="17" spans="1:25" s="45" customFormat="1" x14ac:dyDescent="0.35">
      <c r="A17" s="135" t="s">
        <v>755</v>
      </c>
      <c r="B17" s="136"/>
      <c r="C17" s="229"/>
      <c r="D17" s="136"/>
      <c r="E17" s="1474" t="s">
        <v>647</v>
      </c>
      <c r="F17" s="136"/>
      <c r="G17" s="856"/>
      <c r="H17" s="852"/>
      <c r="I17" s="852"/>
      <c r="J17" s="852"/>
      <c r="K17" s="857"/>
      <c r="L17" s="44"/>
      <c r="M17" s="168"/>
      <c r="N17" s="168"/>
      <c r="O17" s="168"/>
      <c r="P17" s="168"/>
      <c r="Q17" s="168"/>
      <c r="R17" s="168"/>
      <c r="S17" s="168"/>
      <c r="T17" s="168"/>
      <c r="U17" s="168"/>
      <c r="V17" s="168"/>
      <c r="W17" s="168"/>
      <c r="X17" s="168"/>
      <c r="Y17" s="168"/>
    </row>
    <row r="18" spans="1:25" s="45" customFormat="1" x14ac:dyDescent="0.35">
      <c r="A18" s="135" t="s">
        <v>1138</v>
      </c>
      <c r="B18" s="136"/>
      <c r="C18" s="136" t="s">
        <v>1069</v>
      </c>
      <c r="D18" s="136"/>
      <c r="E18" s="1474" t="s">
        <v>646</v>
      </c>
      <c r="F18" s="136"/>
      <c r="G18" s="856"/>
      <c r="H18" s="852"/>
      <c r="I18" s="852"/>
      <c r="J18" s="852"/>
      <c r="K18" s="857"/>
      <c r="L18" s="44"/>
      <c r="M18" s="168"/>
      <c r="N18" s="168"/>
      <c r="O18" s="168"/>
      <c r="P18" s="168"/>
      <c r="Q18" s="168"/>
      <c r="R18" s="168"/>
      <c r="S18" s="168"/>
      <c r="T18" s="168"/>
      <c r="U18" s="168"/>
      <c r="V18" s="168"/>
      <c r="W18" s="168"/>
      <c r="X18" s="168"/>
      <c r="Y18" s="168"/>
    </row>
    <row r="19" spans="1:25" s="45" customFormat="1" x14ac:dyDescent="0.35">
      <c r="A19" s="135"/>
      <c r="B19" s="136"/>
      <c r="C19" s="861"/>
      <c r="D19" s="136"/>
      <c r="E19" s="1474"/>
      <c r="F19" s="136"/>
      <c r="G19" s="856"/>
      <c r="H19" s="852"/>
      <c r="I19" s="852"/>
      <c r="J19" s="852"/>
      <c r="K19" s="857"/>
      <c r="L19" s="44"/>
      <c r="M19" s="168"/>
      <c r="N19" s="168"/>
      <c r="O19" s="168"/>
      <c r="P19" s="168"/>
      <c r="Q19" s="168"/>
      <c r="R19" s="168"/>
      <c r="S19" s="168"/>
      <c r="T19" s="168"/>
      <c r="U19" s="168"/>
      <c r="V19" s="168"/>
      <c r="W19" s="168"/>
      <c r="X19" s="168"/>
      <c r="Y19" s="168"/>
    </row>
    <row r="20" spans="1:25" s="45" customFormat="1" x14ac:dyDescent="0.35">
      <c r="A20" s="135"/>
      <c r="B20" s="136"/>
      <c r="C20" s="861"/>
      <c r="D20" s="136"/>
      <c r="E20" s="1474"/>
      <c r="F20" s="136"/>
      <c r="G20" s="856"/>
      <c r="H20" s="852"/>
      <c r="I20" s="852"/>
      <c r="J20" s="852"/>
      <c r="K20" s="857"/>
      <c r="L20" s="44"/>
      <c r="M20" s="168"/>
      <c r="N20" s="168"/>
      <c r="O20" s="168"/>
      <c r="P20" s="168"/>
      <c r="Q20" s="168"/>
      <c r="R20" s="168"/>
      <c r="S20" s="168"/>
      <c r="T20" s="168"/>
      <c r="U20" s="168"/>
      <c r="V20" s="168"/>
      <c r="W20" s="168"/>
      <c r="X20" s="168"/>
      <c r="Y20" s="168"/>
    </row>
    <row r="21" spans="1:25" s="45" customFormat="1" x14ac:dyDescent="0.35">
      <c r="A21" s="135" t="s">
        <v>1139</v>
      </c>
      <c r="B21" s="136"/>
      <c r="C21" s="861"/>
      <c r="D21" s="136"/>
      <c r="E21" s="1474" t="s">
        <v>647</v>
      </c>
      <c r="F21" s="136"/>
      <c r="G21" s="856"/>
      <c r="H21" s="852"/>
      <c r="I21" s="852"/>
      <c r="J21" s="852"/>
      <c r="K21" s="857"/>
      <c r="L21" s="44"/>
      <c r="M21" s="168"/>
      <c r="N21" s="168"/>
      <c r="O21" s="168"/>
      <c r="P21" s="168"/>
      <c r="Q21" s="168"/>
      <c r="R21" s="168"/>
      <c r="S21" s="168"/>
      <c r="T21" s="168"/>
      <c r="U21" s="168"/>
      <c r="V21" s="168"/>
      <c r="W21" s="168"/>
      <c r="X21" s="168"/>
      <c r="Y21" s="168"/>
    </row>
    <row r="22" spans="1:25" s="45" customFormat="1" x14ac:dyDescent="0.35">
      <c r="A22" s="135" t="s">
        <v>1140</v>
      </c>
      <c r="B22" s="136"/>
      <c r="C22" s="861"/>
      <c r="D22" s="136"/>
      <c r="E22" s="1474" t="s">
        <v>647</v>
      </c>
      <c r="F22" s="136"/>
      <c r="G22" s="856"/>
      <c r="H22" s="852"/>
      <c r="I22" s="852"/>
      <c r="J22" s="852"/>
      <c r="K22" s="857"/>
      <c r="L22" s="44"/>
      <c r="M22" s="168"/>
      <c r="N22" s="168"/>
      <c r="O22" s="168"/>
      <c r="P22" s="168"/>
      <c r="Q22" s="168"/>
      <c r="R22" s="168"/>
      <c r="S22" s="168"/>
      <c r="T22" s="168"/>
      <c r="U22" s="168"/>
      <c r="V22" s="168"/>
      <c r="W22" s="168"/>
      <c r="X22" s="168"/>
      <c r="Y22" s="168"/>
    </row>
    <row r="23" spans="1:25" s="45" customFormat="1" x14ac:dyDescent="0.35">
      <c r="A23" s="135" t="s">
        <v>1141</v>
      </c>
      <c r="B23" s="136"/>
      <c r="C23" s="861"/>
      <c r="D23" s="136"/>
      <c r="E23" s="1474" t="s">
        <v>647</v>
      </c>
      <c r="F23" s="136"/>
      <c r="G23" s="856"/>
      <c r="H23" s="852"/>
      <c r="I23" s="852"/>
      <c r="J23" s="852"/>
      <c r="K23" s="857"/>
      <c r="L23" s="44"/>
      <c r="M23" s="168"/>
      <c r="N23" s="168"/>
      <c r="O23" s="168"/>
      <c r="P23" s="168"/>
      <c r="Q23" s="168"/>
      <c r="R23" s="168"/>
      <c r="S23" s="168"/>
      <c r="T23" s="168"/>
      <c r="U23" s="168"/>
      <c r="V23" s="168"/>
      <c r="W23" s="168"/>
      <c r="X23" s="168"/>
      <c r="Y23" s="168"/>
    </row>
    <row r="24" spans="1:25" s="45" customFormat="1" x14ac:dyDescent="0.35">
      <c r="A24" s="135" t="s">
        <v>1142</v>
      </c>
      <c r="B24" s="136"/>
      <c r="C24" s="861"/>
      <c r="D24" s="136"/>
      <c r="E24" s="1474" t="s">
        <v>647</v>
      </c>
      <c r="F24" s="136"/>
      <c r="G24" s="856"/>
      <c r="H24" s="852"/>
      <c r="I24" s="852"/>
      <c r="J24" s="852"/>
      <c r="K24" s="857"/>
      <c r="L24" s="44"/>
      <c r="M24" s="168"/>
      <c r="N24" s="168"/>
      <c r="O24" s="168"/>
      <c r="P24" s="168"/>
      <c r="Q24" s="168"/>
      <c r="R24" s="168"/>
      <c r="S24" s="168"/>
      <c r="T24" s="168"/>
      <c r="U24" s="168"/>
      <c r="V24" s="168"/>
      <c r="W24" s="168"/>
      <c r="X24" s="168"/>
      <c r="Y24" s="168"/>
    </row>
    <row r="25" spans="1:25" s="45" customFormat="1" x14ac:dyDescent="0.35">
      <c r="A25" s="135" t="s">
        <v>1143</v>
      </c>
      <c r="B25" s="136"/>
      <c r="C25" s="861"/>
      <c r="D25" s="136"/>
      <c r="E25" s="1474" t="s">
        <v>647</v>
      </c>
      <c r="F25" s="136"/>
      <c r="G25" s="856"/>
      <c r="H25" s="852"/>
      <c r="I25" s="852"/>
      <c r="J25" s="852"/>
      <c r="K25" s="857"/>
      <c r="L25" s="44"/>
      <c r="M25" s="168"/>
      <c r="N25" s="168"/>
      <c r="O25" s="168"/>
      <c r="P25" s="168"/>
      <c r="Q25" s="168"/>
      <c r="R25" s="168"/>
      <c r="S25" s="168"/>
      <c r="T25" s="168"/>
      <c r="U25" s="168"/>
      <c r="V25" s="168"/>
      <c r="W25" s="168"/>
      <c r="X25" s="168"/>
      <c r="Y25" s="168"/>
    </row>
    <row r="26" spans="1:25" s="45" customFormat="1" x14ac:dyDescent="0.35">
      <c r="A26" s="135" t="s">
        <v>1144</v>
      </c>
      <c r="B26" s="136"/>
      <c r="C26" s="861"/>
      <c r="D26" s="136"/>
      <c r="E26" s="1474" t="s">
        <v>647</v>
      </c>
      <c r="F26" s="136"/>
      <c r="G26" s="856"/>
      <c r="H26" s="852"/>
      <c r="I26" s="852"/>
      <c r="J26" s="852"/>
      <c r="K26" s="857"/>
      <c r="L26" s="44"/>
      <c r="M26" s="168"/>
      <c r="N26" s="168"/>
      <c r="O26" s="168"/>
      <c r="P26" s="168"/>
      <c r="Q26" s="168"/>
      <c r="R26" s="168"/>
      <c r="S26" s="168"/>
      <c r="T26" s="168"/>
      <c r="U26" s="168"/>
      <c r="V26" s="168"/>
      <c r="W26" s="168"/>
      <c r="X26" s="168"/>
      <c r="Y26" s="168"/>
    </row>
    <row r="27" spans="1:25" s="45" customFormat="1" x14ac:dyDescent="0.35">
      <c r="A27" s="135" t="s">
        <v>1145</v>
      </c>
      <c r="B27" s="136"/>
      <c r="C27" s="861"/>
      <c r="D27" s="136"/>
      <c r="E27" s="1474" t="s">
        <v>647</v>
      </c>
      <c r="F27" s="136"/>
      <c r="G27" s="856"/>
      <c r="H27" s="852"/>
      <c r="I27" s="852"/>
      <c r="J27" s="852"/>
      <c r="K27" s="857"/>
      <c r="L27" s="44"/>
      <c r="M27" s="168"/>
      <c r="N27" s="168"/>
      <c r="O27" s="168"/>
      <c r="P27" s="168"/>
      <c r="Q27" s="168"/>
      <c r="R27" s="168"/>
      <c r="S27" s="168"/>
      <c r="T27" s="168"/>
      <c r="U27" s="168"/>
      <c r="V27" s="168"/>
      <c r="W27" s="168"/>
      <c r="X27" s="168"/>
      <c r="Y27" s="168"/>
    </row>
    <row r="28" spans="1:25" s="45" customFormat="1" x14ac:dyDescent="0.35">
      <c r="A28" s="135" t="s">
        <v>1146</v>
      </c>
      <c r="B28" s="136"/>
      <c r="C28" s="861"/>
      <c r="D28" s="136"/>
      <c r="E28" s="1474" t="s">
        <v>647</v>
      </c>
      <c r="F28" s="136"/>
      <c r="G28" s="856"/>
      <c r="H28" s="852"/>
      <c r="I28" s="852"/>
      <c r="J28" s="852"/>
      <c r="K28" s="857"/>
      <c r="L28" s="44"/>
      <c r="M28" s="168"/>
      <c r="N28" s="168"/>
      <c r="O28" s="168"/>
      <c r="P28" s="168"/>
      <c r="Q28" s="168"/>
      <c r="R28" s="168"/>
      <c r="S28" s="168"/>
      <c r="T28" s="168"/>
      <c r="U28" s="168"/>
      <c r="V28" s="168"/>
      <c r="W28" s="168"/>
      <c r="X28" s="168"/>
      <c r="Y28" s="168"/>
    </row>
    <row r="29" spans="1:25" s="45" customFormat="1" x14ac:dyDescent="0.35">
      <c r="A29" s="861"/>
      <c r="B29" s="136"/>
      <c r="C29" s="861"/>
      <c r="D29" s="136"/>
      <c r="E29" s="1474"/>
      <c r="F29" s="136"/>
      <c r="G29" s="856"/>
      <c r="H29" s="852"/>
      <c r="I29" s="852"/>
      <c r="J29" s="852"/>
      <c r="K29" s="857"/>
      <c r="L29" s="44"/>
      <c r="M29" s="168"/>
      <c r="N29" s="168"/>
      <c r="O29" s="168"/>
      <c r="P29" s="168"/>
      <c r="Q29" s="168"/>
      <c r="R29" s="168"/>
      <c r="S29" s="168"/>
      <c r="T29" s="168"/>
      <c r="U29" s="168"/>
      <c r="V29" s="168"/>
      <c r="W29" s="168"/>
      <c r="X29" s="168"/>
      <c r="Y29" s="168"/>
    </row>
    <row r="30" spans="1:25" s="45" customFormat="1" x14ac:dyDescent="0.35">
      <c r="A30" s="861"/>
      <c r="B30" s="136"/>
      <c r="C30" s="861"/>
      <c r="D30" s="136"/>
      <c r="E30" s="1474"/>
      <c r="F30" s="136"/>
      <c r="G30" s="858"/>
      <c r="H30" s="859"/>
      <c r="I30" s="859"/>
      <c r="J30" s="859"/>
      <c r="K30" s="860"/>
      <c r="L30" s="44"/>
      <c r="M30" s="168"/>
      <c r="N30" s="168"/>
      <c r="O30" s="168"/>
      <c r="P30" s="168"/>
      <c r="Q30" s="168"/>
      <c r="R30" s="168"/>
      <c r="S30" s="168"/>
      <c r="T30" s="168"/>
      <c r="U30" s="168"/>
      <c r="V30" s="168"/>
      <c r="W30" s="168"/>
      <c r="X30" s="168"/>
      <c r="Y30" s="168"/>
    </row>
    <row r="31" spans="1:25" s="45" customFormat="1" x14ac:dyDescent="0.35">
      <c r="A31" s="145"/>
      <c r="B31" s="146"/>
      <c r="C31" s="146"/>
      <c r="D31" s="146"/>
      <c r="E31" s="1418"/>
      <c r="F31" s="146"/>
      <c r="G31" s="231"/>
      <c r="H31" s="231"/>
      <c r="I31" s="231"/>
      <c r="J31" s="231"/>
      <c r="K31" s="1596"/>
      <c r="L31" s="76"/>
      <c r="M31" s="168"/>
      <c r="N31" s="168"/>
      <c r="O31" s="168"/>
      <c r="P31" s="168"/>
      <c r="Q31" s="168"/>
      <c r="R31" s="168"/>
      <c r="S31" s="168"/>
      <c r="T31" s="168"/>
      <c r="U31" s="168"/>
      <c r="V31" s="168"/>
      <c r="W31" s="168"/>
      <c r="X31" s="168"/>
      <c r="Y31" s="168"/>
    </row>
    <row r="32" spans="1:25" s="45" customFormat="1" x14ac:dyDescent="0.35">
      <c r="A32" s="832" t="s">
        <v>644</v>
      </c>
      <c r="B32" s="833"/>
      <c r="C32" s="833"/>
      <c r="D32" s="833"/>
      <c r="E32" s="1419"/>
      <c r="F32" s="833"/>
      <c r="G32" s="833"/>
      <c r="H32" s="833"/>
      <c r="I32" s="833"/>
      <c r="J32" s="833"/>
      <c r="K32" s="834"/>
      <c r="L32" s="44"/>
      <c r="M32" s="168"/>
      <c r="N32" s="168"/>
      <c r="O32" s="168"/>
      <c r="P32" s="168"/>
      <c r="Q32" s="168"/>
      <c r="R32" s="168"/>
      <c r="S32" s="168"/>
      <c r="T32" s="168"/>
      <c r="U32" s="168"/>
      <c r="V32" s="168"/>
      <c r="W32" s="168"/>
      <c r="X32" s="168"/>
      <c r="Y32" s="168"/>
    </row>
    <row r="33" spans="1:25" s="255" customFormat="1" x14ac:dyDescent="0.35">
      <c r="A33" s="276" t="s">
        <v>1147</v>
      </c>
      <c r="B33" s="277"/>
      <c r="C33" s="277"/>
      <c r="D33" s="277"/>
      <c r="E33" s="1420" t="s">
        <v>1134</v>
      </c>
      <c r="F33" s="277"/>
      <c r="G33" s="277" t="s">
        <v>1135</v>
      </c>
      <c r="H33" s="277"/>
      <c r="I33" s="277"/>
      <c r="J33" s="277"/>
      <c r="K33" s="1421"/>
      <c r="L33" s="1564"/>
      <c r="M33" s="1422"/>
      <c r="N33" s="1422"/>
      <c r="O33" s="1422"/>
      <c r="P33" s="1422"/>
      <c r="Q33" s="1422"/>
      <c r="R33" s="1422"/>
      <c r="S33" s="1422"/>
      <c r="T33" s="1422"/>
      <c r="U33" s="1422"/>
      <c r="V33" s="1422"/>
      <c r="W33" s="1422"/>
      <c r="X33" s="1422"/>
      <c r="Y33" s="1422"/>
    </row>
    <row r="34" spans="1:25" s="45" customFormat="1" x14ac:dyDescent="0.35">
      <c r="A34" s="135" t="s">
        <v>1148</v>
      </c>
      <c r="B34" s="136"/>
      <c r="C34" s="136"/>
      <c r="D34" s="136"/>
      <c r="E34" s="1474" t="s">
        <v>646</v>
      </c>
      <c r="F34" s="136"/>
      <c r="G34" s="853"/>
      <c r="H34" s="854"/>
      <c r="I34" s="854"/>
      <c r="J34" s="854"/>
      <c r="K34" s="855"/>
      <c r="L34" s="44"/>
      <c r="M34" s="168"/>
      <c r="N34" s="168"/>
      <c r="O34" s="168"/>
      <c r="P34" s="168"/>
      <c r="Q34" s="168"/>
      <c r="R34" s="168"/>
      <c r="S34" s="168"/>
      <c r="T34" s="168"/>
      <c r="U34" s="168"/>
      <c r="V34" s="168"/>
      <c r="W34" s="168"/>
      <c r="X34" s="168"/>
      <c r="Y34" s="168"/>
    </row>
    <row r="35" spans="1:25" s="45" customFormat="1" x14ac:dyDescent="0.35">
      <c r="A35" s="135" t="s">
        <v>1149</v>
      </c>
      <c r="B35" s="136"/>
      <c r="C35" s="136"/>
      <c r="D35" s="136"/>
      <c r="E35" s="1474" t="s">
        <v>647</v>
      </c>
      <c r="F35" s="136"/>
      <c r="G35" s="856"/>
      <c r="H35" s="852"/>
      <c r="I35" s="852"/>
      <c r="J35" s="852"/>
      <c r="K35" s="857"/>
      <c r="L35" s="44"/>
      <c r="M35" s="168"/>
      <c r="N35" s="168"/>
      <c r="O35" s="168"/>
      <c r="P35" s="168"/>
      <c r="Q35" s="168"/>
      <c r="R35" s="168"/>
      <c r="S35" s="168"/>
      <c r="T35" s="168"/>
      <c r="U35" s="168"/>
      <c r="V35" s="168"/>
      <c r="W35" s="168"/>
      <c r="X35" s="168"/>
      <c r="Y35" s="168"/>
    </row>
    <row r="36" spans="1:25" s="45" customFormat="1" x14ac:dyDescent="0.35">
      <c r="A36" s="135" t="s">
        <v>1150</v>
      </c>
      <c r="B36" s="136"/>
      <c r="C36" s="136"/>
      <c r="D36" s="136"/>
      <c r="E36" s="1474" t="s">
        <v>647</v>
      </c>
      <c r="F36" s="136"/>
      <c r="G36" s="856"/>
      <c r="H36" s="852"/>
      <c r="I36" s="852"/>
      <c r="J36" s="852"/>
      <c r="K36" s="857"/>
      <c r="L36" s="44"/>
      <c r="M36" s="168"/>
      <c r="N36" s="168"/>
      <c r="O36" s="168"/>
      <c r="P36" s="168"/>
      <c r="Q36" s="168"/>
      <c r="R36" s="168"/>
      <c r="S36" s="168"/>
      <c r="T36" s="168"/>
      <c r="U36" s="168"/>
      <c r="V36" s="168"/>
      <c r="W36" s="168"/>
      <c r="X36" s="168"/>
      <c r="Y36" s="168"/>
    </row>
    <row r="37" spans="1:25" s="45" customFormat="1" x14ac:dyDescent="0.35">
      <c r="A37" s="135" t="s">
        <v>479</v>
      </c>
      <c r="B37" s="136"/>
      <c r="C37" s="136"/>
      <c r="D37" s="136"/>
      <c r="E37" s="1474" t="s">
        <v>646</v>
      </c>
      <c r="F37" s="136"/>
      <c r="G37" s="856"/>
      <c r="H37" s="852"/>
      <c r="I37" s="852"/>
      <c r="J37" s="852"/>
      <c r="K37" s="857"/>
      <c r="L37" s="44"/>
      <c r="M37" s="168"/>
      <c r="N37" s="168"/>
      <c r="O37" s="168"/>
      <c r="P37" s="168"/>
      <c r="Q37" s="168"/>
      <c r="R37" s="168"/>
      <c r="S37" s="168"/>
      <c r="T37" s="168"/>
      <c r="U37" s="168"/>
      <c r="V37" s="168"/>
      <c r="W37" s="168"/>
      <c r="X37" s="168"/>
      <c r="Y37" s="168"/>
    </row>
    <row r="38" spans="1:25" s="45" customFormat="1" x14ac:dyDescent="0.35">
      <c r="A38" s="135" t="s">
        <v>1151</v>
      </c>
      <c r="B38" s="136"/>
      <c r="C38" s="136"/>
      <c r="D38" s="136"/>
      <c r="E38" s="1474" t="s">
        <v>647</v>
      </c>
      <c r="F38" s="136"/>
      <c r="G38" s="856"/>
      <c r="H38" s="852"/>
      <c r="I38" s="852"/>
      <c r="J38" s="852"/>
      <c r="K38" s="857"/>
      <c r="L38" s="44"/>
      <c r="M38" s="168"/>
      <c r="N38" s="168"/>
      <c r="O38" s="168"/>
      <c r="P38" s="168"/>
      <c r="Q38" s="168"/>
      <c r="R38" s="168"/>
      <c r="S38" s="168"/>
      <c r="T38" s="168"/>
      <c r="U38" s="168"/>
      <c r="V38" s="168"/>
      <c r="W38" s="168"/>
      <c r="X38" s="168"/>
      <c r="Y38" s="168"/>
    </row>
    <row r="39" spans="1:25" s="45" customFormat="1" x14ac:dyDescent="0.35">
      <c r="A39" s="135" t="s">
        <v>639</v>
      </c>
      <c r="B39" s="136"/>
      <c r="C39" s="136"/>
      <c r="D39" s="136"/>
      <c r="E39" s="1474" t="s">
        <v>892</v>
      </c>
      <c r="F39" s="136"/>
      <c r="G39" s="856"/>
      <c r="H39" s="852"/>
      <c r="I39" s="852"/>
      <c r="J39" s="852"/>
      <c r="K39" s="857"/>
      <c r="L39" s="44"/>
      <c r="M39" s="168"/>
      <c r="N39" s="168"/>
      <c r="O39" s="168"/>
      <c r="P39" s="168"/>
      <c r="Q39" s="168"/>
      <c r="R39" s="168"/>
      <c r="S39" s="168"/>
      <c r="T39" s="168"/>
      <c r="U39" s="168"/>
      <c r="V39" s="168"/>
      <c r="W39" s="168"/>
      <c r="X39" s="168"/>
      <c r="Y39" s="168"/>
    </row>
    <row r="40" spans="1:25" s="45" customFormat="1" x14ac:dyDescent="0.35">
      <c r="A40" s="135" t="s">
        <v>640</v>
      </c>
      <c r="B40" s="136"/>
      <c r="C40" s="136"/>
      <c r="D40" s="136"/>
      <c r="E40" s="1474" t="s">
        <v>892</v>
      </c>
      <c r="F40" s="136"/>
      <c r="G40" s="856"/>
      <c r="H40" s="852"/>
      <c r="I40" s="852"/>
      <c r="J40" s="852"/>
      <c r="K40" s="857"/>
      <c r="L40" s="44"/>
      <c r="M40" s="168"/>
      <c r="N40" s="168"/>
      <c r="O40" s="168"/>
      <c r="P40" s="168"/>
      <c r="Q40" s="168"/>
      <c r="R40" s="168"/>
      <c r="S40" s="168"/>
      <c r="T40" s="168"/>
      <c r="U40" s="168"/>
      <c r="V40" s="168"/>
      <c r="W40" s="168"/>
      <c r="X40" s="168"/>
      <c r="Y40" s="168"/>
    </row>
    <row r="41" spans="1:25" s="45" customFormat="1" x14ac:dyDescent="0.35">
      <c r="A41" s="135" t="s">
        <v>1152</v>
      </c>
      <c r="B41" s="136"/>
      <c r="C41" s="136"/>
      <c r="D41" s="136"/>
      <c r="E41" s="1474" t="s">
        <v>892</v>
      </c>
      <c r="F41" s="136"/>
      <c r="G41" s="856"/>
      <c r="H41" s="852"/>
      <c r="I41" s="852"/>
      <c r="J41" s="852"/>
      <c r="K41" s="857"/>
      <c r="L41" s="44"/>
      <c r="M41" s="168"/>
      <c r="N41" s="168"/>
      <c r="O41" s="168"/>
      <c r="P41" s="168"/>
      <c r="Q41" s="168"/>
      <c r="R41" s="168"/>
      <c r="S41" s="168"/>
      <c r="T41" s="168"/>
      <c r="U41" s="168"/>
      <c r="V41" s="168"/>
      <c r="W41" s="168"/>
      <c r="X41" s="168"/>
      <c r="Y41" s="168"/>
    </row>
    <row r="42" spans="1:25" s="45" customFormat="1" x14ac:dyDescent="0.35">
      <c r="A42" s="135" t="s">
        <v>1153</v>
      </c>
      <c r="B42" s="136"/>
      <c r="C42" s="136"/>
      <c r="D42" s="136"/>
      <c r="E42" s="1474" t="s">
        <v>892</v>
      </c>
      <c r="F42" s="136"/>
      <c r="G42" s="856"/>
      <c r="H42" s="852"/>
      <c r="I42" s="852"/>
      <c r="J42" s="852"/>
      <c r="K42" s="857"/>
      <c r="L42" s="44"/>
      <c r="M42" s="168"/>
      <c r="N42" s="168"/>
      <c r="O42" s="168"/>
      <c r="P42" s="168"/>
      <c r="Q42" s="168"/>
      <c r="R42" s="168"/>
      <c r="S42" s="168"/>
      <c r="T42" s="168"/>
      <c r="U42" s="168"/>
      <c r="V42" s="168"/>
      <c r="W42" s="168"/>
      <c r="X42" s="168"/>
      <c r="Y42" s="168"/>
    </row>
    <row r="43" spans="1:25" s="45" customFormat="1" x14ac:dyDescent="0.35">
      <c r="A43" s="228" t="s">
        <v>714</v>
      </c>
      <c r="B43" s="229"/>
      <c r="C43" s="136"/>
      <c r="D43" s="136"/>
      <c r="E43" s="1474" t="s">
        <v>646</v>
      </c>
      <c r="F43" s="136"/>
      <c r="G43" s="856"/>
      <c r="H43" s="852"/>
      <c r="I43" s="852"/>
      <c r="J43" s="852"/>
      <c r="K43" s="857"/>
      <c r="L43" s="44"/>
      <c r="M43" s="168"/>
      <c r="N43" s="168"/>
      <c r="O43" s="168"/>
      <c r="P43" s="168"/>
      <c r="Q43" s="168"/>
      <c r="R43" s="168"/>
      <c r="S43" s="168"/>
      <c r="T43" s="168"/>
      <c r="U43" s="168"/>
      <c r="V43" s="168"/>
      <c r="W43" s="168"/>
      <c r="X43" s="168"/>
      <c r="Y43" s="168"/>
    </row>
    <row r="44" spans="1:25" s="45" customFormat="1" x14ac:dyDescent="0.35">
      <c r="A44" s="228" t="s">
        <v>715</v>
      </c>
      <c r="B44" s="229"/>
      <c r="C44" s="136"/>
      <c r="D44" s="136"/>
      <c r="E44" s="1474" t="s">
        <v>647</v>
      </c>
      <c r="F44" s="136"/>
      <c r="G44" s="856"/>
      <c r="H44" s="852"/>
      <c r="I44" s="852"/>
      <c r="J44" s="852"/>
      <c r="K44" s="857"/>
      <c r="L44" s="44"/>
      <c r="M44" s="168"/>
      <c r="N44" s="168"/>
      <c r="O44" s="168"/>
      <c r="P44" s="168"/>
      <c r="Q44" s="168"/>
      <c r="R44" s="168"/>
      <c r="S44" s="168"/>
      <c r="T44" s="168"/>
      <c r="U44" s="168"/>
      <c r="V44" s="168"/>
      <c r="W44" s="168"/>
      <c r="X44" s="168"/>
      <c r="Y44" s="168"/>
    </row>
    <row r="45" spans="1:25" s="45" customFormat="1" x14ac:dyDescent="0.35">
      <c r="A45" s="2071"/>
      <c r="B45" s="2072"/>
      <c r="C45" s="136"/>
      <c r="D45" s="136"/>
      <c r="E45" s="1474"/>
      <c r="F45" s="136"/>
      <c r="G45" s="856"/>
      <c r="H45" s="852"/>
      <c r="I45" s="852"/>
      <c r="J45" s="852"/>
      <c r="K45" s="857"/>
      <c r="L45" s="44"/>
      <c r="M45" s="168"/>
      <c r="N45" s="168"/>
      <c r="O45" s="168"/>
      <c r="P45" s="168"/>
      <c r="Q45" s="168"/>
      <c r="R45" s="168"/>
      <c r="S45" s="168"/>
      <c r="T45" s="168"/>
      <c r="U45" s="168"/>
      <c r="V45" s="168"/>
      <c r="W45" s="168"/>
      <c r="X45" s="168"/>
      <c r="Y45" s="168"/>
    </row>
    <row r="46" spans="1:25" s="45" customFormat="1" x14ac:dyDescent="0.35">
      <c r="A46" s="2071"/>
      <c r="B46" s="2072"/>
      <c r="C46" s="136"/>
      <c r="D46" s="136"/>
      <c r="E46" s="1474"/>
      <c r="F46" s="136"/>
      <c r="G46" s="858"/>
      <c r="H46" s="859"/>
      <c r="I46" s="859"/>
      <c r="J46" s="859"/>
      <c r="K46" s="860"/>
      <c r="L46" s="44"/>
      <c r="M46" s="168"/>
      <c r="N46" s="168"/>
      <c r="O46" s="168"/>
      <c r="P46" s="168"/>
      <c r="Q46" s="168"/>
      <c r="R46" s="168"/>
      <c r="S46" s="168"/>
      <c r="T46" s="168"/>
      <c r="U46" s="168"/>
      <c r="V46" s="168"/>
      <c r="W46" s="168"/>
      <c r="X46" s="168"/>
      <c r="Y46" s="168"/>
    </row>
    <row r="47" spans="1:25" s="45" customFormat="1" x14ac:dyDescent="0.35">
      <c r="A47" s="145"/>
      <c r="B47" s="146"/>
      <c r="C47" s="146"/>
      <c r="D47" s="146"/>
      <c r="E47" s="1418"/>
      <c r="F47" s="146"/>
      <c r="G47" s="146"/>
      <c r="H47" s="146"/>
      <c r="I47" s="146"/>
      <c r="J47" s="146"/>
      <c r="K47" s="85"/>
      <c r="L47" s="44"/>
      <c r="M47" s="168"/>
      <c r="N47" s="168"/>
      <c r="O47" s="168"/>
      <c r="P47" s="168"/>
      <c r="Q47" s="168"/>
      <c r="R47" s="168"/>
      <c r="S47" s="168"/>
      <c r="T47" s="168"/>
      <c r="U47" s="168"/>
      <c r="V47" s="168"/>
      <c r="W47" s="168"/>
      <c r="X47" s="168"/>
      <c r="Y47" s="168"/>
    </row>
    <row r="48" spans="1:25" s="45" customFormat="1" x14ac:dyDescent="0.35">
      <c r="A48" s="832" t="s">
        <v>480</v>
      </c>
      <c r="B48" s="835"/>
      <c r="C48" s="835"/>
      <c r="D48" s="835"/>
      <c r="E48" s="835"/>
      <c r="F48" s="835"/>
      <c r="G48" s="835"/>
      <c r="H48" s="835"/>
      <c r="I48" s="835"/>
      <c r="J48" s="835"/>
      <c r="K48" s="836"/>
      <c r="L48" s="44"/>
      <c r="M48" s="168"/>
      <c r="N48" s="168"/>
      <c r="O48" s="168"/>
      <c r="P48" s="168"/>
      <c r="Q48" s="168"/>
      <c r="R48" s="168"/>
      <c r="S48" s="168"/>
      <c r="T48" s="168"/>
      <c r="U48" s="168"/>
      <c r="V48" s="168"/>
      <c r="W48" s="168"/>
      <c r="X48" s="168"/>
      <c r="Y48" s="168"/>
    </row>
    <row r="49" spans="1:25" s="45" customFormat="1" x14ac:dyDescent="0.35">
      <c r="A49" s="856" t="s">
        <v>1308</v>
      </c>
      <c r="B49" s="854"/>
      <c r="C49" s="854"/>
      <c r="D49" s="854"/>
      <c r="E49" s="854"/>
      <c r="F49" s="854"/>
      <c r="G49" s="854"/>
      <c r="H49" s="854"/>
      <c r="I49" s="854"/>
      <c r="J49" s="854"/>
      <c r="K49" s="855"/>
      <c r="L49" s="44"/>
      <c r="M49" s="168"/>
      <c r="N49" s="168"/>
      <c r="O49" s="168"/>
      <c r="P49" s="168"/>
      <c r="Q49" s="168"/>
      <c r="R49" s="168"/>
      <c r="S49" s="168"/>
      <c r="T49" s="168"/>
      <c r="U49" s="168"/>
      <c r="V49" s="168"/>
      <c r="W49" s="168"/>
      <c r="X49" s="168"/>
      <c r="Y49" s="168"/>
    </row>
    <row r="50" spans="1:25" s="45" customFormat="1" x14ac:dyDescent="0.35">
      <c r="A50" s="856" t="s">
        <v>1395</v>
      </c>
      <c r="B50" s="852"/>
      <c r="C50" s="852"/>
      <c r="D50" s="852"/>
      <c r="E50" s="852"/>
      <c r="F50" s="852"/>
      <c r="G50" s="852"/>
      <c r="H50" s="852"/>
      <c r="I50" s="852"/>
      <c r="J50" s="852"/>
      <c r="K50" s="857"/>
      <c r="L50" s="44"/>
      <c r="M50" s="168"/>
      <c r="N50" s="168"/>
      <c r="O50" s="168"/>
      <c r="P50" s="168"/>
      <c r="Q50" s="168"/>
      <c r="R50" s="168"/>
      <c r="S50" s="168"/>
      <c r="T50" s="168"/>
      <c r="U50" s="168"/>
      <c r="V50" s="168"/>
      <c r="W50" s="168"/>
      <c r="X50" s="168"/>
      <c r="Y50" s="168"/>
    </row>
    <row r="51" spans="1:25" s="45" customFormat="1" x14ac:dyDescent="0.35">
      <c r="A51" s="859" t="s">
        <v>1322</v>
      </c>
      <c r="B51" s="852"/>
      <c r="C51" s="852"/>
      <c r="D51" s="852"/>
      <c r="E51" s="852"/>
      <c r="F51" s="852"/>
      <c r="G51" s="852"/>
      <c r="H51" s="852"/>
      <c r="I51" s="852"/>
      <c r="J51" s="852"/>
      <c r="K51" s="857"/>
      <c r="L51" s="44"/>
      <c r="M51" s="168"/>
      <c r="N51" s="168"/>
      <c r="O51" s="168"/>
      <c r="P51" s="168"/>
      <c r="Q51" s="168"/>
      <c r="R51" s="168"/>
      <c r="S51" s="168"/>
      <c r="T51" s="168"/>
      <c r="U51" s="168"/>
      <c r="V51" s="168"/>
      <c r="W51" s="168"/>
      <c r="X51" s="168"/>
      <c r="Y51" s="168"/>
    </row>
    <row r="52" spans="1:25" s="45" customFormat="1" x14ac:dyDescent="0.35">
      <c r="A52" s="859"/>
      <c r="B52" s="859"/>
      <c r="C52" s="859"/>
      <c r="D52" s="859"/>
      <c r="E52" s="859"/>
      <c r="F52" s="859"/>
      <c r="G52" s="859"/>
      <c r="H52" s="859"/>
      <c r="I52" s="859"/>
      <c r="J52" s="859"/>
      <c r="K52" s="860"/>
      <c r="L52" s="44"/>
      <c r="M52" s="168"/>
      <c r="N52" s="168"/>
      <c r="O52" s="168"/>
      <c r="P52" s="168"/>
      <c r="Q52" s="168"/>
      <c r="R52" s="168"/>
      <c r="S52" s="168"/>
      <c r="T52" s="168"/>
      <c r="U52" s="168"/>
      <c r="V52" s="168"/>
      <c r="W52" s="168"/>
      <c r="X52" s="168"/>
      <c r="Y52" s="168"/>
    </row>
    <row r="53" spans="1:25" s="45" customFormat="1" x14ac:dyDescent="0.35">
      <c r="L53" s="44"/>
      <c r="M53" s="168"/>
      <c r="N53" s="168"/>
      <c r="O53" s="168"/>
      <c r="P53" s="168"/>
      <c r="Q53" s="168"/>
      <c r="R53" s="168"/>
      <c r="S53" s="168"/>
      <c r="T53" s="168"/>
      <c r="U53" s="168"/>
      <c r="V53" s="168"/>
      <c r="W53" s="168"/>
      <c r="X53" s="168"/>
      <c r="Y53" s="168"/>
    </row>
    <row r="54" spans="1:25" s="45" customFormat="1" x14ac:dyDescent="0.35">
      <c r="A54" s="832" t="s">
        <v>481</v>
      </c>
      <c r="B54" s="835"/>
      <c r="C54" s="835"/>
      <c r="D54" s="835"/>
      <c r="E54" s="835"/>
      <c r="F54" s="835"/>
      <c r="G54" s="835"/>
      <c r="H54" s="835"/>
      <c r="I54" s="835"/>
      <c r="J54" s="835"/>
      <c r="K54" s="836"/>
      <c r="L54" s="44"/>
      <c r="M54" s="168"/>
      <c r="N54" s="168"/>
      <c r="O54" s="168"/>
      <c r="P54" s="168"/>
      <c r="Q54" s="168"/>
      <c r="R54" s="168"/>
      <c r="S54" s="168"/>
      <c r="T54" s="168"/>
      <c r="U54" s="168"/>
      <c r="V54" s="168"/>
      <c r="W54" s="168"/>
      <c r="X54" s="168"/>
      <c r="Y54" s="168"/>
    </row>
    <row r="55" spans="1:25" s="45" customFormat="1" x14ac:dyDescent="0.35">
      <c r="A55" s="853" t="s">
        <v>1383</v>
      </c>
      <c r="B55" s="854"/>
      <c r="C55" s="854"/>
      <c r="D55" s="854"/>
      <c r="E55" s="854"/>
      <c r="F55" s="854"/>
      <c r="G55" s="854"/>
      <c r="H55" s="854"/>
      <c r="I55" s="854"/>
      <c r="J55" s="854"/>
      <c r="K55" s="855"/>
      <c r="L55" s="44"/>
      <c r="M55" s="168"/>
      <c r="N55" s="168"/>
      <c r="O55" s="168"/>
      <c r="P55" s="168"/>
      <c r="Q55" s="168"/>
      <c r="R55" s="168"/>
      <c r="S55" s="168"/>
      <c r="T55" s="168"/>
      <c r="U55" s="168"/>
      <c r="V55" s="168"/>
      <c r="W55" s="168"/>
      <c r="X55" s="168"/>
      <c r="Y55" s="168"/>
    </row>
    <row r="56" spans="1:25" s="45" customFormat="1" x14ac:dyDescent="0.35">
      <c r="A56" s="852"/>
      <c r="B56" s="852"/>
      <c r="C56" s="852"/>
      <c r="D56" s="852"/>
      <c r="E56" s="852"/>
      <c r="F56" s="852"/>
      <c r="G56" s="852"/>
      <c r="H56" s="852"/>
      <c r="I56" s="852"/>
      <c r="J56" s="852"/>
      <c r="K56" s="857"/>
      <c r="L56" s="44"/>
      <c r="M56" s="168"/>
      <c r="N56" s="168"/>
      <c r="O56" s="168"/>
      <c r="P56" s="168"/>
      <c r="Q56" s="168"/>
      <c r="R56" s="168"/>
      <c r="S56" s="168"/>
      <c r="T56" s="168"/>
      <c r="U56" s="168"/>
      <c r="V56" s="168"/>
      <c r="W56" s="168"/>
      <c r="X56" s="168"/>
      <c r="Y56" s="168"/>
    </row>
    <row r="57" spans="1:25" s="45" customFormat="1" x14ac:dyDescent="0.35">
      <c r="A57" s="852"/>
      <c r="B57" s="852"/>
      <c r="C57" s="852"/>
      <c r="D57" s="852"/>
      <c r="E57" s="852"/>
      <c r="F57" s="852"/>
      <c r="G57" s="852"/>
      <c r="H57" s="852"/>
      <c r="I57" s="852"/>
      <c r="J57" s="852"/>
      <c r="K57" s="857"/>
      <c r="L57" s="44"/>
      <c r="M57" s="168"/>
      <c r="N57" s="168"/>
      <c r="O57" s="168"/>
      <c r="P57" s="168"/>
      <c r="Q57" s="168"/>
      <c r="R57" s="168"/>
      <c r="S57" s="168"/>
      <c r="T57" s="168"/>
      <c r="U57" s="168"/>
      <c r="V57" s="168"/>
      <c r="W57" s="168"/>
      <c r="X57" s="168"/>
      <c r="Y57" s="168"/>
    </row>
    <row r="58" spans="1:25" s="45" customFormat="1" x14ac:dyDescent="0.35">
      <c r="A58" s="858"/>
      <c r="B58" s="859"/>
      <c r="C58" s="859"/>
      <c r="D58" s="859"/>
      <c r="E58" s="859"/>
      <c r="F58" s="859"/>
      <c r="G58" s="859"/>
      <c r="H58" s="859"/>
      <c r="I58" s="859"/>
      <c r="J58" s="859"/>
      <c r="K58" s="860"/>
      <c r="L58" s="44"/>
      <c r="M58" s="168"/>
      <c r="N58" s="168"/>
      <c r="O58" s="168"/>
      <c r="P58" s="168"/>
      <c r="Q58" s="168"/>
      <c r="R58" s="168"/>
      <c r="S58" s="168"/>
      <c r="T58" s="168"/>
      <c r="U58" s="168"/>
      <c r="V58" s="168"/>
      <c r="W58" s="168"/>
      <c r="X58" s="168"/>
      <c r="Y58" s="168"/>
    </row>
    <row r="59" spans="1:25" s="45" customFormat="1" x14ac:dyDescent="0.35">
      <c r="L59" s="44"/>
      <c r="M59" s="168"/>
      <c r="N59" s="168"/>
      <c r="O59" s="168"/>
      <c r="P59" s="168"/>
      <c r="Q59" s="168"/>
      <c r="R59" s="168"/>
      <c r="S59" s="168"/>
      <c r="T59" s="168"/>
      <c r="U59" s="168"/>
      <c r="V59" s="168"/>
      <c r="W59" s="168"/>
      <c r="X59" s="168"/>
      <c r="Y59" s="168"/>
    </row>
    <row r="60" spans="1:25" s="45" customFormat="1" x14ac:dyDescent="0.35">
      <c r="A60" s="832" t="s">
        <v>641</v>
      </c>
      <c r="B60" s="833"/>
      <c r="C60" s="833"/>
      <c r="D60" s="833"/>
      <c r="E60" s="833"/>
      <c r="F60" s="833"/>
      <c r="G60" s="833"/>
      <c r="H60" s="833"/>
      <c r="I60" s="833"/>
      <c r="J60" s="833"/>
      <c r="K60" s="834"/>
      <c r="L60" s="44"/>
      <c r="M60" s="168"/>
      <c r="N60" s="168"/>
      <c r="O60" s="168"/>
      <c r="P60" s="168"/>
      <c r="Q60" s="168"/>
      <c r="R60" s="168"/>
      <c r="S60" s="168"/>
      <c r="T60" s="168"/>
      <c r="U60" s="168"/>
      <c r="V60" s="168"/>
      <c r="W60" s="168"/>
      <c r="X60" s="168"/>
      <c r="Y60" s="168"/>
    </row>
    <row r="61" spans="1:25" x14ac:dyDescent="0.35">
      <c r="A61" s="853" t="s">
        <v>1337</v>
      </c>
      <c r="B61" s="854"/>
      <c r="C61" s="854"/>
      <c r="D61" s="854"/>
      <c r="E61" s="854"/>
      <c r="F61" s="854"/>
      <c r="G61" s="854"/>
      <c r="H61" s="854"/>
      <c r="I61" s="854"/>
      <c r="J61" s="854"/>
      <c r="K61" s="855"/>
    </row>
    <row r="62" spans="1:25" x14ac:dyDescent="0.35">
      <c r="A62" s="858"/>
      <c r="B62" s="859"/>
      <c r="C62" s="859"/>
      <c r="D62" s="859"/>
      <c r="E62" s="859"/>
      <c r="F62" s="859"/>
      <c r="G62" s="859"/>
      <c r="H62" s="859"/>
      <c r="I62" s="859"/>
      <c r="J62" s="859"/>
      <c r="K62" s="860"/>
    </row>
    <row r="63" spans="1:25" hidden="1" x14ac:dyDescent="0.35">
      <c r="A63" s="1424"/>
      <c r="B63" s="1424"/>
      <c r="C63" s="1424"/>
      <c r="D63" s="1424"/>
      <c r="E63" s="1425"/>
      <c r="F63" s="1424"/>
      <c r="G63" s="1424"/>
      <c r="H63" s="1424"/>
      <c r="I63" s="1424"/>
      <c r="J63" s="1424"/>
      <c r="K63" s="1424"/>
    </row>
    <row r="64" spans="1:25" hidden="1" x14ac:dyDescent="0.35">
      <c r="A64" s="1424"/>
      <c r="B64" s="1424"/>
      <c r="C64" s="1424"/>
      <c r="D64" s="1424"/>
      <c r="E64" s="1425"/>
      <c r="F64" s="1424"/>
      <c r="G64" s="1424"/>
      <c r="H64" s="1424"/>
      <c r="I64" s="1424"/>
      <c r="J64" s="1424"/>
      <c r="K64" s="1424"/>
    </row>
    <row r="65" spans="1:11" hidden="1" x14ac:dyDescent="0.35">
      <c r="A65" s="1424"/>
      <c r="B65" s="1424"/>
      <c r="C65" s="1424"/>
      <c r="D65" s="1424"/>
      <c r="E65" s="1425"/>
      <c r="F65" s="1424"/>
      <c r="G65" s="1424"/>
      <c r="H65" s="1424"/>
      <c r="I65" s="1424"/>
      <c r="J65" s="1424"/>
      <c r="K65" s="1424"/>
    </row>
    <row r="66" spans="1:11" hidden="1" x14ac:dyDescent="0.35">
      <c r="A66" s="1424"/>
      <c r="B66" s="1424" t="s">
        <v>646</v>
      </c>
      <c r="C66" s="1424"/>
      <c r="D66" s="1424"/>
      <c r="E66" s="1425"/>
      <c r="F66" s="1424"/>
      <c r="G66" s="1424"/>
      <c r="H66" s="1424"/>
      <c r="I66" s="1424"/>
      <c r="J66" s="1424"/>
      <c r="K66" s="1424"/>
    </row>
    <row r="67" spans="1:11" hidden="1" x14ac:dyDescent="0.35">
      <c r="A67" s="1424"/>
      <c r="B67" s="1424" t="s">
        <v>647</v>
      </c>
      <c r="C67" s="1424"/>
      <c r="D67" s="1424"/>
      <c r="E67" s="1425"/>
      <c r="F67" s="1424"/>
      <c r="G67" s="1424"/>
      <c r="H67" s="1424"/>
      <c r="I67" s="1424"/>
      <c r="J67" s="1424"/>
      <c r="K67" s="1424"/>
    </row>
    <row r="68" spans="1:11" hidden="1" x14ac:dyDescent="0.35">
      <c r="A68" s="1424"/>
      <c r="B68" s="1424" t="s">
        <v>892</v>
      </c>
      <c r="C68" s="1424"/>
      <c r="D68" s="1424"/>
      <c r="E68" s="1425"/>
      <c r="F68" s="1424"/>
      <c r="G68" s="1424"/>
      <c r="H68" s="1424"/>
      <c r="I68" s="1424"/>
      <c r="J68" s="1424"/>
      <c r="K68" s="1424"/>
    </row>
    <row r="69" spans="1:11" ht="6" hidden="1" customHeight="1" x14ac:dyDescent="0.35">
      <c r="A69" s="1424"/>
      <c r="B69" s="1424"/>
      <c r="C69" s="1424"/>
      <c r="D69" s="1424"/>
      <c r="E69" s="1425"/>
      <c r="F69" s="1424"/>
      <c r="G69" s="1424"/>
      <c r="H69" s="1424"/>
      <c r="I69" s="1424"/>
      <c r="J69" s="1424"/>
      <c r="K69" s="1424"/>
    </row>
    <row r="70" spans="1:11" hidden="1" x14ac:dyDescent="0.35">
      <c r="A70" s="1424"/>
      <c r="B70" s="1424"/>
      <c r="C70" s="1424"/>
      <c r="D70" s="1424"/>
      <c r="E70" s="1425"/>
      <c r="F70" s="1424"/>
      <c r="G70" s="1424"/>
      <c r="H70" s="1424"/>
      <c r="I70" s="1424"/>
      <c r="J70" s="1424"/>
      <c r="K70" s="1424"/>
    </row>
    <row r="71" spans="1:11" hidden="1" x14ac:dyDescent="0.35">
      <c r="A71" s="1424"/>
      <c r="B71" s="1424"/>
      <c r="C71" s="1424"/>
      <c r="D71" s="1424"/>
      <c r="E71" s="1425"/>
      <c r="F71" s="1424"/>
      <c r="G71" s="1424"/>
      <c r="H71" s="1424"/>
      <c r="I71" s="1424"/>
      <c r="J71" s="1424"/>
      <c r="K71" s="1424"/>
    </row>
    <row r="72" spans="1:11" hidden="1" x14ac:dyDescent="0.35">
      <c r="A72" s="1424"/>
      <c r="B72" s="1424"/>
      <c r="C72" s="1424"/>
      <c r="D72" s="1424"/>
      <c r="E72" s="1425"/>
      <c r="F72" s="1424"/>
      <c r="G72" s="1424"/>
      <c r="H72" s="1424"/>
      <c r="I72" s="1424"/>
      <c r="J72" s="1424"/>
      <c r="K72" s="1424"/>
    </row>
    <row r="73" spans="1:11" x14ac:dyDescent="0.35"/>
  </sheetData>
  <sheetProtection password="813F" sheet="1" objects="1" scenarios="1" selectLockedCells="1"/>
  <customSheetViews>
    <customSheetView guid="{51165254-F18A-4CD1-9981-8F2DE14CC76C}" showGridLines="0" fitToPage="1" hiddenRows="1" hiddenColumns="1" showRuler="0">
      <selection activeCell="G31" sqref="G31"/>
      <pageMargins left="0.78740157480314965" right="0.78740157480314965" top="0.98425196850393704" bottom="0.98425196850393704" header="0.51181102362204722" footer="0.51181102362204722"/>
      <printOptions horizontalCentered="1" verticalCentered="1"/>
      <pageSetup paperSize="9" scale="55" orientation="portrait" r:id="rId1"/>
      <headerFooter alignWithMargins="0">
        <oddHeader>&amp;L&amp;F</oddHeader>
        <oddFooter xml:space="preserve">&amp;LDAF Dealer Business Plan&amp;CPrint date: &amp;D&amp;R&amp;P/&amp;N | DAF Trucks NV    </oddFooter>
      </headerFooter>
    </customSheetView>
  </customSheetViews>
  <mergeCells count="2">
    <mergeCell ref="A45:B45"/>
    <mergeCell ref="A46:B46"/>
  </mergeCells>
  <phoneticPr fontId="11" type="noConversion"/>
  <dataValidations count="1">
    <dataValidation type="list" allowBlank="1" showInputMessage="1" showErrorMessage="1" sqref="E34:E46 E8:E30">
      <formula1>$B$65:$B$68</formula1>
    </dataValidation>
  </dataValidations>
  <printOptions horizontalCentered="1" verticalCentered="1"/>
  <pageMargins left="0.78740157480314965" right="0.78740157480314965" top="0.98425196850393704" bottom="0.98425196850393704" header="0.51181102362204722" footer="0.51181102362204722"/>
  <pageSetup paperSize="9" scale="55" orientation="portrait" r:id="rId2"/>
  <headerFooter alignWithMargins="0">
    <oddHeader>&amp;L&amp;F</oddHeader>
    <oddFooter xml:space="preserve">&amp;LDAF Dealer Business Plan - Version January 2011&amp;CPrint date: &amp;D&amp;R&amp;P/&amp;N | DAF Trucks NV    </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9f6d02c2-c094-4973-9217-72d3b340150d">5JS6C6A3M5E4-63-1010</_dlc_DocId>
    <_dlc_DocIdUrl xmlns="9f6d02c2-c094-4973-9217-72d3b340150d">
      <Url>http://dafshare-org.eu.paccar.com/organization/ms-ddehv/dd_ehv/_layouts/DocIdRedir.aspx?ID=5JS6C6A3M5E4-63-1010</Url>
      <Description>5JS6C6A3M5E4-63-1010</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C5AAA0C1482EEC41943A539C8DB24C31" ma:contentTypeVersion="1" ma:contentTypeDescription="Create a new document." ma:contentTypeScope="" ma:versionID="1ac53a3d52e29d9b9102910685960922">
  <xsd:schema xmlns:xsd="http://www.w3.org/2001/XMLSchema" xmlns:xs="http://www.w3.org/2001/XMLSchema" xmlns:p="http://schemas.microsoft.com/office/2006/metadata/properties" xmlns:ns2="9f6d02c2-c094-4973-9217-72d3b340150d" targetNamespace="http://schemas.microsoft.com/office/2006/metadata/properties" ma:root="true" ma:fieldsID="cd5057ff5865a802936ad2e54c02759b" ns2:_="">
    <xsd:import namespace="9f6d02c2-c094-4973-9217-72d3b340150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6d02c2-c094-4973-9217-72d3b340150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812C96-81F5-4C23-9333-D8440C4C4A60}">
  <ds:schemaRefs>
    <ds:schemaRef ds:uri="http://schemas.microsoft.com/sharepoint/v3/contenttype/forms"/>
  </ds:schemaRefs>
</ds:datastoreItem>
</file>

<file path=customXml/itemProps2.xml><?xml version="1.0" encoding="utf-8"?>
<ds:datastoreItem xmlns:ds="http://schemas.openxmlformats.org/officeDocument/2006/customXml" ds:itemID="{625130AD-A5B4-4D1D-B34A-16C137C70B6D}">
  <ds:schemaRefs>
    <ds:schemaRef ds:uri="http://purl.org/dc/elements/1.1/"/>
    <ds:schemaRef ds:uri="http://schemas.openxmlformats.org/package/2006/metadata/core-properties"/>
    <ds:schemaRef ds:uri="http://purl.org/dc/terms/"/>
    <ds:schemaRef ds:uri="http://schemas.microsoft.com/office/2006/documentManagement/types"/>
    <ds:schemaRef ds:uri="http://www.w3.org/XML/1998/namespace"/>
    <ds:schemaRef ds:uri="http://purl.org/dc/dcmitype/"/>
    <ds:schemaRef ds:uri="9f6d02c2-c094-4973-9217-72d3b340150d"/>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BB66FC15-C65A-4553-97B1-3198E029C8F9}">
  <ds:schemaRefs>
    <ds:schemaRef ds:uri="http://schemas.microsoft.com/sharepoint/events"/>
  </ds:schemaRefs>
</ds:datastoreItem>
</file>

<file path=customXml/itemProps4.xml><?xml version="1.0" encoding="utf-8"?>
<ds:datastoreItem xmlns:ds="http://schemas.openxmlformats.org/officeDocument/2006/customXml" ds:itemID="{8416F8F6-1FBE-4438-864D-3E6CC27756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6d02c2-c094-4973-9217-72d3b34015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61</vt:i4>
      </vt:variant>
      <vt:variant>
        <vt:lpstr>Plages nommées</vt:lpstr>
      </vt:variant>
      <vt:variant>
        <vt:i4>58</vt:i4>
      </vt:variant>
    </vt:vector>
  </HeadingPairs>
  <TitlesOfParts>
    <vt:vector size="119" baseType="lpstr">
      <vt:lpstr>Reference sheet</vt:lpstr>
      <vt:lpstr>Contents</vt:lpstr>
      <vt:lpstr>Intro</vt:lpstr>
      <vt:lpstr>1.0 Executive summary</vt:lpstr>
      <vt:lpstr>1.1 Mission &amp; Objectives</vt:lpstr>
      <vt:lpstr>2.0 Company Profile</vt:lpstr>
      <vt:lpstr>2.1 Company Organisation</vt:lpstr>
      <vt:lpstr>2.2 Location &amp; Facilities</vt:lpstr>
      <vt:lpstr>3.0 Products &amp; Services</vt:lpstr>
      <vt:lpstr>3.1 Financing &amp; Insurance</vt:lpstr>
      <vt:lpstr>3.2 Funding</vt:lpstr>
      <vt:lpstr>4.0 Organisation &amp; HR</vt:lpstr>
      <vt:lpstr>4.1.1 Management team</vt:lpstr>
      <vt:lpstr>4.1.2 Management team</vt:lpstr>
      <vt:lpstr>5.0 Economy</vt:lpstr>
      <vt:lpstr>5.1 DAF Vehicle Parc Input</vt:lpstr>
      <vt:lpstr>5.1.1 NewTruck market-Country</vt:lpstr>
      <vt:lpstr>5.1.2 NT market-Dealer area</vt:lpstr>
      <vt:lpstr>5.2 UT market-Dealer area</vt:lpstr>
      <vt:lpstr>5.3 Running Parc - Dealer Area</vt:lpstr>
      <vt:lpstr>5.4.1 Competition in Area</vt:lpstr>
      <vt:lpstr>5.4.2 Comp. Analysis Table</vt:lpstr>
      <vt:lpstr>5.4.3 Comp.  Analysis SWOT</vt:lpstr>
      <vt:lpstr>5.5 Customers</vt:lpstr>
      <vt:lpstr>6.0 New Truck Sales</vt:lpstr>
      <vt:lpstr>6.1 Used Trucks</vt:lpstr>
      <vt:lpstr>6.2 After Sales - Parts</vt:lpstr>
      <vt:lpstr>6.3 After Sales - Service</vt:lpstr>
      <vt:lpstr>DAF Parts CPV</vt:lpstr>
      <vt:lpstr>DAF Parts CPV (short)</vt:lpstr>
      <vt:lpstr>DAF Labour CPV</vt:lpstr>
      <vt:lpstr>DAF Labour CPV (short)</vt:lpstr>
      <vt:lpstr>DAF Oil CPV</vt:lpstr>
      <vt:lpstr>DAF Oil CPV (short)</vt:lpstr>
      <vt:lpstr>OM Parts CPV</vt:lpstr>
      <vt:lpstr>OM Parts CPV (short)</vt:lpstr>
      <vt:lpstr>Calculation (short)</vt:lpstr>
      <vt:lpstr>6.4 SWOT &amp; Action Plan</vt:lpstr>
      <vt:lpstr>7.1 Dealer area</vt:lpstr>
      <vt:lpstr>7.2.1 Turnover Vehicles</vt:lpstr>
      <vt:lpstr>7.2.2 Turnover Parts</vt:lpstr>
      <vt:lpstr>7.2.3 Turnover Service &amp; Body</vt:lpstr>
      <vt:lpstr>7.3 Cost of sales</vt:lpstr>
      <vt:lpstr>7.4.1 Salaries &amp; Wages</vt:lpstr>
      <vt:lpstr>7.4.2 Selling &amp; Oper. expenses</vt:lpstr>
      <vt:lpstr>7.4.3 Inv. &amp; Depr.</vt:lpstr>
      <vt:lpstr>7.5.1 Financial Requirements</vt:lpstr>
      <vt:lpstr>7.5.2 Fin. Income &amp; Expenses </vt:lpstr>
      <vt:lpstr>7.5.3 VAT</vt:lpstr>
      <vt:lpstr>7.6.1 Activity contribution</vt:lpstr>
      <vt:lpstr>7.6.2 Activity analysis</vt:lpstr>
      <vt:lpstr>7.7 P&amp;L</vt:lpstr>
      <vt:lpstr>7.8 Dealer Benchmark</vt:lpstr>
      <vt:lpstr>7.9.1 Balance Assets</vt:lpstr>
      <vt:lpstr>7.9.2 Balance Liabilities</vt:lpstr>
      <vt:lpstr>7.10 Ratio's balance</vt:lpstr>
      <vt:lpstr>7.11 Cash Flow Analysis</vt:lpstr>
      <vt:lpstr>7.12 Assumptions &amp; Remarks</vt:lpstr>
      <vt:lpstr>8.0 Attachments</vt:lpstr>
      <vt:lpstr>9.0 Scenario's</vt:lpstr>
      <vt:lpstr>10.0 Guidelines</vt:lpstr>
      <vt:lpstr>'1.0 Executive summary'!Zone_d_impression</vt:lpstr>
      <vt:lpstr>'1.1 Mission &amp; Objectives'!Zone_d_impression</vt:lpstr>
      <vt:lpstr>'2.0 Company Profile'!Zone_d_impression</vt:lpstr>
      <vt:lpstr>'2.1 Company Organisation'!Zone_d_impression</vt:lpstr>
      <vt:lpstr>'2.2 Location &amp; Facilities'!Zone_d_impression</vt:lpstr>
      <vt:lpstr>'3.0 Products &amp; Services'!Zone_d_impression</vt:lpstr>
      <vt:lpstr>'3.1 Financing &amp; Insurance'!Zone_d_impression</vt:lpstr>
      <vt:lpstr>'4.0 Organisation &amp; HR'!Zone_d_impression</vt:lpstr>
      <vt:lpstr>'4.1.1 Management team'!Zone_d_impression</vt:lpstr>
      <vt:lpstr>'4.1.2 Management team'!Zone_d_impression</vt:lpstr>
      <vt:lpstr>'5.0 Economy'!Zone_d_impression</vt:lpstr>
      <vt:lpstr>'5.1 DAF Vehicle Parc Input'!Zone_d_impression</vt:lpstr>
      <vt:lpstr>'5.1.1 NewTruck market-Country'!Zone_d_impression</vt:lpstr>
      <vt:lpstr>'5.1.2 NT market-Dealer area'!Zone_d_impression</vt:lpstr>
      <vt:lpstr>'5.2 UT market-Dealer area'!Zone_d_impression</vt:lpstr>
      <vt:lpstr>'5.3 Running Parc - Dealer Area'!Zone_d_impression</vt:lpstr>
      <vt:lpstr>'5.4.1 Competition in Area'!Zone_d_impression</vt:lpstr>
      <vt:lpstr>'5.4.2 Comp. Analysis Table'!Zone_d_impression</vt:lpstr>
      <vt:lpstr>'5.4.3 Comp.  Analysis SWOT'!Zone_d_impression</vt:lpstr>
      <vt:lpstr>'5.5 Customers'!Zone_d_impression</vt:lpstr>
      <vt:lpstr>'6.0 New Truck Sales'!Zone_d_impression</vt:lpstr>
      <vt:lpstr>'6.1 Used Trucks'!Zone_d_impression</vt:lpstr>
      <vt:lpstr>'6.2 After Sales - Parts'!Zone_d_impression</vt:lpstr>
      <vt:lpstr>'6.3 After Sales - Service'!Zone_d_impression</vt:lpstr>
      <vt:lpstr>'6.4 SWOT &amp; Action Plan'!Zone_d_impression</vt:lpstr>
      <vt:lpstr>'7.1 Dealer area'!Zone_d_impression</vt:lpstr>
      <vt:lpstr>'7.10 Ratio''s balance'!Zone_d_impression</vt:lpstr>
      <vt:lpstr>'7.11 Cash Flow Analysis'!Zone_d_impression</vt:lpstr>
      <vt:lpstr>'7.12 Assumptions &amp; Remarks'!Zone_d_impression</vt:lpstr>
      <vt:lpstr>'7.2.1 Turnover Vehicles'!Zone_d_impression</vt:lpstr>
      <vt:lpstr>'7.2.2 Turnover Parts'!Zone_d_impression</vt:lpstr>
      <vt:lpstr>'7.2.3 Turnover Service &amp; Body'!Zone_d_impression</vt:lpstr>
      <vt:lpstr>'7.3 Cost of sales'!Zone_d_impression</vt:lpstr>
      <vt:lpstr>'7.4.1 Salaries &amp; Wages'!Zone_d_impression</vt:lpstr>
      <vt:lpstr>'7.4.2 Selling &amp; Oper. expenses'!Zone_d_impression</vt:lpstr>
      <vt:lpstr>'7.4.3 Inv. &amp; Depr.'!Zone_d_impression</vt:lpstr>
      <vt:lpstr>'7.5.2 Fin. Income &amp; Expenses '!Zone_d_impression</vt:lpstr>
      <vt:lpstr>'7.5.3 VAT'!Zone_d_impression</vt:lpstr>
      <vt:lpstr>'7.6.1 Activity contribution'!Zone_d_impression</vt:lpstr>
      <vt:lpstr>'7.6.2 Activity analysis'!Zone_d_impression</vt:lpstr>
      <vt:lpstr>'7.7 P&amp;L'!Zone_d_impression</vt:lpstr>
      <vt:lpstr>'7.8 Dealer Benchmark'!Zone_d_impression</vt:lpstr>
      <vt:lpstr>'7.9.1 Balance Assets'!Zone_d_impression</vt:lpstr>
      <vt:lpstr>'7.9.2 Balance Liabilities'!Zone_d_impression</vt:lpstr>
      <vt:lpstr>'8.0 Attachments'!Zone_d_impression</vt:lpstr>
      <vt:lpstr>'9.0 Scenario''s'!Zone_d_impression</vt:lpstr>
      <vt:lpstr>'Calculation (short)'!Zone_d_impression</vt:lpstr>
      <vt:lpstr>Contents!Zone_d_impression</vt:lpstr>
      <vt:lpstr>'DAF Labour CPV'!Zone_d_impression</vt:lpstr>
      <vt:lpstr>'DAF Labour CPV (short)'!Zone_d_impression</vt:lpstr>
      <vt:lpstr>'DAF Oil CPV'!Zone_d_impression</vt:lpstr>
      <vt:lpstr>'DAF Oil CPV (short)'!Zone_d_impression</vt:lpstr>
      <vt:lpstr>'DAF Parts CPV'!Zone_d_impression</vt:lpstr>
      <vt:lpstr>'DAF Parts CPV (short)'!Zone_d_impression</vt:lpstr>
      <vt:lpstr>Intro!Zone_d_impression</vt:lpstr>
      <vt:lpstr>'OM Parts CPV'!Zone_d_impression</vt:lpstr>
      <vt:lpstr>'OM Parts CPV (short)'!Zone_d_impression</vt:lpstr>
      <vt:lpstr>'Reference sheet'!Zone_d_impression</vt:lpstr>
    </vt:vector>
  </TitlesOfParts>
  <Company>DAF TRUCKS N.V.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 Gebruiker</dc:creator>
  <cp:lastModifiedBy>Selim Abbas</cp:lastModifiedBy>
  <cp:lastPrinted>2019-01-28T09:19:27Z</cp:lastPrinted>
  <dcterms:created xsi:type="dcterms:W3CDTF">1997-10-21T12:04:22Z</dcterms:created>
  <dcterms:modified xsi:type="dcterms:W3CDTF">2023-03-17T19:10:12Z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0x010100C5AAA0C1482EEC41943A539C8DB24C31</vt:lpwstr>
  </property>
  <property fmtid="{D5CDD505-2E9C-101B-9397-08002B2CF9AE}" pid="3" name="_dlc_DocIdItemGuid">
    <vt:lpwstr>a9cc91ca-9989-4543-9bdf-7e093e8f09ff</vt:lpwstr>
  </property>
</Properties>
</file>